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1"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3" i="84" l="1"/>
  <c r="U7" i="1" l="1"/>
  <c r="B101" i="83"/>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U6" i="1"/>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2"/>
  <c r="D2" i="83"/>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I48" i="34"/>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3" i="81"/>
  <c r="D22" i="81"/>
  <c r="F21" i="81"/>
  <c r="F20" i="81"/>
  <c r="M19" i="81"/>
  <c r="M18" i="81"/>
  <c r="F18" i="81"/>
  <c r="F17" i="81"/>
  <c r="F15" i="81"/>
  <c r="G1" i="81"/>
  <c r="U7" i="83" l="1"/>
  <c r="AB7" i="83"/>
  <c r="T38" i="83" s="1"/>
  <c r="G38" i="83" s="1"/>
  <c r="AC7" i="83"/>
  <c r="V38" i="83" s="1"/>
  <c r="I38" i="83" s="1"/>
  <c r="W7" i="83"/>
  <c r="E38" i="83"/>
  <c r="E49" i="82"/>
  <c r="AC7" i="82"/>
  <c r="V49" i="82" s="1"/>
  <c r="I49" i="82" s="1"/>
  <c r="W7" i="82"/>
  <c r="U7" i="82"/>
  <c r="AB7" i="82"/>
  <c r="T49" i="82" s="1"/>
  <c r="G49" i="82" s="1"/>
  <c r="P61" i="81"/>
  <c r="F40" i="81"/>
  <c r="L48" i="81"/>
  <c r="C76" i="81"/>
  <c r="F38" i="81"/>
  <c r="M26" i="81"/>
  <c r="M29" i="81"/>
  <c r="F16" i="81"/>
  <c r="F13" i="81"/>
  <c r="M28" i="81"/>
  <c r="F6" i="81"/>
  <c r="F8" i="81"/>
  <c r="F9" i="81"/>
  <c r="F42" i="81"/>
  <c r="M8" i="81"/>
  <c r="L47" i="81"/>
  <c r="M27" i="81"/>
  <c r="F36" i="81"/>
  <c r="F37" i="81"/>
  <c r="J15" i="81"/>
  <c r="F26" i="81"/>
  <c r="M23" i="81"/>
  <c r="M6" i="81"/>
  <c r="M9" i="81"/>
  <c r="M24" i="81"/>
  <c r="F7" i="81"/>
  <c r="M22" i="81"/>
  <c r="F43" i="81"/>
  <c r="C34" i="81" l="1"/>
  <c r="R39" i="83"/>
  <c r="C39" i="83" s="1"/>
  <c r="B2" i="83" s="1"/>
  <c r="B3"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C6" i="81"/>
  <c r="C27" i="81"/>
  <c r="F65" i="81"/>
  <c r="L57" i="81"/>
  <c r="L56" i="81"/>
  <c r="L60" i="81"/>
  <c r="I54" i="81"/>
  <c r="J57" i="81"/>
  <c r="J55" i="81" s="1"/>
  <c r="J58" i="81" s="1"/>
  <c r="Q50" i="81" s="1"/>
  <c r="J53" i="81"/>
  <c r="Q71" i="81"/>
  <c r="F68" i="81"/>
  <c r="F70" i="81"/>
  <c r="F51" i="81"/>
  <c r="C49" i="81" s="1"/>
  <c r="J6" i="81"/>
  <c r="F64" i="81"/>
  <c r="F66" i="81"/>
  <c r="M59" i="81"/>
  <c r="N59" i="81"/>
  <c r="L59" i="81"/>
  <c r="L58" i="81"/>
  <c r="F31" i="81"/>
  <c r="F59" i="81"/>
  <c r="C16" i="81"/>
  <c r="C17" i="81"/>
  <c r="C14" i="81"/>
  <c r="M17" i="81"/>
  <c r="C38" i="83" l="1"/>
  <c r="C50" i="82"/>
  <c r="C49" i="82"/>
  <c r="C18" i="81"/>
  <c r="C15" i="81"/>
  <c r="Q74" i="81"/>
  <c r="Q61" i="81"/>
  <c r="Q52" i="81"/>
  <c r="F1" i="81"/>
  <c r="Q57" i="81"/>
  <c r="Q66" i="81"/>
  <c r="Q73" i="81"/>
  <c r="Q60" i="81"/>
  <c r="B3" i="82" l="1"/>
  <c r="B2" i="82"/>
  <c r="C19" i="81"/>
  <c r="C20" i="81" s="1"/>
  <c r="C26" i="81" l="1"/>
  <c r="G48" i="34" l="1"/>
  <c r="E48" i="34"/>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C18" i="79" s="1"/>
  <c r="D18" i="79" s="1"/>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F8" i="77"/>
  <c r="M9" i="77"/>
  <c r="F26" i="77"/>
  <c r="J15" i="77"/>
  <c r="D34" i="79"/>
  <c r="C76" i="77"/>
  <c r="F37" i="77"/>
  <c r="M24" i="77"/>
  <c r="M23" i="77"/>
  <c r="D35" i="79"/>
  <c r="M27" i="77"/>
  <c r="L47" i="77"/>
  <c r="F20" i="80"/>
  <c r="F6" i="77"/>
  <c r="F40" i="77"/>
  <c r="B22" i="80" l="1"/>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c r="F20" i="68"/>
  <c r="E10" i="68"/>
  <c r="E9" i="68"/>
  <c r="F7" i="68"/>
  <c r="C7" i="68" s="1"/>
  <c r="C5" i="68" s="1"/>
  <c r="W21" i="21"/>
  <c r="C40" i="68"/>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M6" i="77"/>
  <c r="E7" i="76"/>
  <c r="D2" i="35"/>
  <c r="AO9" i="1"/>
  <c r="AO13" i="1"/>
  <c r="B8" i="76"/>
  <c r="E10" i="76"/>
  <c r="L48" i="77"/>
  <c r="AO8" i="1"/>
  <c r="M22" i="77"/>
  <c r="D2" i="36"/>
  <c r="AO11" i="1"/>
  <c r="E9" i="76"/>
  <c r="F43" i="77"/>
  <c r="D2" i="37"/>
  <c r="B13" i="76"/>
  <c r="AO12" i="1"/>
  <c r="F16" i="77"/>
  <c r="B7" i="76"/>
  <c r="E11" i="76"/>
  <c r="M28" i="77"/>
  <c r="F7" i="77"/>
  <c r="AO10" i="1"/>
  <c r="D34" i="9"/>
  <c r="E13" i="76"/>
  <c r="B10" i="76"/>
  <c r="M26" i="77"/>
  <c r="B11" i="76"/>
  <c r="F13" i="77"/>
  <c r="E2" i="69"/>
  <c r="M8" i="77"/>
  <c r="B12" i="76"/>
  <c r="F42" i="77"/>
  <c r="F20" i="31"/>
  <c r="F36" i="77"/>
  <c r="D2" i="21"/>
  <c r="E8" i="76"/>
  <c r="B9" i="76"/>
  <c r="F38" i="77"/>
  <c r="M29" i="77"/>
  <c r="F9" i="77"/>
  <c r="D2" i="33"/>
  <c r="D3" i="73"/>
  <c r="E2" i="68"/>
  <c r="D35" i="9"/>
  <c r="E12" i="76"/>
  <c r="D2" i="34"/>
  <c r="M20" i="15" l="1"/>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L48" i="15"/>
  <c r="M24" i="15"/>
  <c r="M26" i="67"/>
  <c r="M8" i="67"/>
  <c r="M23" i="15"/>
  <c r="F37" i="15"/>
  <c r="F36" i="67"/>
  <c r="M9" i="67"/>
  <c r="F6" i="15"/>
  <c r="F13" i="15"/>
  <c r="M22" i="15"/>
  <c r="F26" i="15"/>
  <c r="F40" i="15"/>
  <c r="J15" i="15"/>
  <c r="M29" i="67"/>
  <c r="F31" i="77"/>
  <c r="M8" i="15"/>
  <c r="F40" i="67"/>
  <c r="F8" i="67"/>
  <c r="M28" i="15"/>
  <c r="F9" i="67"/>
  <c r="M24" i="67"/>
  <c r="M27" i="67"/>
  <c r="D6" i="73"/>
  <c r="F13" i="67"/>
  <c r="M29" i="15"/>
  <c r="F6" i="67"/>
  <c r="D5" i="73"/>
  <c r="F42" i="15"/>
  <c r="M17" i="77"/>
  <c r="C76" i="67"/>
  <c r="F7" i="67"/>
  <c r="M9" i="15"/>
  <c r="F42" i="67"/>
  <c r="M22" i="67"/>
  <c r="L47" i="67"/>
  <c r="F7" i="15"/>
  <c r="M26" i="15"/>
  <c r="F38" i="15"/>
  <c r="C76" i="15"/>
  <c r="D4" i="73"/>
  <c r="F59" i="77"/>
  <c r="F43" i="15"/>
  <c r="F38" i="67"/>
  <c r="F9" i="15"/>
  <c r="F37" i="67"/>
  <c r="M6" i="67"/>
  <c r="F43" i="67"/>
  <c r="M28" i="67"/>
  <c r="F36" i="15"/>
  <c r="M23" i="67"/>
  <c r="L48" i="67"/>
  <c r="M6" i="15"/>
  <c r="M27" i="15"/>
  <c r="F8" i="15"/>
  <c r="L47" i="15"/>
  <c r="C16" i="77"/>
  <c r="J15" i="67"/>
  <c r="D7" i="73"/>
  <c r="F16" i="15"/>
  <c r="F26" i="67"/>
  <c r="F16" i="67"/>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M17" i="15"/>
  <c r="F3" i="73"/>
  <c r="C14" i="67"/>
  <c r="F31" i="67"/>
  <c r="F5" i="73"/>
  <c r="F4" i="73"/>
  <c r="F7" i="73"/>
  <c r="F59" i="67"/>
  <c r="M17" i="67"/>
  <c r="C16" i="67"/>
  <c r="C16" i="15"/>
  <c r="F31" i="15"/>
  <c r="F6" i="73"/>
  <c r="C17" i="67"/>
  <c r="F59" i="15"/>
  <c r="G1" i="73"/>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6" i="1"/>
  <c r="AE7" i="1"/>
  <c r="F41" i="77"/>
  <c r="C24" i="81" l="1"/>
  <c r="C23" i="81"/>
  <c r="M11" i="81"/>
  <c r="J10" i="81" s="1"/>
  <c r="J5" i="81" s="1"/>
  <c r="F11" i="81"/>
  <c r="C19" i="67"/>
  <c r="C20" i="67" s="1"/>
  <c r="C26" i="67" s="1"/>
  <c r="I2" i="80"/>
  <c r="G38" i="35"/>
  <c r="R39" i="35"/>
  <c r="C38" i="35" s="1"/>
  <c r="AB10" i="40"/>
  <c r="W10" i="40"/>
  <c r="R50" i="34"/>
  <c r="C50" i="34" s="1"/>
  <c r="F69" i="77"/>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67"/>
  <c r="F41" i="15"/>
  <c r="F41" i="81"/>
  <c r="C17" i="15"/>
  <c r="F69" i="15" l="1"/>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9"/>
  <c r="C17" i="77"/>
  <c r="C19" i="79"/>
  <c r="C14" i="15"/>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14" i="77"/>
  <c r="C20" i="9"/>
  <c r="C20" i="79"/>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F35" i="67"/>
  <c r="E6" i="76"/>
  <c r="M21" i="67"/>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L51" i="67"/>
  <c r="B6" i="76"/>
  <c r="F35" i="77"/>
  <c r="M21" i="7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81"/>
  <c r="M21" i="15"/>
  <c r="M21" i="81"/>
  <c r="F35" i="15"/>
  <c r="J20" i="81" l="1"/>
  <c r="J17" i="81" s="1"/>
  <c r="J16" i="81" s="1"/>
  <c r="J25" i="81" s="1"/>
  <c r="C31" i="81"/>
  <c r="C30" i="81" s="1"/>
  <c r="C39" i="81" s="1"/>
  <c r="F63" i="81"/>
  <c r="C62" i="81" s="1"/>
  <c r="C59" i="81" s="1"/>
  <c r="C58" i="81" s="1"/>
  <c r="C67" i="81" s="1"/>
  <c r="C68" i="81" s="1"/>
  <c r="R16" i="1"/>
  <c r="Q57" i="67"/>
  <c r="L46" i="67"/>
  <c r="Q65" i="67"/>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L51" i="77"/>
  <c r="L51" i="15"/>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79"/>
  <c r="D19" i="9"/>
  <c r="D20" i="9"/>
  <c r="AO6" i="1"/>
  <c r="D102" i="9" l="1"/>
  <c r="G19" i="9"/>
  <c r="G21" i="9" s="1"/>
  <c r="D22" i="9"/>
  <c r="D21" i="9"/>
  <c r="B6" i="70"/>
  <c r="B2" i="70" s="1"/>
  <c r="B3" i="70" s="1"/>
  <c r="D103" i="79"/>
  <c r="G20" i="79"/>
  <c r="R24" i="80" s="1"/>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<sst xmlns="http://schemas.openxmlformats.org/spreadsheetml/2006/main" count="9370" uniqueCount="3197">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</sst>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xf numFmtId="0" fontId="51" fillId="8" borderId="13"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679</v>
      </c>
    </row>
    <row r="21" spans="1:2" s="1594" customFormat="1">
      <c r="A21" s="1592" t="s">
        <v>1235</v>
      </c>
      <c r="B21" s="1593">
        <f ca="1">'预评函-2'!D7</f>
        <v>32611</v>
      </c>
    </row>
    <row r="22" spans="1:2" s="1594" customFormat="1">
      <c r="A22" s="1592" t="s">
        <v>1236</v>
      </c>
      <c r="B22" s="1593" t="str">
        <f ca="1">'预评函-2'!D6</f>
        <v>陆佰柒拾玖万元整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679</v>
      </c>
    </row>
    <row r="31" spans="1:2" s="1594" customFormat="1">
      <c r="A31" s="1592" t="s">
        <v>1274</v>
      </c>
      <c r="B31" s="1593">
        <f ca="1">'预评函-2'!D15</f>
        <v>25101</v>
      </c>
    </row>
    <row r="32" spans="1:2" s="1594" customFormat="1">
      <c r="A32" s="1592" t="s">
        <v>1241</v>
      </c>
      <c r="B32" s="1593" t="str">
        <f ca="1">'预评函-2'!D14</f>
        <v>陆佰柒拾玖万元整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5"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3" t="s">
        <v>864</v>
      </c>
      <c r="C54" s="2020" t="s">
        <v>1281</v>
      </c>
    </row>
    <row r="55" spans="1:4">
      <c r="A55" s="3045"/>
      <c r="B55" s="2023" t="s">
        <v>865</v>
      </c>
      <c r="C55" s="2020" t="s">
        <v>1282</v>
      </c>
    </row>
    <row r="56" spans="1:4">
      <c r="A56" s="3045"/>
      <c r="B56" s="2023" t="s">
        <v>866</v>
      </c>
      <c r="C56" s="2020" t="s">
        <v>1286</v>
      </c>
    </row>
    <row r="57" spans="1:4">
      <c r="A57" s="3045"/>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54" t="str">
        <f>IF(B10="北京市","北京市",C10)&amp;F10&amp;IF('结果表-办公'!G1="在建","出让国有建设用地使用权及在建建筑物",IF('结果表-办公'!G1="土地","出让国有建设用地使用权",))&amp;B9&amp;"预评估"</f>
        <v>房地产抵押价值预评估</v>
      </c>
      <c r="C1" s="3055"/>
      <c r="D1" s="3055"/>
      <c r="E1" s="3055"/>
      <c r="F1" s="3055"/>
      <c r="G1" s="3055"/>
      <c r="H1" s="3055"/>
      <c r="I1" s="3056"/>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7"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58"/>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64"/>
      <c r="C16" s="3065"/>
      <c r="D16" s="3066"/>
      <c r="E16" s="2086" t="s">
        <v>1800</v>
      </c>
      <c r="F16" s="3067"/>
      <c r="G16" s="3068"/>
      <c r="H16" s="3068"/>
      <c r="I16" s="3069"/>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70" t="s">
        <v>3055</v>
      </c>
      <c r="F17" s="3071"/>
      <c r="G17" s="3071"/>
      <c r="H17" s="3071"/>
      <c r="I17" s="3072"/>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73"/>
      <c r="F18" s="3074"/>
      <c r="G18" s="3074"/>
      <c r="H18" s="3074"/>
      <c r="I18" s="3075"/>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60" t="s">
        <v>1810</v>
      </c>
      <c r="C20" s="3061"/>
      <c r="D20" s="3062" t="s">
        <v>1811</v>
      </c>
      <c r="E20" s="3063"/>
      <c r="F20" s="2098" t="s">
        <v>1812</v>
      </c>
      <c r="G20" s="2043"/>
      <c r="H20" s="2043"/>
      <c r="I20" s="2043"/>
      <c r="J20" s="2043"/>
      <c r="K20" s="3059"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59"/>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47"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7"/>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7"/>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48"/>
      <c r="B30" s="2036" t="s">
        <v>1829</v>
      </c>
      <c r="C30" s="3049"/>
      <c r="D30" s="3050"/>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51"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52"/>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52"/>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46" t="s">
        <v>1839</v>
      </c>
      <c r="T34" s="2135" t="str">
        <f>NUMBERSTRING(7-K34,1)&amp;"通"</f>
        <v>七通</v>
      </c>
      <c r="U34" s="2030"/>
      <c r="V34" s="2030"/>
    </row>
    <row r="35" spans="1:22" ht="18" customHeight="1">
      <c r="A35" s="2136"/>
      <c r="B35" s="3053" t="s">
        <v>1840</v>
      </c>
      <c r="C35" s="3053"/>
      <c r="D35" s="3053"/>
      <c r="E35" s="3053"/>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6"/>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7" t="s">
        <v>1936</v>
      </c>
      <c r="B2" s="3087"/>
      <c r="C2" s="3087"/>
      <c r="D2" s="969" t="s">
        <v>1912</v>
      </c>
      <c r="E2" s="2228" t="s">
        <v>1913</v>
      </c>
      <c r="F2" s="1393"/>
      <c r="G2" s="2229"/>
      <c r="H2" s="2230"/>
      <c r="I2" s="2231" t="s">
        <v>1937</v>
      </c>
      <c r="J2" s="1393"/>
      <c r="K2" s="1393"/>
      <c r="L2" s="1393"/>
      <c r="M2" s="1393"/>
      <c r="N2" s="1428"/>
      <c r="O2" s="1393"/>
      <c r="P2" s="1393"/>
    </row>
    <row r="3" spans="1:16" ht="15.75" thickBot="1">
      <c r="A3" s="3088" t="s">
        <v>1910</v>
      </c>
      <c r="B3" s="3088"/>
      <c r="C3" s="3088"/>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89"/>
      <c r="B4" s="3090"/>
      <c r="C4" s="3091"/>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2" t="s">
        <v>1915</v>
      </c>
      <c r="C5" s="3092"/>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2" t="s">
        <v>1916</v>
      </c>
      <c r="C6" s="3092"/>
      <c r="D6" s="47">
        <f>ROUND($D$3*E6/$E$3,2)</f>
        <v>0</v>
      </c>
      <c r="E6" s="48">
        <f>E3-E5</f>
        <v>270.51</v>
      </c>
      <c r="F6" s="1393"/>
      <c r="G6" s="2236" t="s">
        <v>1917</v>
      </c>
      <c r="H6" s="1400" t="s">
        <v>1918</v>
      </c>
      <c r="I6" s="941" t="e">
        <f>ROUND(F31/D31,2)</f>
        <v>#DIV/0!</v>
      </c>
      <c r="J6" s="1393"/>
      <c r="K6" s="1393"/>
      <c r="L6" s="1393"/>
      <c r="M6" s="1393"/>
      <c r="N6" s="1393"/>
      <c r="O6" s="1393"/>
      <c r="P6" s="1393"/>
    </row>
    <row r="7" spans="1:16" ht="15">
      <c r="A7" s="3084"/>
      <c r="B7" s="3085"/>
      <c r="C7" s="3086"/>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1" t="s">
        <v>1940</v>
      </c>
      <c r="L16" s="3082"/>
      <c r="M16" s="3082"/>
      <c r="N16" s="3082"/>
      <c r="O16" s="3082"/>
      <c r="P16" s="3083"/>
    </row>
    <row r="17" spans="1:19" ht="15">
      <c r="A17" s="2243" t="s">
        <v>1941</v>
      </c>
      <c r="B17" s="2244" t="s">
        <v>1942</v>
      </c>
      <c r="C17" s="2245" t="s">
        <v>1943</v>
      </c>
      <c r="D17" s="2246" t="s">
        <v>1931</v>
      </c>
      <c r="E17" s="2247" t="s">
        <v>1932</v>
      </c>
      <c r="F17" s="2248"/>
      <c r="G17" s="2249"/>
      <c r="H17" s="2250" t="s">
        <v>1944</v>
      </c>
      <c r="I17" s="2251" t="s">
        <v>1929</v>
      </c>
      <c r="J17" s="1393"/>
      <c r="K17" s="3078" t="s">
        <v>1945</v>
      </c>
      <c r="L17" s="3079"/>
      <c r="M17" s="3080"/>
      <c r="N17" s="3078" t="s">
        <v>1946</v>
      </c>
      <c r="O17" s="3079"/>
      <c r="P17" s="3080"/>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F53" sqref="F5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5.8</v>
      </c>
      <c r="V6" s="78">
        <v>3.5000000000000003E-2</v>
      </c>
      <c r="W6" s="78">
        <v>0.05</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1.4999999999999999E-2</v>
      </c>
      <c r="AN6" s="2310" t="s">
        <v>3141</v>
      </c>
      <c r="AO6" s="54">
        <f ca="1">SUMIF(INDIRECT("'"&amp;AN6&amp;"'"&amp;"!A:A"),"总价",INDIRECT("'"&amp;AN6&amp;"'"&amp;"!B:B"))</f>
        <v>626</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0.05</v>
      </c>
      <c r="J7" s="73">
        <v>8.5000000000000006E-2</v>
      </c>
      <c r="K7" s="1252">
        <f>SUMIF('数据-汇总表'!C$19:C$33,A7,'数据-汇总表'!E$19:E$33)</f>
        <v>62.3</v>
      </c>
      <c r="L7" s="2996">
        <v>2500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1111.0999999999999</v>
      </c>
      <c r="V7" s="78">
        <v>3.5000000000000003E-2</v>
      </c>
      <c r="W7" s="78">
        <v>0.05</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15</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1.4999999999999999E-2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4.3499999999999997E-2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3" t="s">
        <v>2081</v>
      </c>
      <c r="B1" s="3094"/>
      <c r="C1" s="3094"/>
      <c r="D1" s="3094"/>
      <c r="E1" s="3094"/>
      <c r="F1" s="3094"/>
      <c r="G1" s="309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8225</v>
      </c>
      <c r="C5" s="1744">
        <f ca="1">ROUND(B5*10000/$B$1,0)</f>
        <v>24592</v>
      </c>
      <c r="D5" s="1744" t="e">
        <f ca="1">ROUND(B5*10000/$B$2,0)</f>
        <v>#DIV/0!</v>
      </c>
      <c r="E5" s="1743"/>
      <c r="F5" s="1741"/>
      <c r="G5" s="1741"/>
    </row>
    <row r="6" spans="1:10" ht="16.5">
      <c r="A6" s="1744" t="s">
        <v>1354</v>
      </c>
      <c r="B6" s="1744">
        <f ca="1">SUM(G14:G23)</f>
        <v>679</v>
      </c>
      <c r="C6" s="1744">
        <f ca="1">ROUND(B6*10000/$B$1,0)</f>
        <v>2030</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7880</v>
      </c>
      <c r="E14" s="1742">
        <f ca="1">ROUND(D14*10000/B14,0)</f>
        <v>32695</v>
      </c>
      <c r="F14" s="1742" t="e">
        <f ca="1">ROUND(D14*10000/C14,0)</f>
        <v>#DIV/0!</v>
      </c>
      <c r="G14" s="1742">
        <f ca="1">'结果表-办公'!D122</f>
        <v>679</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345</v>
      </c>
      <c r="E15" s="1742">
        <f t="shared" ref="E15:E23" ca="1" si="0">ROUND(D15*10000/B15,0)</f>
        <v>3692</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28" t="str">
        <f>项目基本情况!S2</f>
        <v>房地产</v>
      </c>
      <c r="B2" s="3129"/>
      <c r="C2" s="3129"/>
      <c r="D2" s="3129"/>
      <c r="E2" s="3129"/>
      <c r="F2" s="3129"/>
      <c r="G2" s="3129"/>
      <c r="H2" s="3129"/>
      <c r="I2" s="3130"/>
    </row>
    <row r="3" spans="1:12" ht="12.75">
      <c r="A3" s="3132" t="s">
        <v>2120</v>
      </c>
      <c r="B3" s="3133"/>
      <c r="C3" s="3133"/>
      <c r="D3" s="3133"/>
      <c r="E3" s="3133"/>
      <c r="F3" s="3133"/>
      <c r="G3" s="3133"/>
      <c r="H3" s="3133"/>
      <c r="I3" s="3133"/>
    </row>
    <row r="4" spans="1:12" ht="14.25">
      <c r="A4" s="2427" t="s">
        <v>2121</v>
      </c>
      <c r="B4" s="2428" t="s">
        <v>2122</v>
      </c>
      <c r="C4" s="2429" t="s">
        <v>3086</v>
      </c>
      <c r="D4" s="2429" t="s">
        <v>3141</v>
      </c>
      <c r="E4" s="3125" t="s">
        <v>2123</v>
      </c>
      <c r="F4" s="3126"/>
      <c r="G4" s="3126"/>
      <c r="H4" s="3126"/>
      <c r="I4" s="3134"/>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8" t="s">
        <v>2124</v>
      </c>
      <c r="B5" s="3046">
        <v>25</v>
      </c>
      <c r="C5" s="3111"/>
      <c r="D5" s="3131"/>
      <c r="E5" s="139" t="s">
        <v>2125</v>
      </c>
      <c r="F5" s="2431"/>
      <c r="G5" s="2431"/>
      <c r="H5" s="2431"/>
      <c r="I5" s="1832"/>
    </row>
    <row r="6" spans="1:12" ht="12.75">
      <c r="A6" s="3108"/>
      <c r="B6" s="3046"/>
      <c r="C6" s="3112"/>
      <c r="D6" s="3131"/>
      <c r="E6" s="139" t="s">
        <v>2126</v>
      </c>
      <c r="F6" s="2431"/>
      <c r="G6" s="2431"/>
      <c r="H6" s="2431"/>
      <c r="I6" s="1832"/>
    </row>
    <row r="7" spans="1:12" ht="12.75">
      <c r="A7" s="3108"/>
      <c r="B7" s="3046"/>
      <c r="C7" s="3113"/>
      <c r="D7" s="3131"/>
      <c r="E7" s="139" t="s">
        <v>2127</v>
      </c>
      <c r="F7" s="2431"/>
      <c r="G7" s="2431"/>
      <c r="H7" s="2431"/>
      <c r="I7" s="1832"/>
    </row>
    <row r="8" spans="1:12" ht="12.75">
      <c r="A8" s="3108" t="s">
        <v>2128</v>
      </c>
      <c r="B8" s="3046">
        <v>15</v>
      </c>
      <c r="C8" s="3111"/>
      <c r="D8" s="3131"/>
      <c r="E8" s="139" t="s">
        <v>2129</v>
      </c>
      <c r="F8" s="2431"/>
      <c r="G8" s="2431"/>
      <c r="H8" s="2431"/>
      <c r="I8" s="1832"/>
    </row>
    <row r="9" spans="1:12" ht="12.75">
      <c r="A9" s="3108"/>
      <c r="B9" s="3046"/>
      <c r="C9" s="3113"/>
      <c r="D9" s="3131"/>
      <c r="E9" s="139" t="s">
        <v>2130</v>
      </c>
      <c r="F9" s="2431"/>
      <c r="G9" s="2431"/>
      <c r="H9" s="2431"/>
      <c r="I9" s="1832"/>
    </row>
    <row r="10" spans="1:12" ht="12.75">
      <c r="A10" s="3108" t="s">
        <v>2131</v>
      </c>
      <c r="B10" s="3046">
        <v>15</v>
      </c>
      <c r="C10" s="3111"/>
      <c r="D10" s="3131"/>
      <c r="E10" s="139" t="s">
        <v>2132</v>
      </c>
      <c r="F10" s="2431"/>
      <c r="G10" s="2431"/>
      <c r="H10" s="2431"/>
      <c r="I10" s="1832"/>
    </row>
    <row r="11" spans="1:12" ht="12.75">
      <c r="A11" s="3108"/>
      <c r="B11" s="3046"/>
      <c r="C11" s="3113"/>
      <c r="D11" s="3131"/>
      <c r="E11" s="139" t="s">
        <v>2133</v>
      </c>
      <c r="F11" s="2431"/>
      <c r="G11" s="2431"/>
      <c r="H11" s="2431"/>
      <c r="I11" s="1832"/>
    </row>
    <row r="12" spans="1:12" ht="12.75">
      <c r="A12" s="3108" t="s">
        <v>2134</v>
      </c>
      <c r="B12" s="3046">
        <v>15</v>
      </c>
      <c r="C12" s="3111"/>
      <c r="D12" s="3131"/>
      <c r="E12" s="139" t="s">
        <v>2135</v>
      </c>
      <c r="F12" s="2431"/>
      <c r="G12" s="2431"/>
      <c r="H12" s="2431"/>
      <c r="I12" s="1832"/>
    </row>
    <row r="13" spans="1:12" ht="12.75">
      <c r="A13" s="3108"/>
      <c r="B13" s="3046"/>
      <c r="C13" s="3113"/>
      <c r="D13" s="3131"/>
      <c r="E13" s="139" t="s">
        <v>2136</v>
      </c>
      <c r="F13" s="2431"/>
      <c r="G13" s="2431"/>
      <c r="H13" s="2431"/>
      <c r="I13" s="1832"/>
    </row>
    <row r="14" spans="1:12" ht="12.75">
      <c r="A14" s="3108" t="s">
        <v>2137</v>
      </c>
      <c r="B14" s="3046">
        <v>30</v>
      </c>
      <c r="C14" s="3111">
        <v>5</v>
      </c>
      <c r="D14" s="3131">
        <v>5</v>
      </c>
      <c r="E14" s="139" t="s">
        <v>2138</v>
      </c>
      <c r="F14" s="2431"/>
      <c r="G14" s="2431"/>
      <c r="H14" s="2431"/>
      <c r="I14" s="1832"/>
    </row>
    <row r="15" spans="1:12" ht="12.75">
      <c r="A15" s="3108"/>
      <c r="B15" s="3046"/>
      <c r="C15" s="3112"/>
      <c r="D15" s="3131"/>
      <c r="E15" s="139" t="s">
        <v>2139</v>
      </c>
      <c r="F15" s="2431"/>
      <c r="G15" s="2431"/>
      <c r="H15" s="2431"/>
      <c r="I15" s="1832"/>
    </row>
    <row r="16" spans="1:12" ht="12.75">
      <c r="A16" s="3108"/>
      <c r="B16" s="3046"/>
      <c r="C16" s="3113"/>
      <c r="D16" s="3131"/>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731</v>
      </c>
      <c r="D19" s="143">
        <f ca="1">SUMIF(INDIRECT("'"&amp;D4&amp;"'"&amp;"!A:A"),'结果表-办公'!B19,INDIRECT("'"&amp;D4&amp;"'"&amp;"!B:B"))</f>
        <v>626</v>
      </c>
      <c r="E19" s="2436" t="s">
        <v>2148</v>
      </c>
      <c r="F19" s="2437" t="s">
        <v>2147</v>
      </c>
      <c r="G19" s="144">
        <f ca="1">ROUND(C19*$C$18+D19*$D$18,0)</f>
        <v>679</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35113</v>
      </c>
      <c r="D20" s="146">
        <f ca="1">SUMIF(INDIRECT("'"&amp;D4&amp;"'"&amp;"!A:A"),'结果表-办公'!B20,INDIRECT("'"&amp;D4&amp;"'"&amp;"!B:B"))</f>
        <v>30067</v>
      </c>
      <c r="E20" s="2439"/>
      <c r="F20" s="1248" t="s">
        <v>2151</v>
      </c>
      <c r="G20" s="147">
        <f ca="1">ROUND(C20*$C$18+D20*$D$18,0)</f>
        <v>32590</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0.16773162939297115</v>
      </c>
      <c r="E22" s="137"/>
      <c r="F22" s="137"/>
      <c r="G22" s="137"/>
      <c r="H22" s="137"/>
      <c r="I22" s="137"/>
    </row>
    <row r="23" spans="1:35" ht="13.5" thickBot="1">
      <c r="A23" s="2420"/>
      <c r="B23" s="2420"/>
      <c r="C23" s="2420"/>
      <c r="D23" s="2420"/>
      <c r="E23" s="137"/>
      <c r="F23" s="137"/>
      <c r="G23" s="137"/>
      <c r="H23" s="137"/>
      <c r="I23" s="137"/>
    </row>
    <row r="24" spans="1:35" ht="14.25">
      <c r="A24" s="3102" t="s">
        <v>2155</v>
      </c>
      <c r="B24" s="2437" t="s">
        <v>2147</v>
      </c>
      <c r="C24" s="144">
        <f>IF(B30=0,0,D30)</f>
        <v>0</v>
      </c>
      <c r="D24" s="2444"/>
      <c r="E24" s="137"/>
      <c r="F24" s="137"/>
      <c r="G24" s="137"/>
      <c r="H24" s="137"/>
      <c r="I24" s="137"/>
    </row>
    <row r="25" spans="1:35" ht="14.25">
      <c r="A25" s="310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679</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0" t="s">
        <v>2169</v>
      </c>
      <c r="B36" s="2463" t="s">
        <v>2170</v>
      </c>
      <c r="C36" s="153"/>
      <c r="D36" s="2464"/>
      <c r="E36" s="2465"/>
      <c r="F36" s="2466"/>
      <c r="G36" s="137"/>
      <c r="H36" s="137"/>
      <c r="I36" s="137"/>
    </row>
    <row r="37" spans="1:15" ht="15.75" thickBot="1">
      <c r="A37" s="3121"/>
      <c r="B37" s="2268" t="s">
        <v>2171</v>
      </c>
      <c r="C37" s="155"/>
      <c r="D37" s="1393"/>
      <c r="E37" s="1393"/>
      <c r="F37" s="2466"/>
      <c r="G37" s="137"/>
      <c r="H37" s="137"/>
      <c r="I37" s="137"/>
    </row>
    <row r="38" spans="1:15" ht="15.75" thickBot="1">
      <c r="A38" s="3122"/>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099" t="s">
        <v>2183</v>
      </c>
      <c r="B45" s="3100"/>
      <c r="C45" s="3101"/>
      <c r="D45" s="163">
        <f ca="1">ROUND(H101*F45,0)</f>
        <v>679</v>
      </c>
      <c r="E45" s="164" t="s">
        <v>2184</v>
      </c>
      <c r="F45" s="165">
        <v>1</v>
      </c>
      <c r="G45" s="166" t="s">
        <v>2185</v>
      </c>
      <c r="H45" s="137"/>
      <c r="I45" s="137"/>
      <c r="J45" s="3159" t="s">
        <v>2186</v>
      </c>
      <c r="K45" s="3159"/>
      <c r="L45" s="3159"/>
      <c r="M45" s="3159"/>
      <c r="N45" s="3159"/>
      <c r="O45" s="3159"/>
    </row>
    <row r="46" spans="1:15" ht="14.25" customHeight="1">
      <c r="A46" s="3096" t="s">
        <v>2187</v>
      </c>
      <c r="B46" s="3097"/>
      <c r="C46" s="3097"/>
      <c r="D46" s="3097"/>
      <c r="E46" s="3097"/>
      <c r="F46" s="3097"/>
      <c r="G46" s="3098"/>
      <c r="H46" s="2482"/>
      <c r="I46" s="167"/>
      <c r="J46" s="1810">
        <v>1</v>
      </c>
      <c r="K46" s="3159" t="s">
        <v>2188</v>
      </c>
      <c r="L46" s="3159"/>
      <c r="M46" s="3179"/>
      <c r="N46" s="3179"/>
      <c r="O46" s="3179"/>
    </row>
    <row r="47" spans="1:15" ht="12" customHeight="1">
      <c r="A47" s="168" t="s">
        <v>2189</v>
      </c>
      <c r="B47" s="169"/>
      <c r="C47" s="170"/>
      <c r="D47" s="171" t="s">
        <v>2190</v>
      </c>
      <c r="E47" s="23" t="s">
        <v>2191</v>
      </c>
      <c r="F47" s="172" t="s">
        <v>2192</v>
      </c>
      <c r="G47" s="173" t="s">
        <v>2193</v>
      </c>
      <c r="H47" s="2482"/>
      <c r="I47" s="167"/>
      <c r="J47" s="1810">
        <v>2</v>
      </c>
      <c r="K47" s="3159" t="s">
        <v>2194</v>
      </c>
      <c r="L47" s="3159"/>
      <c r="M47" s="3180">
        <f>'数据-取费表'!B2</f>
        <v>43270</v>
      </c>
      <c r="N47" s="3180"/>
      <c r="O47" s="3180"/>
    </row>
    <row r="48" spans="1:15" ht="25.5">
      <c r="A48" s="3127" t="s">
        <v>2195</v>
      </c>
      <c r="B48" s="3110"/>
      <c r="C48" s="3110"/>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159" t="s">
        <v>2198</v>
      </c>
      <c r="L48" s="3159"/>
      <c r="M48" s="3181">
        <f ca="1">H101</f>
        <v>679</v>
      </c>
      <c r="N48" s="3181"/>
      <c r="O48" s="3181"/>
    </row>
    <row r="49" spans="1:35" ht="25.5" customHeight="1">
      <c r="A49" s="175" t="s">
        <v>2199</v>
      </c>
      <c r="B49" s="3095" t="s">
        <v>2200</v>
      </c>
      <c r="C49" s="3095"/>
      <c r="D49" s="176">
        <v>0</v>
      </c>
      <c r="E49" s="22" t="s">
        <v>2201</v>
      </c>
      <c r="F49" s="27" t="s">
        <v>34</v>
      </c>
      <c r="G49" s="3165"/>
      <c r="H49" s="137"/>
      <c r="I49" s="2485"/>
      <c r="J49" s="1810">
        <v>4</v>
      </c>
      <c r="K49" s="3159" t="str">
        <f>IF(项目基本情况!E8="房地产抵押价值","房地产抵押价值","抵押担保权已注销时的房地产抵押价值")</f>
        <v>房地产抵押价值</v>
      </c>
      <c r="L49" s="3159"/>
      <c r="M49" s="3181">
        <f ca="1">IF(项目基本情况!E8="房地产抵押价值",H107,H109)</f>
        <v>679</v>
      </c>
      <c r="N49" s="3181"/>
      <c r="O49" s="3181"/>
    </row>
    <row r="50" spans="1:35" ht="25.5" customHeight="1">
      <c r="A50" s="177"/>
      <c r="B50" s="3095" t="s">
        <v>2202</v>
      </c>
      <c r="C50" s="3095"/>
      <c r="D50" s="178"/>
      <c r="E50" s="30"/>
      <c r="F50" s="179"/>
      <c r="G50" s="3166"/>
      <c r="H50" s="137"/>
      <c r="I50" s="2485"/>
      <c r="J50" s="3159" t="s">
        <v>2203</v>
      </c>
      <c r="K50" s="3159"/>
      <c r="L50" s="3159"/>
      <c r="M50" s="3159"/>
      <c r="N50" s="3159"/>
      <c r="O50" s="3159"/>
    </row>
    <row r="51" spans="1:35" ht="12" customHeight="1">
      <c r="A51" s="180"/>
      <c r="B51" s="3095" t="s">
        <v>2204</v>
      </c>
      <c r="C51" s="3095"/>
      <c r="D51" s="181"/>
      <c r="E51" s="29"/>
      <c r="F51" s="179"/>
      <c r="G51" s="3167"/>
      <c r="H51" s="137"/>
      <c r="I51" s="2485"/>
      <c r="J51" s="2486" t="s">
        <v>2205</v>
      </c>
      <c r="K51" s="3159" t="s">
        <v>2206</v>
      </c>
      <c r="L51" s="3159"/>
      <c r="M51" s="2486" t="s">
        <v>2207</v>
      </c>
      <c r="N51" s="2486" t="s">
        <v>2208</v>
      </c>
      <c r="O51" s="2486" t="s">
        <v>2209</v>
      </c>
    </row>
    <row r="52" spans="1:35" ht="24" customHeight="1">
      <c r="A52" s="182" t="s">
        <v>2210</v>
      </c>
      <c r="B52" s="3095" t="s">
        <v>2211</v>
      </c>
      <c r="C52" s="3095"/>
      <c r="D52" s="181">
        <f ca="1">ROUND(D45*'数据-取费表'!B41/(1+'数据-取费表'!C42),0)</f>
        <v>36</v>
      </c>
      <c r="E52" s="11" t="s">
        <v>2212</v>
      </c>
      <c r="F52" s="183">
        <f>'数据-取费表'!B41</f>
        <v>5.6000000000000001E-2</v>
      </c>
      <c r="G52" s="2487"/>
      <c r="H52" s="137"/>
      <c r="I52" s="2485"/>
      <c r="J52" s="1810">
        <v>1</v>
      </c>
      <c r="K52" s="3160" t="s">
        <v>2213</v>
      </c>
      <c r="L52" s="3160"/>
      <c r="M52" s="1752">
        <f>D48</f>
        <v>0</v>
      </c>
      <c r="N52" s="1810" t="str">
        <f>E48</f>
        <v>销售额×税（费）率</v>
      </c>
      <c r="O52" s="1753" t="str">
        <f>F48</f>
        <v>免征</v>
      </c>
    </row>
    <row r="53" spans="1:35" ht="12" customHeight="1">
      <c r="A53" s="182" t="s">
        <v>2214</v>
      </c>
      <c r="B53" s="3118" t="s">
        <v>2215</v>
      </c>
      <c r="C53" s="3119"/>
      <c r="D53" s="181">
        <f ca="1">ROUND(D45*'数据-取费表'!B41/(1+'数据-取费表'!C42),0)</f>
        <v>36</v>
      </c>
      <c r="E53" s="11" t="s">
        <v>2212</v>
      </c>
      <c r="F53" s="183">
        <f>'数据-取费表'!B41</f>
        <v>5.6000000000000001E-2</v>
      </c>
      <c r="G53" s="2487"/>
      <c r="H53" s="137"/>
      <c r="I53" s="2485"/>
      <c r="J53" s="1810">
        <v>2</v>
      </c>
      <c r="K53" s="3160" t="s">
        <v>2216</v>
      </c>
      <c r="L53" s="3160"/>
      <c r="M53" s="1752">
        <f t="shared" ref="M53:O54" ca="1" si="0">D55</f>
        <v>0</v>
      </c>
      <c r="N53" s="1810" t="str">
        <f t="shared" si="0"/>
        <v>销售额×税（费）率</v>
      </c>
      <c r="O53" s="1753">
        <f t="shared" si="0"/>
        <v>5.0000000000000001E-4</v>
      </c>
    </row>
    <row r="54" spans="1:35" ht="12" customHeight="1">
      <c r="A54" s="182" t="s">
        <v>2217</v>
      </c>
      <c r="B54" s="3118" t="s">
        <v>2218</v>
      </c>
      <c r="C54" s="3119"/>
      <c r="D54" s="181">
        <f ca="1">C68</f>
        <v>36</v>
      </c>
      <c r="E54" s="29" t="s">
        <v>2219</v>
      </c>
      <c r="F54" s="183">
        <f>'数据-取费表'!B41</f>
        <v>5.6000000000000001E-2</v>
      </c>
      <c r="G54" s="2487"/>
      <c r="H54" s="2488"/>
      <c r="I54" s="2485"/>
      <c r="J54" s="1810">
        <v>3</v>
      </c>
      <c r="K54" s="3160" t="s">
        <v>2220</v>
      </c>
      <c r="L54" s="3160"/>
      <c r="M54" s="1752">
        <f t="shared" ca="1" si="0"/>
        <v>384</v>
      </c>
      <c r="N54" s="1810" t="str">
        <f t="shared" si="0"/>
        <v>增值额×税（费）率</v>
      </c>
      <c r="O54" s="1754" t="str">
        <f t="shared" si="0"/>
        <v>——</v>
      </c>
    </row>
    <row r="55" spans="1:35" ht="24" customHeight="1">
      <c r="A55" s="3109" t="s">
        <v>2221</v>
      </c>
      <c r="B55" s="3110"/>
      <c r="C55" s="3110"/>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60" t="str">
        <f>IF(H59="非个人房产","——","个人所得税")</f>
        <v>——</v>
      </c>
      <c r="L55" s="3160"/>
      <c r="M55" s="1755" t="str">
        <f>D59</f>
        <v>——</v>
      </c>
      <c r="N55" s="1808" t="str">
        <f>E59</f>
        <v>——</v>
      </c>
      <c r="O55" s="1756" t="str">
        <f>F59</f>
        <v>——</v>
      </c>
    </row>
    <row r="56" spans="1:35" ht="24.75">
      <c r="A56" s="3109" t="s">
        <v>2224</v>
      </c>
      <c r="B56" s="3110"/>
      <c r="C56" s="3110"/>
      <c r="D56" s="184">
        <f ca="1">IF(H56="个人住宅",D57,D58)</f>
        <v>384</v>
      </c>
      <c r="E56" s="11" t="s">
        <v>2225</v>
      </c>
      <c r="F56" s="183" t="str">
        <f>IF(H56="正常",F58,"免征")</f>
        <v>——</v>
      </c>
      <c r="G56" s="2489" t="s">
        <v>2226</v>
      </c>
      <c r="H56" s="2490" t="s">
        <v>2223</v>
      </c>
      <c r="I56" s="2491"/>
      <c r="J56" s="1810" t="str">
        <f>IF(项目基本情况!K6="上海银行",IF(J55="",4,J55+1),"")</f>
        <v/>
      </c>
      <c r="K56" s="3183" t="str">
        <f>IF(项目基本情况!K6="上海银行","其他处置费用","")</f>
        <v/>
      </c>
      <c r="L56" s="3184"/>
      <c r="M56" s="1752" t="str">
        <f>IF(项目基本情况!K6="上海银行",M69,"")</f>
        <v/>
      </c>
      <c r="N56" s="3186" t="str">
        <f>IF(项目基本情况!K6="上海银行","包含处置中涉及的律师、诉讼、拍卖、评估等费用","")</f>
        <v/>
      </c>
      <c r="O56" s="3187"/>
    </row>
    <row r="57" spans="1:35" ht="12.75">
      <c r="A57" s="182" t="s">
        <v>2199</v>
      </c>
      <c r="B57" s="3125" t="s">
        <v>2227</v>
      </c>
      <c r="C57" s="3134"/>
      <c r="D57" s="186">
        <v>0</v>
      </c>
      <c r="E57" s="22" t="s">
        <v>2201</v>
      </c>
      <c r="F57" s="154"/>
      <c r="G57" s="2487"/>
      <c r="H57" s="2491"/>
      <c r="I57" s="2491"/>
      <c r="J57" s="3160">
        <f>IF(AND(J55="",J56=""),4,IF(项目基本情况!K6="上海银行",'结果表-办公'!J56+1,'结果表-办公'!J55+1))</f>
        <v>4</v>
      </c>
      <c r="K57" s="3160" t="s">
        <v>2228</v>
      </c>
      <c r="L57" s="2492" t="s">
        <v>2229</v>
      </c>
      <c r="M57" s="1757"/>
      <c r="N57" s="1758">
        <f ca="1">SUMIF(M52:M56,"&lt;9e307")</f>
        <v>384</v>
      </c>
      <c r="O57" s="2493"/>
      <c r="P57" s="1751">
        <f ca="1">N57/M49</f>
        <v>0.56553755522827687</v>
      </c>
    </row>
    <row r="58" spans="1:35" ht="24.75">
      <c r="A58" s="182" t="s">
        <v>2210</v>
      </c>
      <c r="B58" s="3125" t="s">
        <v>2230</v>
      </c>
      <c r="C58" s="3126"/>
      <c r="D58" s="184">
        <f ca="1">IF(H58="转让取得",C81,C97)</f>
        <v>384</v>
      </c>
      <c r="E58" s="11" t="s">
        <v>2225</v>
      </c>
      <c r="F58" s="23" t="s">
        <v>34</v>
      </c>
      <c r="G58" s="2487"/>
      <c r="H58" s="2490" t="s">
        <v>2231</v>
      </c>
      <c r="I58" s="2491"/>
      <c r="J58" s="3160"/>
      <c r="K58" s="3160"/>
      <c r="L58" s="2492" t="s">
        <v>2232</v>
      </c>
      <c r="M58" s="1759"/>
      <c r="N58" s="2494" t="str">
        <f ca="1">NUMBERSTRING(INT(N57*10000),2)&amp;"元整"</f>
        <v>叁佰捌拾肆万元整</v>
      </c>
      <c r="O58" s="2495"/>
    </row>
    <row r="59" spans="1:35" ht="24.75" thickBot="1">
      <c r="A59" s="3163" t="s">
        <v>2233</v>
      </c>
      <c r="B59" s="3164"/>
      <c r="C59" s="3164"/>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1">
        <f>J57+1</f>
        <v>5</v>
      </c>
      <c r="K59" s="3160" t="s">
        <v>2235</v>
      </c>
      <c r="L59" s="1810" t="s">
        <v>2229</v>
      </c>
      <c r="M59" s="1760"/>
      <c r="N59" s="1761">
        <f ca="1">M49-N57</f>
        <v>295</v>
      </c>
      <c r="O59" s="2497"/>
    </row>
    <row r="60" spans="1:35" ht="12" customHeight="1">
      <c r="A60" s="2498"/>
      <c r="B60" s="2420"/>
      <c r="C60" s="2420"/>
      <c r="D60" s="2420"/>
      <c r="E60" s="2167"/>
      <c r="F60" s="2491"/>
      <c r="G60" s="2491"/>
      <c r="H60" s="2499"/>
      <c r="I60" s="137"/>
      <c r="J60" s="3162"/>
      <c r="K60" s="3160"/>
      <c r="L60" s="2492" t="s">
        <v>2232</v>
      </c>
      <c r="M60" s="1759"/>
      <c r="N60" s="2494" t="str">
        <f ca="1">NUMBERSTRING(INT(N59*10000),2)&amp;"元整"</f>
        <v>贰佰玖拾伍万元整</v>
      </c>
      <c r="O60" s="2495"/>
    </row>
    <row r="61" spans="1:35" ht="13.5" thickBot="1">
      <c r="A61" s="3107" t="s">
        <v>2236</v>
      </c>
      <c r="B61" s="3107"/>
      <c r="C61" s="3107"/>
      <c r="D61" s="3107"/>
      <c r="E61" s="3107"/>
      <c r="F61" s="2491"/>
      <c r="G61" s="2491"/>
      <c r="H61" s="2499"/>
      <c r="I61" s="137"/>
      <c r="J61" s="1810">
        <f>J59+1</f>
        <v>6</v>
      </c>
      <c r="K61" s="3160" t="s">
        <v>2237</v>
      </c>
      <c r="L61" s="3160"/>
      <c r="M61" s="1762"/>
      <c r="N61" s="1763">
        <f ca="1">ROUND(N59*10000/'数据-汇总表'!E3,0)</f>
        <v>10905</v>
      </c>
      <c r="O61" s="2500"/>
    </row>
    <row r="62" spans="1:35" ht="12.75">
      <c r="A62" s="3123" t="s">
        <v>2238</v>
      </c>
      <c r="B62" s="3124"/>
      <c r="C62" s="1802"/>
      <c r="D62" s="1802" t="s">
        <v>2239</v>
      </c>
      <c r="E62" s="191" t="s">
        <v>2240</v>
      </c>
      <c r="F62" s="2491"/>
      <c r="G62" s="2491"/>
      <c r="H62" s="2499"/>
      <c r="I62" s="137"/>
    </row>
    <row r="63" spans="1:35" ht="12.75">
      <c r="A63" s="202" t="s">
        <v>775</v>
      </c>
      <c r="B63" s="192" t="s">
        <v>2241</v>
      </c>
      <c r="C63" s="193">
        <f ca="1">ROUND((C64+C65)/(1+'数据-取费表'!C42),0)</f>
        <v>647</v>
      </c>
      <c r="D63" s="194"/>
      <c r="E63" s="195"/>
      <c r="F63" s="2491"/>
      <c r="G63" s="2491"/>
      <c r="H63" s="2499"/>
      <c r="I63" s="137"/>
      <c r="J63" s="3185" t="s">
        <v>2242</v>
      </c>
      <c r="K63" s="2501" t="s">
        <v>2243</v>
      </c>
      <c r="L63" s="1750">
        <f ca="1">IF(M49&gt;10000,M49*0.5%,IF(AND(M49&gt;1000,M49&lt;=10000),M49*1%,IF(AND(M49&gt;100,M49&lt;=1000),M49*3%,IF(AND(M49&gt;10,M49&lt;=100),M49*5%,M49*8%))))</f>
        <v>20.37</v>
      </c>
      <c r="M63" s="23">
        <f ca="1">ROUND(L63,1)</f>
        <v>20.399999999999999</v>
      </c>
      <c r="Z63" s="2425"/>
      <c r="AI63" s="2426"/>
    </row>
    <row r="64" spans="1:35" ht="14.25" customHeight="1">
      <c r="A64" s="196" t="s">
        <v>770</v>
      </c>
      <c r="B64" s="197" t="s">
        <v>2244</v>
      </c>
      <c r="C64" s="198">
        <f ca="1">D45</f>
        <v>679</v>
      </c>
      <c r="D64" s="199" t="s">
        <v>32</v>
      </c>
      <c r="E64" s="200"/>
      <c r="F64" s="2491"/>
      <c r="G64" s="2491"/>
      <c r="H64" s="2499"/>
      <c r="I64" s="137"/>
      <c r="J64" s="3185"/>
      <c r="K64" s="2501" t="s">
        <v>2245</v>
      </c>
      <c r="L64" s="1750">
        <f ca="1">IF(M49&gt;2000,M49*0.5%,IF(AND(M49&gt;1000,M49&lt;=2000),M49*0.6%,IF(AND(M49&gt;500,M49&lt;=1000),M49*0.7%,IF(AND(M49&gt;200,M49&lt;=500),M49*0.8%,IF(AND(M49&gt;100,M49&lt;=200),M49*0.9%,IF(AND(M49&gt;50,M49&lt;=100),M49*1%,IF(AND(M49&gt;20,M49&lt;=50),M49*1.5%,IF(AND(M49&gt;10,M49&lt;=20),M49*2%,IF(AND(M49&gt;1,M49&lt;=10),M49*2.5%)))))))))</f>
        <v>4.7529999999999992</v>
      </c>
      <c r="M64" s="23">
        <f t="shared" ref="M64:M65" ca="1" si="1">ROUND(L64,1)</f>
        <v>4.8</v>
      </c>
      <c r="N64" s="137" t="s">
        <v>2246</v>
      </c>
      <c r="Z64" s="2425"/>
      <c r="AI64" s="2426"/>
    </row>
    <row r="65" spans="1:35" ht="14.25" customHeight="1">
      <c r="A65" s="196" t="s">
        <v>771</v>
      </c>
      <c r="B65" s="197" t="s">
        <v>2247</v>
      </c>
      <c r="C65" s="201"/>
      <c r="D65" s="199"/>
      <c r="E65" s="200"/>
      <c r="F65" s="2491"/>
      <c r="G65" s="2491"/>
      <c r="H65" s="2499"/>
      <c r="I65" s="137"/>
      <c r="J65" s="3185"/>
      <c r="K65" s="2501" t="s">
        <v>2248</v>
      </c>
      <c r="L65" s="1750">
        <f ca="1">IF(M49&gt;1000,M49*0.1%,IF(AND(M49&gt;500,M49&lt;=1000),M49*0.5%,IF(AND(M49&gt;50,M49&lt;=500),M49*1%,IF(AND(M49&gt;1,M49&lt;=50),M49*1.5%))))</f>
        <v>3.395</v>
      </c>
      <c r="M65" s="23">
        <f t="shared" ca="1" si="1"/>
        <v>3.4</v>
      </c>
      <c r="N65" s="137" t="s">
        <v>2246</v>
      </c>
      <c r="Z65" s="2425"/>
      <c r="AI65" s="2426"/>
    </row>
    <row r="66" spans="1:35" ht="14.25" customHeight="1">
      <c r="A66" s="202" t="s">
        <v>772</v>
      </c>
      <c r="B66" s="203" t="s">
        <v>2249</v>
      </c>
      <c r="C66" s="204"/>
      <c r="D66" s="205" t="s">
        <v>32</v>
      </c>
      <c r="E66" s="1774" t="s">
        <v>1369</v>
      </c>
      <c r="F66" s="2491"/>
      <c r="G66" s="2491"/>
      <c r="H66" s="2499"/>
      <c r="I66" s="137"/>
      <c r="J66" s="3185"/>
      <c r="K66" s="2501" t="s">
        <v>2250</v>
      </c>
      <c r="L66" s="1750">
        <f ca="1">M49*0.5%</f>
        <v>3.395</v>
      </c>
      <c r="M66" s="23">
        <f ca="1">IF(L66&gt;0.5,0.5,ROUND(L66,0))</f>
        <v>0.5</v>
      </c>
      <c r="N66" s="137" t="s">
        <v>2251</v>
      </c>
      <c r="Z66" s="2425"/>
      <c r="AI66" s="2426"/>
    </row>
    <row r="67" spans="1:35" ht="14.25" customHeight="1">
      <c r="A67" s="202" t="s">
        <v>773</v>
      </c>
      <c r="B67" s="203" t="s">
        <v>2252</v>
      </c>
      <c r="C67" s="206">
        <f ca="1">C63-C66</f>
        <v>647</v>
      </c>
      <c r="D67" s="199" t="s">
        <v>32</v>
      </c>
      <c r="E67" s="200"/>
      <c r="F67" s="2491"/>
      <c r="G67" s="2491"/>
      <c r="H67" s="2499"/>
      <c r="I67" s="137"/>
      <c r="J67" s="3185"/>
      <c r="K67" s="2501" t="s">
        <v>2253</v>
      </c>
      <c r="L67" s="1750">
        <f ca="1">IF(M49&gt;=10000,(8.25+(M49-10000)*0.01%),IF(AND(M49&gt;=8000,M49&lt;10000),(7.85+(M49-8000)*0.02%),IF(AND(M49&gt;=5000,M49&lt;8000),(6.65+(M49-5000)*0.04%),IF(AND(M49&gt;=2000,M49&lt;5000),(4.25+(PM49-2000)*0.08%),IF(AND(M49&gt;=1000,M49&lt;2000),(2.75+(M49-1000)*0.15%),IF(AND(M49&gt;=100,M49&lt;1000),(0.5+(M49-100)*0.25%),IF(AND(M49&gt;0,M49&lt;100),M49*0.5%)))))))</f>
        <v>1.9475</v>
      </c>
      <c r="M67" s="23">
        <f ca="1">ROUND(L67*0.9,1)</f>
        <v>1.8</v>
      </c>
      <c r="Z67" s="2425"/>
      <c r="AI67" s="2426"/>
    </row>
    <row r="68" spans="1:35" ht="14.25" customHeight="1" thickBot="1">
      <c r="A68" s="207" t="s">
        <v>774</v>
      </c>
      <c r="B68" s="208" t="s">
        <v>2254</v>
      </c>
      <c r="C68" s="209">
        <f ca="1">IF(C67&lt;=0,0,ROUND(C67*D68,0))</f>
        <v>36</v>
      </c>
      <c r="D68" s="210">
        <f>'数据-取费表'!B41</f>
        <v>5.6000000000000001E-2</v>
      </c>
      <c r="E68" s="211"/>
      <c r="F68" s="2491"/>
      <c r="G68" s="2491"/>
      <c r="H68" s="2499"/>
      <c r="I68" s="137"/>
      <c r="J68" s="3185"/>
      <c r="K68" s="2501" t="s">
        <v>2255</v>
      </c>
      <c r="L68" s="1750">
        <f ca="1">IF(M49&gt;10000,M49*0.5%,IF(AND(M49&gt;5000,M49&lt;=10000),M49*1%,IF(AND(M49&gt;1000,M49&lt;=5000),M49*2%,IF(AND(M49&gt;200,M49&lt;=1000),M49*3%,M49*5%))))</f>
        <v>20.37</v>
      </c>
      <c r="M68" s="23">
        <f ca="1">ROUND(L68,1)</f>
        <v>20.399999999999999</v>
      </c>
      <c r="Z68" s="2425"/>
      <c r="AI68" s="2426"/>
    </row>
    <row r="69" spans="1:35" s="2448" customFormat="1" ht="16.5" customHeight="1">
      <c r="A69" s="2502"/>
      <c r="B69" s="2503"/>
      <c r="C69" s="2504"/>
      <c r="D69" s="2505"/>
      <c r="E69" s="2506"/>
      <c r="F69" s="2167"/>
      <c r="G69" s="2167"/>
      <c r="H69" s="2166"/>
      <c r="I69" s="2420"/>
      <c r="J69" s="3185"/>
      <c r="K69" s="2501" t="s">
        <v>2256</v>
      </c>
      <c r="L69" s="2507"/>
      <c r="M69" s="23">
        <f ca="1">ROUND(SUM(M63:M68),0)</f>
        <v>51</v>
      </c>
      <c r="N69" s="1751">
        <f ca="1">M69/M49</f>
        <v>7.511045655375552E-2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4" t="s">
        <v>2257</v>
      </c>
      <c r="B70" s="3145"/>
      <c r="C70" s="3145"/>
      <c r="D70" s="3145"/>
      <c r="E70" s="3145"/>
      <c r="F70" s="3145"/>
      <c r="G70" s="3145"/>
      <c r="H70" s="314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3" t="s">
        <v>2238</v>
      </c>
      <c r="B71" s="3124"/>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647</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18" t="s">
        <v>2266</v>
      </c>
      <c r="F76" s="3095"/>
      <c r="G76" s="3095"/>
      <c r="H76" s="314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04" t="s">
        <v>2271</v>
      </c>
      <c r="F78" s="3105"/>
      <c r="G78" s="3105"/>
      <c r="H78" s="311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643</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160.75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384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4" t="s">
        <v>2275</v>
      </c>
      <c r="B83" s="3145"/>
      <c r="C83" s="3145"/>
      <c r="D83" s="3145"/>
      <c r="E83" s="3145"/>
      <c r="F83" s="3145"/>
      <c r="G83" s="3145"/>
      <c r="H83" s="314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3" t="s">
        <v>2238</v>
      </c>
      <c r="B84" s="3124"/>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647</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4" t="s">
        <v>2284</v>
      </c>
      <c r="F91" s="3105"/>
      <c r="G91" s="3105"/>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4" t="s">
        <v>2288</v>
      </c>
      <c r="F92" s="3105"/>
      <c r="G92" s="3105"/>
      <c r="H92" s="311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04" t="s">
        <v>2271</v>
      </c>
      <c r="F93" s="3105"/>
      <c r="G93" s="3105"/>
      <c r="H93" s="311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5" t="s">
        <v>2292</v>
      </c>
      <c r="F94" s="3116"/>
      <c r="G94" s="3116"/>
      <c r="H94" s="311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643</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160.75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384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89" t="s">
        <v>2294</v>
      </c>
      <c r="B100" s="3090"/>
      <c r="C100" s="3090"/>
      <c r="D100" s="3106"/>
      <c r="E100" s="3090" t="s">
        <v>2295</v>
      </c>
      <c r="F100" s="3090"/>
      <c r="G100" s="3090"/>
      <c r="H100" s="3106"/>
      <c r="I100" s="137"/>
    </row>
    <row r="101" spans="1:35" ht="18.75" customHeight="1">
      <c r="A101" s="3168" t="s">
        <v>2296</v>
      </c>
      <c r="B101" s="3169"/>
      <c r="C101" s="735" t="str">
        <f>C4</f>
        <v>比较法-办公</v>
      </c>
      <c r="D101" s="736" t="str">
        <f>D4</f>
        <v>收益法 (元)-办公</v>
      </c>
      <c r="E101" s="3182" t="s">
        <v>2297</v>
      </c>
      <c r="F101" s="3136"/>
      <c r="G101" s="2522" t="s">
        <v>2298</v>
      </c>
      <c r="H101" s="1047">
        <f ca="1">H118</f>
        <v>679</v>
      </c>
      <c r="I101" s="137"/>
    </row>
    <row r="102" spans="1:35" ht="18.75" customHeight="1">
      <c r="A102" s="3138" t="s">
        <v>2299</v>
      </c>
      <c r="B102" s="2522" t="s">
        <v>2298</v>
      </c>
      <c r="C102" s="735">
        <f ca="1">C19</f>
        <v>731</v>
      </c>
      <c r="D102" s="736">
        <f ca="1">D19</f>
        <v>626</v>
      </c>
      <c r="E102" s="3182"/>
      <c r="F102" s="3136"/>
      <c r="G102" s="2522" t="s">
        <v>2300</v>
      </c>
      <c r="H102" s="370">
        <f ca="1">I118</f>
        <v>32611</v>
      </c>
      <c r="I102" s="137"/>
    </row>
    <row r="103" spans="1:35" ht="42.75" customHeight="1">
      <c r="A103" s="3138"/>
      <c r="B103" s="2522" t="s">
        <v>2300</v>
      </c>
      <c r="C103" s="737">
        <f ca="1">C20</f>
        <v>35113</v>
      </c>
      <c r="D103" s="738">
        <f ca="1">D20</f>
        <v>30067</v>
      </c>
      <c r="E103" s="3177" t="s">
        <v>2301</v>
      </c>
      <c r="F103" s="3178"/>
      <c r="G103" s="2523" t="s">
        <v>2302</v>
      </c>
      <c r="H103" s="1047">
        <f>IF(D36="正常操作",H104+H105+H106,H105+H106)</f>
        <v>0</v>
      </c>
      <c r="I103" s="137"/>
    </row>
    <row r="104" spans="1:35" ht="18.75" customHeight="1">
      <c r="A104" s="3138" t="s">
        <v>2303</v>
      </c>
      <c r="B104" s="2524" t="s">
        <v>2298</v>
      </c>
      <c r="C104" s="739">
        <f ca="1">H118</f>
        <v>679</v>
      </c>
      <c r="D104" s="740"/>
      <c r="E104" s="2268" t="s">
        <v>2304</v>
      </c>
      <c r="F104" s="2259"/>
      <c r="G104" s="2523" t="s">
        <v>2302</v>
      </c>
      <c r="H104" s="1048">
        <f>IF(D36="同一抵押权人同一抵押物续贷",C36&amp;"（未扣减，详见特别提示）",C36)</f>
        <v>0</v>
      </c>
      <c r="I104" s="137"/>
    </row>
    <row r="105" spans="1:35" ht="18.75" customHeight="1" thickBot="1">
      <c r="A105" s="3139"/>
      <c r="B105" s="2525" t="s">
        <v>2300</v>
      </c>
      <c r="C105" s="741">
        <f ca="1">I118</f>
        <v>32611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5" t="str">
        <f>IF(项目基本情况!E8="已注销","——","3.房地产抵押价值")</f>
        <v>3.房地产抵押价值</v>
      </c>
      <c r="F107" s="3136"/>
      <c r="G107" s="2522" t="s">
        <v>2298</v>
      </c>
      <c r="H107" s="1047">
        <f ca="1">IF(E107="——","——",H101-H103)</f>
        <v>679</v>
      </c>
      <c r="I107" s="137"/>
    </row>
    <row r="108" spans="1:35" ht="18.75" customHeight="1">
      <c r="A108" s="137"/>
      <c r="B108" s="137"/>
      <c r="C108" s="137"/>
      <c r="D108" s="137"/>
      <c r="E108" s="3135"/>
      <c r="F108" s="3136"/>
      <c r="G108" s="2522" t="s">
        <v>2300</v>
      </c>
      <c r="H108" s="370">
        <f ca="1">ROUND(H107*10000/'数据-汇总表'!E3,0)</f>
        <v>25101</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36"/>
      <c r="G109" s="2522" t="s">
        <v>2298</v>
      </c>
      <c r="H109" s="347" t="str">
        <f>IF(E109="——","——",H101-H105-H106)</f>
        <v>——</v>
      </c>
      <c r="I109" s="137"/>
    </row>
    <row r="110" spans="1:35" ht="18.75" customHeight="1">
      <c r="A110" s="137"/>
      <c r="B110" s="137"/>
      <c r="C110" s="137"/>
      <c r="D110" s="137"/>
      <c r="E110" s="3135"/>
      <c r="F110" s="3136"/>
      <c r="G110" s="2522" t="s">
        <v>2300</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22" t="s">
        <v>2298</v>
      </c>
      <c r="H111" s="1047" t="str">
        <f>IF(E111="——","——",N59)</f>
        <v>——</v>
      </c>
      <c r="I111" s="137"/>
    </row>
    <row r="112" spans="1:35" ht="18.75" customHeight="1" thickBot="1">
      <c r="A112" s="137"/>
      <c r="B112" s="137"/>
      <c r="C112" s="137"/>
      <c r="D112" s="137"/>
      <c r="E112" s="3172"/>
      <c r="F112" s="3173"/>
      <c r="G112" s="2527" t="s">
        <v>2300</v>
      </c>
      <c r="H112" s="789" t="str">
        <f>IF(E111="——","——",N61)</f>
        <v>——</v>
      </c>
      <c r="I112" s="137"/>
    </row>
    <row r="113" spans="1:11" ht="18.75" customHeight="1">
      <c r="A113" s="137"/>
      <c r="B113" s="137"/>
      <c r="C113" s="137"/>
      <c r="D113" s="137"/>
      <c r="E113" s="3140" t="s">
        <v>2306</v>
      </c>
      <c r="F113" s="3140"/>
      <c r="G113" s="3140"/>
      <c r="H113" s="3140"/>
      <c r="I113" s="137"/>
    </row>
    <row r="114" spans="1:11" ht="3.75" customHeight="1">
      <c r="A114" s="2420"/>
      <c r="B114" s="2420"/>
      <c r="C114" s="2420"/>
      <c r="D114" s="2420"/>
      <c r="E114" s="2498"/>
      <c r="F114" s="2498"/>
      <c r="G114" s="2498"/>
      <c r="H114" s="2498"/>
      <c r="I114" s="2420"/>
    </row>
    <row r="115" spans="1:11" ht="18.75" customHeight="1">
      <c r="A115" s="3153" t="s">
        <v>2308</v>
      </c>
      <c r="B115" s="3154"/>
      <c r="C115" s="3154"/>
      <c r="D115" s="3154"/>
      <c r="E115" s="3154"/>
      <c r="F115" s="3154"/>
      <c r="G115" s="3154"/>
      <c r="H115" s="3154"/>
      <c r="I115" s="3155"/>
    </row>
    <row r="116" spans="1:11" ht="27" customHeight="1">
      <c r="A116" s="3046" t="s">
        <v>2309</v>
      </c>
      <c r="B116" s="3141" t="s">
        <v>2310</v>
      </c>
      <c r="C116" s="3141" t="s">
        <v>2311</v>
      </c>
      <c r="D116" s="3157" t="s">
        <v>2312</v>
      </c>
      <c r="E116" s="3158"/>
      <c r="F116" s="3149" t="s">
        <v>2313</v>
      </c>
      <c r="G116" s="3149"/>
      <c r="H116" s="3046" t="s">
        <v>2314</v>
      </c>
      <c r="I116" s="3046"/>
    </row>
    <row r="117" spans="1:11" ht="18.75" customHeight="1">
      <c r="A117" s="3046"/>
      <c r="B117" s="3142"/>
      <c r="C117" s="3142"/>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679</v>
      </c>
      <c r="I118" s="1796">
        <f ca="1">ROUND(IF(D32="楼面单价",C32,H118*10000/B118),0)</f>
        <v>32611</v>
      </c>
    </row>
    <row r="119" spans="1:11" ht="18.75" customHeight="1">
      <c r="A119" s="3046" t="s">
        <v>2318</v>
      </c>
      <c r="B119" s="3046"/>
      <c r="C119" s="3046"/>
      <c r="D119" s="3146" t="e">
        <f ca="1">NUMBERSTRING(INT(D118*10000),2)&amp;"元整"</f>
        <v>#REF!</v>
      </c>
      <c r="E119" s="3148"/>
      <c r="F119" s="3146" t="e">
        <f ca="1">NUMBERSTRING(INT(F118*10000),2)&amp;"元整"</f>
        <v>#REF!</v>
      </c>
      <c r="G119" s="3148"/>
      <c r="H119" s="3146" t="str">
        <f ca="1">NUMBERSTRING(INT(H118*10000),2)&amp;"元整"</f>
        <v>陆佰柒拾玖万元整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25" t="str">
        <f>IF(D120=0,"故，本次评估不存在"&amp;A120,"故，本次评估"&amp;A120&amp;"为人民币"&amp;D120&amp;"万元整。")</f>
        <v>故，本次评估不存在估价师知悉的法定优先受偿款</v>
      </c>
    </row>
    <row r="121" spans="1:11" ht="18.75" customHeight="1">
      <c r="A121" s="3150" t="s">
        <v>2318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679</v>
      </c>
      <c r="E122" s="3175"/>
      <c r="F122" s="3175"/>
      <c r="G122" s="3175"/>
      <c r="H122" s="3175"/>
      <c r="I122" s="3176"/>
    </row>
    <row r="123" spans="1:11" ht="18.75" customHeight="1">
      <c r="A123" s="3046" t="s">
        <v>2318</v>
      </c>
      <c r="B123" s="3046"/>
      <c r="C123" s="3046"/>
      <c r="D123" s="3146" t="str">
        <f ca="1">NUMBERSTRING(INT(D122*10000),2)&amp;"元整"</f>
        <v>陆佰柒拾玖万元整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2318</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2318</v>
      </c>
      <c r="B127" s="3046"/>
      <c r="C127" s="3046"/>
      <c r="D127" s="3146" t="e">
        <f>NUMBERSTRING(INT(D126*10000),2)&amp;"元整"</f>
        <v>#VALUE!</v>
      </c>
      <c r="E127" s="3147"/>
      <c r="F127" s="3147"/>
      <c r="G127" s="3147"/>
      <c r="H127" s="3147"/>
      <c r="I127" s="3148"/>
    </row>
    <row r="128" spans="1:11" ht="21.75" customHeight="1">
      <c r="A128" s="3156" t="s">
        <v>2319</v>
      </c>
      <c r="B128" s="3156"/>
      <c r="C128" s="3156"/>
      <c r="D128" s="3156"/>
      <c r="E128" s="3156"/>
      <c r="F128" s="3156"/>
      <c r="G128" s="3156"/>
      <c r="H128" s="3156"/>
      <c r="I128" s="3156"/>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95</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3512</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1.4999999999999999E-2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5">
        <f ca="1">ROUND(SUM(C23:C25),0)</f>
        <v>0</v>
      </c>
      <c r="D22" s="278">
        <f ca="1">C26</f>
        <v>4.0000000000000002E-4</v>
      </c>
      <c r="E22" s="279" t="s">
        <v>2364</v>
      </c>
      <c r="F22" s="280">
        <f ca="1">'数据-取费表'!B40</f>
        <v>4.3499999999999997E-2</v>
      </c>
      <c r="G22" s="277" t="str">
        <f>IF('数据-取费表'!B22&lt;=1,"单利计息","复利计息")</f>
        <v>单利计息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4.0000000000000002E-4</v>
      </c>
      <c r="D26" s="281"/>
      <c r="E26" s="284"/>
      <c r="F26" s="282"/>
      <c r="G26" s="286"/>
    </row>
    <row r="27" spans="1:7" s="257" customFormat="1" ht="24.75">
      <c r="A27" s="298" t="s">
        <v>2378</v>
      </c>
      <c r="B27" s="287" t="s">
        <v>2379</v>
      </c>
      <c r="C27" s="288">
        <f ca="1">C28</f>
        <v>1</v>
      </c>
      <c r="D27" s="278">
        <f ca="1">C29</f>
        <v>2.3999999999999998E-3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2.3999999999999998E-3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6</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1</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v>
      </c>
      <c r="D41" s="278">
        <f ca="1">C44</f>
        <v>4.0000000000000002E-4</v>
      </c>
      <c r="E41" s="279" t="s">
        <v>2405</v>
      </c>
      <c r="F41" s="280"/>
      <c r="G41" s="277" t="str">
        <f>IF('数据-取费表'!B22&lt;=1,"单利计息","复利计息")</f>
        <v>单利计息</v>
      </c>
    </row>
    <row r="42" spans="1:7" ht="13.5" customHeight="1">
      <c r="A42" s="953" t="s">
        <v>791</v>
      </c>
      <c r="B42" s="258" t="s">
        <v>2409</v>
      </c>
      <c r="C42" s="281">
        <f ca="1">ROUND(IF('数据-取费表'!B22&lt;=1,C33*F22*'数据-取费表'!B21/2,C33*(POWER((1+F22),'数据-取费表'!B21/2)-1)),0)</f>
        <v>2</v>
      </c>
      <c r="D42" s="281"/>
      <c r="E42" s="281"/>
      <c r="F42" s="282"/>
      <c r="G42" s="3188" t="s">
        <v>2410</v>
      </c>
    </row>
    <row r="43" spans="1:7" ht="13.5" customHeight="1">
      <c r="A43" s="953" t="s">
        <v>792</v>
      </c>
      <c r="B43" s="258" t="s">
        <v>2411</v>
      </c>
      <c r="C43" s="281">
        <f ca="1">ROUND(IF('数据-取费表'!B22&lt;=1,C39*F22*'数据-取费表'!B21/2,C39*(POWER((1+F22),'数据-取费表'!B21/2)-1)),0)</f>
        <v>0</v>
      </c>
      <c r="D43" s="281"/>
      <c r="E43" s="281"/>
      <c r="F43" s="282"/>
      <c r="G43" s="3189"/>
    </row>
    <row r="44" spans="1:7" ht="13.5" customHeight="1">
      <c r="A44" s="953" t="s">
        <v>793</v>
      </c>
      <c r="B44" s="258" t="s">
        <v>2412</v>
      </c>
      <c r="C44" s="281">
        <f ca="1">ROUND(IF('数据-取费表'!B22&lt;=1,C40*F22*'数据-取费表'!B21/2,C40*(POWER((1+F22),'数据-取费表'!B21/2)-1)),4)</f>
        <v>4.0000000000000002E-4</v>
      </c>
      <c r="D44" s="281"/>
      <c r="E44" s="281"/>
      <c r="F44" s="282"/>
      <c r="G44" s="3190"/>
    </row>
    <row r="45" spans="1:7" s="257" customFormat="1" ht="13.5" customHeight="1">
      <c r="A45" s="298" t="s">
        <v>2413</v>
      </c>
      <c r="B45" s="287" t="s">
        <v>2379</v>
      </c>
      <c r="C45" s="288">
        <f ca="1">C46</f>
        <v>11</v>
      </c>
      <c r="D45" s="278">
        <f ca="1">C47</f>
        <v>2.3999999999999998E-3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2.3999999999999998E-3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116</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89</v>
      </c>
      <c r="D51" s="275"/>
      <c r="E51" s="275"/>
      <c r="F51" s="307"/>
      <c r="G51" s="277" t="s">
        <v>2426</v>
      </c>
    </row>
    <row r="52" spans="1:7" s="251" customFormat="1" ht="16.5" thickBot="1">
      <c r="A52" s="308" t="s">
        <v>2427</v>
      </c>
      <c r="B52" s="309"/>
      <c r="C52" s="310">
        <f ca="1">C31+C51</f>
        <v>95</v>
      </c>
      <c r="D52" s="309"/>
      <c r="E52" s="309"/>
      <c r="F52" s="309"/>
      <c r="G52" s="311"/>
    </row>
    <row r="55" spans="1:7" ht="15">
      <c r="B55" s="313" t="s">
        <v>2428</v>
      </c>
      <c r="C55" s="314"/>
    </row>
    <row r="56" spans="1:7">
      <c r="B56" s="316" t="s">
        <v>1511</v>
      </c>
      <c r="C56" s="318">
        <f ca="1">1-C57</f>
        <v>6.2999999999999945E-2</v>
      </c>
    </row>
    <row r="57" spans="1:7">
      <c r="B57" s="316" t="s">
        <v>1512</v>
      </c>
      <c r="C57" s="317">
        <f ca="1">ROUND(C51/C52,3)</f>
        <v>0.93700000000000006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2" t="str">
        <f>项目基本情况!B1</f>
        <v>房地产抵押价值预评估</v>
      </c>
      <c r="C37" s="3002"/>
      <c r="D37" s="3002"/>
      <c r="E37" s="3002"/>
      <c r="F37" s="3002"/>
      <c r="G37" s="3002"/>
      <c r="H37" s="3002"/>
      <c r="I37" s="3002"/>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112</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4140</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2556</v>
      </c>
      <c r="D20" s="275"/>
      <c r="E20" s="275"/>
      <c r="F20" s="276">
        <f>'数据-取费表'!B37</f>
        <v>1.4999999999999999E-2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1">
        <f ca="1">ROUND(SUM(C23:C25),0)</f>
        <v>7469</v>
      </c>
      <c r="D22" s="278">
        <f ca="1">C26</f>
        <v>4.0000000000000002E-4</v>
      </c>
      <c r="E22" s="279" t="s">
        <v>2445</v>
      </c>
      <c r="F22" s="280">
        <f ca="1">'数据-取费表'!B40</f>
        <v>4.3499999999999997E-2</v>
      </c>
      <c r="G22" s="277" t="str">
        <f>IF('数据-取费表'!B22&lt;=1,"单利计息","复利计息")</f>
        <v>单利计息</v>
      </c>
    </row>
    <row r="23" spans="1:7" s="257" customFormat="1" ht="13.5" customHeight="1">
      <c r="A23" s="953" t="s">
        <v>2338</v>
      </c>
      <c r="B23" s="258" t="s">
        <v>2449</v>
      </c>
      <c r="C23" s="1382">
        <f ca="1">ROUND(IF('数据-取费表'!B22&lt;=1,C5*F22*'数据-取费表'!B22,C5*(POWER((1+F22),'数据-取费表'!B22)-1)),0)</f>
        <v>5060</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2353</v>
      </c>
      <c r="D24" s="281"/>
      <c r="E24" s="281"/>
      <c r="F24" s="282"/>
      <c r="G24" s="283" t="s">
        <v>2452</v>
      </c>
    </row>
    <row r="25" spans="1:7" s="257" customFormat="1" ht="24">
      <c r="A25" s="953" t="s">
        <v>2342</v>
      </c>
      <c r="B25" s="258" t="s">
        <v>2453</v>
      </c>
      <c r="C25" s="1382">
        <f ca="1">ROUND(IF('数据-取费表'!B22&lt;=1,C20*F22*'数据-取费表'!B22/2,C20*(POWER((1+F22),'数据-取费表'!B22/2)-1)),0)</f>
        <v>56</v>
      </c>
      <c r="D25" s="281"/>
      <c r="E25" s="284"/>
      <c r="F25" s="282"/>
      <c r="G25" s="285" t="s">
        <v>2454</v>
      </c>
    </row>
    <row r="26" spans="1:7" s="257" customFormat="1">
      <c r="A26" s="953" t="s">
        <v>795</v>
      </c>
      <c r="B26" s="258" t="s">
        <v>2377</v>
      </c>
      <c r="C26" s="281">
        <f ca="1">ROUND(IF('数据-取费表'!B22&lt;=1,F21*F22*'数据-取费表'!B22/2,F21*(POWER((1+F22),'数据-取费表'!B22/2)-1)),4)</f>
        <v>4.0000000000000002E-4</v>
      </c>
      <c r="D26" s="281"/>
      <c r="E26" s="284"/>
      <c r="F26" s="282"/>
      <c r="G26" s="286"/>
    </row>
    <row r="27" spans="1:7" s="257" customFormat="1" ht="24.75">
      <c r="A27" s="298" t="s">
        <v>2378</v>
      </c>
      <c r="B27" s="287" t="s">
        <v>2379</v>
      </c>
      <c r="C27" s="288">
        <f ca="1">C28</f>
        <v>20757</v>
      </c>
      <c r="D27" s="278">
        <f ca="1">C29</f>
        <v>2.3999999999999998E-3</v>
      </c>
      <c r="E27" s="279" t="s">
        <v>2380</v>
      </c>
      <c r="F27" s="289">
        <f ca="1">IF(B1="",'数据-取费表'!Q16,INDIRECT("'数据-取费表'!q"&amp;$G$1))</f>
        <v>0.12</v>
      </c>
      <c r="G27" s="290" t="s">
        <v>2381</v>
      </c>
    </row>
    <row r="28" spans="1:7" s="257" customFormat="1" ht="13.5" customHeight="1">
      <c r="A28" s="953" t="s">
        <v>791</v>
      </c>
      <c r="B28" s="291" t="s">
        <v>2382</v>
      </c>
      <c r="C28" s="292">
        <f ca="1">ROUND((C5+C19+C20)*F27,0)</f>
        <v>20757</v>
      </c>
      <c r="D28" s="278"/>
      <c r="E28" s="279"/>
      <c r="F28" s="289"/>
      <c r="G28" s="290"/>
    </row>
    <row r="29" spans="1:7" s="257" customFormat="1" ht="13.5" customHeight="1">
      <c r="A29" s="953" t="s">
        <v>792</v>
      </c>
      <c r="B29" s="291" t="s">
        <v>2383</v>
      </c>
      <c r="C29" s="281">
        <f ca="1">ROUND(C21*F27,4)</f>
        <v>2.3999999999999998E-3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217776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929555</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822022</v>
      </c>
      <c r="D34" s="260"/>
      <c r="E34" s="263"/>
      <c r="F34" s="300"/>
      <c r="G34" s="262"/>
    </row>
    <row r="35" spans="1:7" ht="13.5" customHeight="1">
      <c r="A35" s="953" t="s">
        <v>796</v>
      </c>
      <c r="B35" s="258" t="s">
        <v>2393</v>
      </c>
      <c r="C35" s="263">
        <f ca="1">ROUND(C34*F35,0)</f>
        <v>41101</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12330</v>
      </c>
      <c r="D38" s="263"/>
      <c r="E38" s="263"/>
      <c r="F38" s="302">
        <f>'数据-取费表'!B36</f>
        <v>1.4999999999999999E-2</v>
      </c>
      <c r="G38" s="262" t="s">
        <v>2394</v>
      </c>
    </row>
    <row r="39" spans="1:7" s="257" customFormat="1" ht="13.5" customHeight="1">
      <c r="A39" s="298" t="s">
        <v>2400</v>
      </c>
      <c r="B39" s="253" t="s">
        <v>2401</v>
      </c>
      <c r="C39" s="275">
        <f ca="1">ROUND(C33*F20,0)</f>
        <v>13943</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20521</v>
      </c>
      <c r="D41" s="278">
        <f ca="1">C44</f>
        <v>4.0000000000000002E-4</v>
      </c>
      <c r="E41" s="279" t="s">
        <v>2405</v>
      </c>
      <c r="F41" s="280"/>
      <c r="G41" s="277" t="str">
        <f>IF('数据-取费表'!B22&lt;=1,"单利计息","复利计息")</f>
        <v>单利计息</v>
      </c>
    </row>
    <row r="42" spans="1:7" ht="13.5" customHeight="1">
      <c r="A42" s="953" t="s">
        <v>791</v>
      </c>
      <c r="B42" s="258" t="s">
        <v>2409</v>
      </c>
      <c r="C42" s="281">
        <f ca="1">ROUND(IF('数据-取费表'!B22&lt;=1,C33*F22*'数据-取费表'!B20/2,C33*(POWER((1+F22),'数据-取费表'!B20/2)-1)),0)</f>
        <v>20218</v>
      </c>
      <c r="D42" s="281"/>
      <c r="E42" s="281"/>
      <c r="F42" s="282"/>
      <c r="G42" s="3188" t="s">
        <v>2457</v>
      </c>
    </row>
    <row r="43" spans="1:7" ht="13.5" customHeight="1">
      <c r="A43" s="953" t="s">
        <v>792</v>
      </c>
      <c r="B43" s="258" t="s">
        <v>2411</v>
      </c>
      <c r="C43" s="281">
        <f ca="1">ROUND(IF('数据-取费表'!B22&lt;=1,C39*F22*'数据-取费表'!B20/2,C39*(POWER((1+F22),'数据-取费表'!B20/2)-1)),0)</f>
        <v>303</v>
      </c>
      <c r="D43" s="281"/>
      <c r="E43" s="281"/>
      <c r="F43" s="282"/>
      <c r="G43" s="3189"/>
    </row>
    <row r="44" spans="1:7" ht="13.5" customHeight="1">
      <c r="A44" s="953" t="s">
        <v>793</v>
      </c>
      <c r="B44" s="258" t="s">
        <v>2412</v>
      </c>
      <c r="C44" s="281">
        <f ca="1">ROUND(IF('数据-取费表'!B22&lt;=1,C40*F22*'数据-取费表'!B20/2,C40*(POWER((1+F22),'数据-取费表'!B20/2)-1)),4)</f>
        <v>4.0000000000000002E-4</v>
      </c>
      <c r="D44" s="281"/>
      <c r="E44" s="281"/>
      <c r="F44" s="282"/>
      <c r="G44" s="3190"/>
    </row>
    <row r="45" spans="1:7" s="257" customFormat="1" ht="13.5" customHeight="1">
      <c r="A45" s="298" t="s">
        <v>2413</v>
      </c>
      <c r="B45" s="287" t="s">
        <v>2379</v>
      </c>
      <c r="C45" s="288">
        <f ca="1">C46</f>
        <v>113220</v>
      </c>
      <c r="D45" s="278">
        <f ca="1">C47</f>
        <v>2.3999999999999998E-3</v>
      </c>
      <c r="E45" s="279" t="s">
        <v>2405</v>
      </c>
      <c r="F45" s="289"/>
      <c r="G45" s="290" t="s">
        <v>2414</v>
      </c>
    </row>
    <row r="46" spans="1:7" s="257" customFormat="1" ht="13.5" customHeight="1">
      <c r="A46" s="953" t="s">
        <v>791</v>
      </c>
      <c r="B46" s="291" t="s">
        <v>2415</v>
      </c>
      <c r="C46" s="292">
        <f ca="1">ROUND((C33+C39)*F27,0)</f>
        <v>113220</v>
      </c>
      <c r="D46" s="306"/>
      <c r="E46" s="279"/>
      <c r="F46" s="289"/>
      <c r="G46" s="290"/>
    </row>
    <row r="47" spans="1:7" s="257" customFormat="1" ht="13.5" customHeight="1">
      <c r="A47" s="953" t="s">
        <v>792</v>
      </c>
      <c r="B47" s="291" t="s">
        <v>2416</v>
      </c>
      <c r="C47" s="281">
        <f ca="1">ROUND(C40*F27,4)</f>
        <v>2.3999999999999998E-3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1165969</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897796</v>
      </c>
      <c r="D51" s="275"/>
      <c r="E51" s="275"/>
      <c r="F51" s="307"/>
      <c r="G51" s="277" t="s">
        <v>2426</v>
      </c>
    </row>
    <row r="52" spans="1:7" s="251" customFormat="1" ht="16.5" thickBot="1">
      <c r="A52" s="308" t="s">
        <v>2427</v>
      </c>
      <c r="B52" s="309"/>
      <c r="C52" s="310">
        <f ca="1">C31+C51</f>
        <v>1115572</v>
      </c>
      <c r="D52" s="309"/>
      <c r="E52" s="309"/>
      <c r="F52" s="309"/>
      <c r="G52" s="311"/>
    </row>
    <row r="55" spans="1:7" ht="15">
      <c r="B55" s="313" t="s">
        <v>2428</v>
      </c>
      <c r="C55" s="314"/>
    </row>
    <row r="56" spans="1:7">
      <c r="B56" s="316" t="s">
        <v>1511</v>
      </c>
      <c r="C56" s="318">
        <f ca="1">1-C57</f>
        <v>0.19499999999999995</v>
      </c>
    </row>
    <row r="57" spans="1:7">
      <c r="B57" s="316" t="s">
        <v>1512</v>
      </c>
      <c r="C57" s="317">
        <f ca="1">ROUND(C51/C52,3)</f>
        <v>0.80500000000000005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1.4999999999999999E-2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（1）-（3）项×年利率×建设期÷2</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B9" sqref="B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731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35113</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9" t="s">
        <v>2647</v>
      </c>
      <c r="D4" s="3210"/>
      <c r="E4" s="3211" t="s">
        <v>2648</v>
      </c>
      <c r="F4" s="3212"/>
      <c r="G4" s="3209" t="s">
        <v>2649</v>
      </c>
      <c r="H4" s="3210"/>
      <c r="I4" s="3209" t="s">
        <v>2650</v>
      </c>
      <c r="J4" s="3210"/>
      <c r="K4" s="609" t="s">
        <v>2651</v>
      </c>
      <c r="L4" s="1132"/>
      <c r="M4" s="1133"/>
      <c r="N4" s="1133"/>
      <c r="O4" s="1133"/>
      <c r="P4" s="3213" t="s">
        <v>2652</v>
      </c>
      <c r="Q4" s="3214"/>
      <c r="R4" s="3219" t="s">
        <v>2648</v>
      </c>
      <c r="S4" s="3220"/>
      <c r="T4" s="3219" t="s">
        <v>2649</v>
      </c>
      <c r="U4" s="3220"/>
      <c r="V4" s="3225" t="s">
        <v>2650</v>
      </c>
      <c r="W4" s="3225"/>
      <c r="X4" s="2674"/>
      <c r="Y4" s="3219" t="s">
        <v>2652</v>
      </c>
      <c r="Z4" s="3220"/>
      <c r="AA4" s="3239" t="s">
        <v>2648</v>
      </c>
      <c r="AB4" s="3239" t="s">
        <v>2649</v>
      </c>
      <c r="AC4" s="3206" t="s">
        <v>2650</v>
      </c>
    </row>
    <row r="5" spans="1:29" ht="15">
      <c r="A5" s="403"/>
      <c r="B5" s="404"/>
      <c r="C5" s="3235" t="s">
        <v>2543</v>
      </c>
      <c r="D5" s="3236"/>
      <c r="E5" s="3229" t="s">
        <v>3087</v>
      </c>
      <c r="F5" s="3230"/>
      <c r="G5" s="3229" t="s">
        <v>3087</v>
      </c>
      <c r="H5" s="3230"/>
      <c r="I5" s="3229" t="s">
        <v>3087</v>
      </c>
      <c r="J5" s="3230"/>
      <c r="K5" s="609"/>
      <c r="L5" s="1132"/>
      <c r="M5" s="1133"/>
      <c r="N5" s="1133"/>
      <c r="O5" s="1133"/>
      <c r="P5" s="3215"/>
      <c r="Q5" s="3216"/>
      <c r="R5" s="3221"/>
      <c r="S5" s="3222"/>
      <c r="T5" s="3221"/>
      <c r="U5" s="3222"/>
      <c r="V5" s="3226"/>
      <c r="W5" s="3226"/>
      <c r="X5" s="1814"/>
      <c r="Y5" s="3221"/>
      <c r="Z5" s="3222"/>
      <c r="AA5" s="3240"/>
      <c r="AB5" s="3240"/>
      <c r="AC5" s="3207"/>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17"/>
      <c r="Q6" s="3218"/>
      <c r="R6" s="3221"/>
      <c r="S6" s="3222"/>
      <c r="T6" s="3223"/>
      <c r="U6" s="3224"/>
      <c r="V6" s="3226"/>
      <c r="W6" s="3226"/>
      <c r="X6" s="1814"/>
      <c r="Y6" s="3223"/>
      <c r="Z6" s="3224"/>
      <c r="AA6" s="3241"/>
      <c r="AB6" s="3241"/>
      <c r="AC6" s="3208"/>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1" t="s">
        <v>2550</v>
      </c>
      <c r="Q7" s="3234"/>
      <c r="R7" s="769" t="s">
        <v>17</v>
      </c>
      <c r="S7" s="770">
        <f t="shared" ref="S7:S15" si="0">F7</f>
        <v>100</v>
      </c>
      <c r="T7" s="769" t="s">
        <v>17</v>
      </c>
      <c r="U7" s="770">
        <f t="shared" ref="U7:U15" si="1">H7</f>
        <v>100</v>
      </c>
      <c r="V7" s="769" t="s">
        <v>17</v>
      </c>
      <c r="W7" s="770">
        <f t="shared" ref="W7:W15" si="2">J7</f>
        <v>100</v>
      </c>
      <c r="X7" s="771"/>
      <c r="Y7" s="3233" t="s">
        <v>2550</v>
      </c>
      <c r="Z7" s="3232"/>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1" t="s">
        <v>2553</v>
      </c>
      <c r="Q8" s="3232"/>
      <c r="R8" s="769" t="s">
        <v>17</v>
      </c>
      <c r="S8" s="770">
        <f t="shared" si="0"/>
        <v>100</v>
      </c>
      <c r="T8" s="769" t="s">
        <v>17</v>
      </c>
      <c r="U8" s="770">
        <f t="shared" si="1"/>
        <v>100</v>
      </c>
      <c r="V8" s="769" t="s">
        <v>17</v>
      </c>
      <c r="W8" s="770">
        <f t="shared" si="2"/>
        <v>100</v>
      </c>
      <c r="X8" s="771"/>
      <c r="Y8" s="3233" t="s">
        <v>2553</v>
      </c>
      <c r="Z8" s="3232"/>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1"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1"/>
      <c r="Q11" s="1796" t="str">
        <f t="shared" si="6"/>
        <v>容积率</v>
      </c>
      <c r="R11" s="769" t="s">
        <v>17</v>
      </c>
      <c r="S11" s="770">
        <f t="shared" si="0"/>
        <v>100</v>
      </c>
      <c r="T11" s="769" t="s">
        <v>17</v>
      </c>
      <c r="U11" s="770">
        <f t="shared" si="1"/>
        <v>100</v>
      </c>
      <c r="V11" s="769" t="s">
        <v>17</v>
      </c>
      <c r="W11" s="770">
        <f t="shared" si="2"/>
        <v>100</v>
      </c>
      <c r="X11" s="771"/>
      <c r="Y11" s="3046"/>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1"/>
      <c r="Q14" s="1796">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7" t="s">
        <v>2561</v>
      </c>
      <c r="Q15" s="1811" t="str">
        <f t="shared" si="6"/>
        <v>办公集聚程度</v>
      </c>
      <c r="R15" s="773" t="s">
        <v>17</v>
      </c>
      <c r="S15" s="774">
        <f t="shared" si="0"/>
        <v>100</v>
      </c>
      <c r="T15" s="773" t="s">
        <v>17</v>
      </c>
      <c r="U15" s="774">
        <f t="shared" si="1"/>
        <v>100</v>
      </c>
      <c r="V15" s="773" t="s">
        <v>17</v>
      </c>
      <c r="W15" s="774">
        <f t="shared" si="2"/>
        <v>100</v>
      </c>
      <c r="X15" s="1814"/>
      <c r="Y15" s="3199"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198"/>
      <c r="Q16" s="1811"/>
      <c r="R16" s="773"/>
      <c r="S16" s="774"/>
      <c r="T16" s="773"/>
      <c r="U16" s="774"/>
      <c r="V16" s="773"/>
      <c r="W16" s="774"/>
      <c r="X16" s="1814"/>
      <c r="Y16" s="3200"/>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198"/>
      <c r="Q17" s="1811" t="str">
        <f>B17</f>
        <v>交通便捷度</v>
      </c>
      <c r="R17" s="773" t="s">
        <v>17</v>
      </c>
      <c r="S17" s="774">
        <f>F17</f>
        <v>100</v>
      </c>
      <c r="T17" s="773" t="s">
        <v>17</v>
      </c>
      <c r="U17" s="774">
        <f>H17</f>
        <v>100</v>
      </c>
      <c r="V17" s="773" t="s">
        <v>17</v>
      </c>
      <c r="W17" s="774">
        <f>J17</f>
        <v>100</v>
      </c>
      <c r="X17" s="1814"/>
      <c r="Y17" s="3200"/>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198"/>
      <c r="Q18" s="1811"/>
      <c r="R18" s="773"/>
      <c r="S18" s="774"/>
      <c r="T18" s="773"/>
      <c r="U18" s="774"/>
      <c r="V18" s="773"/>
      <c r="W18" s="774"/>
      <c r="X18" s="1814"/>
      <c r="Y18" s="3200"/>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198"/>
      <c r="Q19" s="1811" t="str">
        <f>B19</f>
        <v>公共配套设施</v>
      </c>
      <c r="R19" s="773" t="s">
        <v>17</v>
      </c>
      <c r="S19" s="774">
        <f>F19</f>
        <v>100</v>
      </c>
      <c r="T19" s="773" t="s">
        <v>17</v>
      </c>
      <c r="U19" s="774">
        <f>H19</f>
        <v>100</v>
      </c>
      <c r="V19" s="773" t="s">
        <v>17</v>
      </c>
      <c r="W19" s="774">
        <f>J19</f>
        <v>100</v>
      </c>
      <c r="X19" s="1814"/>
      <c r="Y19" s="3200"/>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198"/>
      <c r="Q20" s="1811"/>
      <c r="R20" s="773"/>
      <c r="S20" s="774"/>
      <c r="T20" s="773"/>
      <c r="U20" s="774"/>
      <c r="V20" s="773"/>
      <c r="W20" s="774"/>
      <c r="X20" s="1814"/>
      <c r="Y20" s="3200"/>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198"/>
      <c r="Q21" s="1811" t="str">
        <f>B21</f>
        <v>基础设施水平</v>
      </c>
      <c r="R21" s="773" t="s">
        <v>17</v>
      </c>
      <c r="S21" s="774">
        <f>F21</f>
        <v>100</v>
      </c>
      <c r="T21" s="773" t="s">
        <v>17</v>
      </c>
      <c r="U21" s="774">
        <f>H21</f>
        <v>100</v>
      </c>
      <c r="V21" s="773" t="s">
        <v>17</v>
      </c>
      <c r="W21" s="774">
        <f>J21</f>
        <v>100</v>
      </c>
      <c r="X21" s="1814"/>
      <c r="Y21" s="3200"/>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198"/>
      <c r="Q22" s="1811"/>
      <c r="R22" s="773"/>
      <c r="S22" s="774"/>
      <c r="T22" s="773"/>
      <c r="U22" s="774"/>
      <c r="V22" s="773"/>
      <c r="W22" s="774"/>
      <c r="X22" s="1814"/>
      <c r="Y22" s="3200"/>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198"/>
      <c r="Q23" s="1811" t="str">
        <f>B23</f>
        <v>环境质量</v>
      </c>
      <c r="R23" s="773" t="s">
        <v>17</v>
      </c>
      <c r="S23" s="774">
        <f>F23</f>
        <v>100</v>
      </c>
      <c r="T23" s="773" t="s">
        <v>17</v>
      </c>
      <c r="U23" s="774">
        <f>H23</f>
        <v>100</v>
      </c>
      <c r="V23" s="773" t="s">
        <v>17</v>
      </c>
      <c r="W23" s="774">
        <f>J23</f>
        <v>100</v>
      </c>
      <c r="X23" s="1814"/>
      <c r="Y23" s="3200"/>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198"/>
      <c r="Q24" s="1811"/>
      <c r="R24" s="773"/>
      <c r="S24" s="774"/>
      <c r="T24" s="773"/>
      <c r="U24" s="774"/>
      <c r="V24" s="773"/>
      <c r="W24" s="774"/>
      <c r="X24" s="1814"/>
      <c r="Y24" s="3200"/>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98"/>
      <c r="Q25" s="1811" t="str">
        <f>B25</f>
        <v>毗邻道路的类型与等级</v>
      </c>
      <c r="R25" s="773" t="s">
        <v>17</v>
      </c>
      <c r="S25" s="774">
        <f>F25</f>
        <v>100</v>
      </c>
      <c r="T25" s="773" t="s">
        <v>17</v>
      </c>
      <c r="U25" s="774">
        <f>H25</f>
        <v>100</v>
      </c>
      <c r="V25" s="773" t="s">
        <v>17</v>
      </c>
      <c r="W25" s="774">
        <f>J25</f>
        <v>100</v>
      </c>
      <c r="X25" s="1814"/>
      <c r="Y25" s="3200"/>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198"/>
      <c r="Q26" s="1811"/>
      <c r="R26" s="773"/>
      <c r="S26" s="774"/>
      <c r="T26" s="773"/>
      <c r="U26" s="774"/>
      <c r="V26" s="773"/>
      <c r="W26" s="774"/>
      <c r="X26" s="1814"/>
      <c r="Y26" s="3200"/>
      <c r="Z26" s="1815"/>
      <c r="AA26" s="1812">
        <v>1</v>
      </c>
      <c r="AB26" s="1812">
        <v>1</v>
      </c>
      <c r="AC26" s="2678">
        <v>1</v>
      </c>
    </row>
    <row r="27" spans="1:29" ht="15">
      <c r="A27" s="427"/>
      <c r="B27" s="631" t="s">
        <v>2660</v>
      </c>
      <c r="C27" s="633" t="s">
        <v>3079</v>
      </c>
      <c r="D27" s="434">
        <v>100</v>
      </c>
      <c r="E27" s="615" t="s">
        <v>3114</v>
      </c>
      <c r="F27" s="434">
        <f>SUMIF(89:89,E27,90:90)-SUMIF(89:89,C27,90:90)+100</f>
        <v>90</v>
      </c>
      <c r="G27" s="633" t="s">
        <v>3077</v>
      </c>
      <c r="H27" s="434">
        <f>SUMIF(89:89,G27,90:90)-SUMIF(89:89,C27,90:90)+100</f>
        <v>95</v>
      </c>
      <c r="I27" s="615" t="s">
        <v>3079</v>
      </c>
      <c r="J27" s="434">
        <f>SUMIF(89:89,I27,90:90)-SUMIF(89:89,C27,90:90)+100</f>
        <v>100</v>
      </c>
      <c r="K27" s="611">
        <v>5</v>
      </c>
      <c r="L27" s="1142"/>
      <c r="M27" s="1133"/>
      <c r="N27" s="1133"/>
      <c r="O27" s="1133"/>
      <c r="P27" s="3198"/>
      <c r="Q27" s="1811" t="str">
        <f t="shared" ref="Q27:Q47" si="11">B27</f>
        <v>楼层</v>
      </c>
      <c r="R27" s="773" t="s">
        <v>17</v>
      </c>
      <c r="S27" s="774">
        <f>F27</f>
        <v>90</v>
      </c>
      <c r="T27" s="773" t="s">
        <v>17</v>
      </c>
      <c r="U27" s="774">
        <f>H27</f>
        <v>95</v>
      </c>
      <c r="V27" s="773" t="s">
        <v>17</v>
      </c>
      <c r="W27" s="774">
        <f>J27</f>
        <v>100</v>
      </c>
      <c r="X27" s="1814"/>
      <c r="Y27" s="3200"/>
      <c r="Z27" s="1815" t="str">
        <f>Q27</f>
        <v>楼层</v>
      </c>
      <c r="AA27" s="1812">
        <f t="shared" si="3"/>
        <v>1.1111111111111112</v>
      </c>
      <c r="AB27" s="1812">
        <f t="shared" si="4"/>
        <v>1.0526315789473684</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98"/>
      <c r="Q28" s="1796" t="str">
        <f t="shared" si="11"/>
        <v>朝向</v>
      </c>
      <c r="R28" s="769" t="s">
        <v>17</v>
      </c>
      <c r="S28" s="770">
        <f>F28</f>
        <v>100</v>
      </c>
      <c r="T28" s="769" t="s">
        <v>17</v>
      </c>
      <c r="U28" s="770">
        <f>H28</f>
        <v>100</v>
      </c>
      <c r="V28" s="769" t="s">
        <v>17</v>
      </c>
      <c r="W28" s="770">
        <f>J28</f>
        <v>100</v>
      </c>
      <c r="X28" s="771"/>
      <c r="Y28" s="3200"/>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198"/>
      <c r="Q29" s="1811">
        <f t="shared" si="11"/>
        <v>111</v>
      </c>
      <c r="R29" s="773" t="s">
        <v>17</v>
      </c>
      <c r="S29" s="774">
        <f t="shared" ref="S29:S47" si="12">F29</f>
        <v>100</v>
      </c>
      <c r="T29" s="773" t="s">
        <v>17</v>
      </c>
      <c r="U29" s="774">
        <f t="shared" ref="U29:U47" si="13">H29</f>
        <v>100</v>
      </c>
      <c r="V29" s="773" t="s">
        <v>17</v>
      </c>
      <c r="W29" s="774">
        <f t="shared" ref="W29:W47" si="14">J29</f>
        <v>100</v>
      </c>
      <c r="X29" s="1814"/>
      <c r="Y29" s="3200"/>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98"/>
      <c r="Q30" s="1811">
        <f t="shared" si="11"/>
        <v>111</v>
      </c>
      <c r="R30" s="773" t="s">
        <v>17</v>
      </c>
      <c r="S30" s="774">
        <f t="shared" si="12"/>
        <v>100</v>
      </c>
      <c r="T30" s="773" t="s">
        <v>17</v>
      </c>
      <c r="U30" s="774">
        <f t="shared" si="13"/>
        <v>100</v>
      </c>
      <c r="V30" s="773" t="s">
        <v>17</v>
      </c>
      <c r="W30" s="774">
        <f t="shared" si="14"/>
        <v>100</v>
      </c>
      <c r="X30" s="1814"/>
      <c r="Y30" s="3200"/>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98"/>
      <c r="Q31" s="1811">
        <f t="shared" si="11"/>
        <v>111</v>
      </c>
      <c r="R31" s="773" t="s">
        <v>17</v>
      </c>
      <c r="S31" s="774">
        <f t="shared" si="12"/>
        <v>100</v>
      </c>
      <c r="T31" s="773" t="s">
        <v>17</v>
      </c>
      <c r="U31" s="774">
        <f t="shared" si="13"/>
        <v>100</v>
      </c>
      <c r="V31" s="773" t="s">
        <v>17</v>
      </c>
      <c r="W31" s="774">
        <f t="shared" si="14"/>
        <v>100</v>
      </c>
      <c r="X31" s="1814"/>
      <c r="Y31" s="3200"/>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98"/>
      <c r="Q32" s="1811">
        <f t="shared" si="11"/>
        <v>111</v>
      </c>
      <c r="R32" s="773" t="s">
        <v>17</v>
      </c>
      <c r="S32" s="774">
        <f t="shared" si="12"/>
        <v>100</v>
      </c>
      <c r="T32" s="773" t="s">
        <v>17</v>
      </c>
      <c r="U32" s="774">
        <f t="shared" si="13"/>
        <v>100</v>
      </c>
      <c r="V32" s="773" t="s">
        <v>17</v>
      </c>
      <c r="W32" s="774">
        <f t="shared" si="14"/>
        <v>100</v>
      </c>
      <c r="X32" s="1814"/>
      <c r="Y32" s="3200"/>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1" t="s">
        <v>2566</v>
      </c>
      <c r="Q33" s="1811" t="str">
        <f t="shared" si="11"/>
        <v>建筑类型</v>
      </c>
      <c r="R33" s="773" t="s">
        <v>17</v>
      </c>
      <c r="S33" s="774">
        <f t="shared" si="12"/>
        <v>100</v>
      </c>
      <c r="T33" s="773" t="s">
        <v>17</v>
      </c>
      <c r="U33" s="774">
        <f t="shared" si="13"/>
        <v>100</v>
      </c>
      <c r="V33" s="773" t="s">
        <v>17</v>
      </c>
      <c r="W33" s="774">
        <f t="shared" si="14"/>
        <v>100</v>
      </c>
      <c r="X33" s="1814"/>
      <c r="Y33" s="3204"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2"/>
      <c r="Q34" s="775" t="str">
        <f t="shared" si="11"/>
        <v>项目建筑规模</v>
      </c>
      <c r="R34" s="776" t="s">
        <v>17</v>
      </c>
      <c r="S34" s="777">
        <f t="shared" si="12"/>
        <v>100</v>
      </c>
      <c r="T34" s="776" t="s">
        <v>17</v>
      </c>
      <c r="U34" s="777">
        <f t="shared" si="13"/>
        <v>100</v>
      </c>
      <c r="V34" s="776" t="s">
        <v>17</v>
      </c>
      <c r="W34" s="777">
        <f t="shared" si="14"/>
        <v>100</v>
      </c>
      <c r="X34" s="778"/>
      <c r="Y34" s="3204"/>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2"/>
      <c r="Q35" s="1811" t="str">
        <f t="shared" si="11"/>
        <v>建筑结构</v>
      </c>
      <c r="R35" s="773" t="s">
        <v>17</v>
      </c>
      <c r="S35" s="774">
        <f t="shared" si="12"/>
        <v>100</v>
      </c>
      <c r="T35" s="773" t="s">
        <v>17</v>
      </c>
      <c r="U35" s="774">
        <f t="shared" si="13"/>
        <v>100</v>
      </c>
      <c r="V35" s="773" t="s">
        <v>17</v>
      </c>
      <c r="W35" s="774">
        <f t="shared" si="14"/>
        <v>100</v>
      </c>
      <c r="X35" s="1814"/>
      <c r="Y35" s="3204"/>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2"/>
      <c r="Q36" s="1811" t="str">
        <f t="shared" si="11"/>
        <v>公共部分装修</v>
      </c>
      <c r="R36" s="773" t="s">
        <v>17</v>
      </c>
      <c r="S36" s="774">
        <f t="shared" si="12"/>
        <v>100</v>
      </c>
      <c r="T36" s="773" t="s">
        <v>17</v>
      </c>
      <c r="U36" s="774">
        <f t="shared" si="13"/>
        <v>100</v>
      </c>
      <c r="V36" s="773" t="s">
        <v>17</v>
      </c>
      <c r="W36" s="774">
        <f t="shared" si="14"/>
        <v>100</v>
      </c>
      <c r="X36" s="1814"/>
      <c r="Y36" s="3204"/>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2"/>
      <c r="Q37" s="1811" t="str">
        <f t="shared" si="11"/>
        <v>成新度</v>
      </c>
      <c r="R37" s="773" t="s">
        <v>17</v>
      </c>
      <c r="S37" s="774">
        <f t="shared" si="12"/>
        <v>100</v>
      </c>
      <c r="T37" s="773" t="s">
        <v>17</v>
      </c>
      <c r="U37" s="774">
        <f t="shared" si="13"/>
        <v>100</v>
      </c>
      <c r="V37" s="773" t="s">
        <v>17</v>
      </c>
      <c r="W37" s="774">
        <f t="shared" si="14"/>
        <v>100</v>
      </c>
      <c r="X37" s="1814"/>
      <c r="Y37" s="3204"/>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2"/>
      <c r="Q38" s="1796" t="str">
        <f t="shared" si="11"/>
        <v>写字楼等级</v>
      </c>
      <c r="R38" s="769" t="s">
        <v>17</v>
      </c>
      <c r="S38" s="770">
        <f t="shared" si="12"/>
        <v>100</v>
      </c>
      <c r="T38" s="769" t="s">
        <v>17</v>
      </c>
      <c r="U38" s="770">
        <f t="shared" si="13"/>
        <v>100</v>
      </c>
      <c r="V38" s="769" t="s">
        <v>17</v>
      </c>
      <c r="W38" s="770">
        <f t="shared" si="14"/>
        <v>100</v>
      </c>
      <c r="X38" s="771"/>
      <c r="Y38" s="3204"/>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2" t="s">
        <v>2566</v>
      </c>
      <c r="Q39" s="1811" t="str">
        <f t="shared" si="11"/>
        <v>物业管理</v>
      </c>
      <c r="R39" s="773" t="s">
        <v>17</v>
      </c>
      <c r="S39" s="774">
        <f t="shared" si="12"/>
        <v>100</v>
      </c>
      <c r="T39" s="773" t="s">
        <v>17</v>
      </c>
      <c r="U39" s="774">
        <f t="shared" si="13"/>
        <v>100</v>
      </c>
      <c r="V39" s="773" t="s">
        <v>17</v>
      </c>
      <c r="W39" s="774">
        <f t="shared" si="14"/>
        <v>100</v>
      </c>
      <c r="X39" s="1814"/>
      <c r="Y39" s="3204"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2"/>
      <c r="Q40" s="1811" t="str">
        <f t="shared" si="11"/>
        <v>市政基础设施</v>
      </c>
      <c r="R40" s="773" t="s">
        <v>17</v>
      </c>
      <c r="S40" s="774">
        <f t="shared" si="12"/>
        <v>100</v>
      </c>
      <c r="T40" s="773" t="s">
        <v>17</v>
      </c>
      <c r="U40" s="774">
        <f t="shared" si="13"/>
        <v>100</v>
      </c>
      <c r="V40" s="773" t="s">
        <v>17</v>
      </c>
      <c r="W40" s="774">
        <f t="shared" si="14"/>
        <v>100</v>
      </c>
      <c r="X40" s="1814"/>
      <c r="Y40" s="3204"/>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2"/>
      <c r="Q41" s="1811" t="str">
        <f t="shared" si="11"/>
        <v>层高</v>
      </c>
      <c r="R41" s="773" t="s">
        <v>17</v>
      </c>
      <c r="S41" s="774">
        <f t="shared" si="12"/>
        <v>100</v>
      </c>
      <c r="T41" s="773" t="s">
        <v>17</v>
      </c>
      <c r="U41" s="774">
        <f t="shared" si="13"/>
        <v>100</v>
      </c>
      <c r="V41" s="773" t="s">
        <v>17</v>
      </c>
      <c r="W41" s="774">
        <f t="shared" si="14"/>
        <v>100</v>
      </c>
      <c r="X41" s="1814"/>
      <c r="Y41" s="3204"/>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2"/>
      <c r="Q42" s="775" t="str">
        <f t="shared" si="11"/>
        <v>单套建筑面积</v>
      </c>
      <c r="R42" s="776" t="s">
        <v>17</v>
      </c>
      <c r="S42" s="777">
        <f t="shared" si="12"/>
        <v>99.5</v>
      </c>
      <c r="T42" s="776" t="s">
        <v>17</v>
      </c>
      <c r="U42" s="777">
        <f t="shared" si="13"/>
        <v>99.5</v>
      </c>
      <c r="V42" s="776" t="s">
        <v>17</v>
      </c>
      <c r="W42" s="777">
        <f t="shared" si="14"/>
        <v>101.5</v>
      </c>
      <c r="X42" s="778"/>
      <c r="Y42" s="3204"/>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2"/>
      <c r="Q43" s="1811" t="str">
        <f t="shared" si="11"/>
        <v>内部装修</v>
      </c>
      <c r="R43" s="773" t="s">
        <v>17</v>
      </c>
      <c r="S43" s="774">
        <f t="shared" si="12"/>
        <v>100</v>
      </c>
      <c r="T43" s="773" t="s">
        <v>17</v>
      </c>
      <c r="U43" s="774">
        <f t="shared" si="13"/>
        <v>100</v>
      </c>
      <c r="V43" s="773" t="s">
        <v>17</v>
      </c>
      <c r="W43" s="774">
        <f t="shared" si="14"/>
        <v>100</v>
      </c>
      <c r="X43" s="1814"/>
      <c r="Y43" s="3204"/>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2"/>
      <c r="Q44" s="1811" t="str">
        <f t="shared" si="11"/>
        <v>内部装修维护情况</v>
      </c>
      <c r="R44" s="773" t="s">
        <v>17</v>
      </c>
      <c r="S44" s="774">
        <f t="shared" si="12"/>
        <v>100</v>
      </c>
      <c r="T44" s="773" t="s">
        <v>17</v>
      </c>
      <c r="U44" s="774">
        <f t="shared" si="13"/>
        <v>100</v>
      </c>
      <c r="V44" s="773" t="s">
        <v>17</v>
      </c>
      <c r="W44" s="774">
        <f t="shared" si="14"/>
        <v>100</v>
      </c>
      <c r="X44" s="1814"/>
      <c r="Y44" s="3204"/>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2"/>
      <c r="Q45" s="1796">
        <f t="shared" si="11"/>
        <v>111</v>
      </c>
      <c r="R45" s="769" t="s">
        <v>17</v>
      </c>
      <c r="S45" s="770">
        <f t="shared" si="12"/>
        <v>100</v>
      </c>
      <c r="T45" s="769" t="s">
        <v>17</v>
      </c>
      <c r="U45" s="770">
        <f t="shared" si="13"/>
        <v>100</v>
      </c>
      <c r="V45" s="769" t="s">
        <v>17</v>
      </c>
      <c r="W45" s="770">
        <f t="shared" si="14"/>
        <v>100</v>
      </c>
      <c r="X45" s="771"/>
      <c r="Y45" s="3204"/>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2"/>
      <c r="Q46" s="1811">
        <f t="shared" si="11"/>
        <v>111</v>
      </c>
      <c r="R46" s="773" t="s">
        <v>17</v>
      </c>
      <c r="S46" s="774">
        <f t="shared" si="12"/>
        <v>100</v>
      </c>
      <c r="T46" s="773" t="s">
        <v>17</v>
      </c>
      <c r="U46" s="774">
        <f t="shared" si="13"/>
        <v>100</v>
      </c>
      <c r="V46" s="773" t="s">
        <v>17</v>
      </c>
      <c r="W46" s="774">
        <f t="shared" si="14"/>
        <v>100</v>
      </c>
      <c r="X46" s="1814"/>
      <c r="Y46" s="3204"/>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3"/>
      <c r="Q47" s="1811">
        <f t="shared" si="11"/>
        <v>111</v>
      </c>
      <c r="R47" s="773" t="s">
        <v>17</v>
      </c>
      <c r="S47" s="774">
        <f t="shared" si="12"/>
        <v>100</v>
      </c>
      <c r="T47" s="773" t="s">
        <v>17</v>
      </c>
      <c r="U47" s="774">
        <f t="shared" si="13"/>
        <v>100</v>
      </c>
      <c r="V47" s="773" t="s">
        <v>17</v>
      </c>
      <c r="W47" s="774">
        <f t="shared" si="14"/>
        <v>100</v>
      </c>
      <c r="X47" s="1814"/>
      <c r="Y47" s="3205"/>
      <c r="Z47" s="1815">
        <f t="shared" si="15"/>
        <v>111</v>
      </c>
      <c r="AA47" s="1812">
        <f t="shared" si="3"/>
        <v>1</v>
      </c>
      <c r="AB47" s="1812">
        <f t="shared" si="4"/>
        <v>1</v>
      </c>
      <c r="AC47" s="2678">
        <f t="shared" si="5"/>
        <v>1</v>
      </c>
    </row>
    <row r="48" spans="1:29" ht="15">
      <c r="A48" s="478" t="s">
        <v>2578</v>
      </c>
      <c r="B48" s="479"/>
      <c r="C48" s="1408" t="s">
        <v>1</v>
      </c>
      <c r="D48" s="1409"/>
      <c r="E48" s="1410">
        <f>ROUND(32000*0.98,0)</f>
        <v>31360</v>
      </c>
      <c r="F48" s="1411"/>
      <c r="G48" s="1412">
        <f>ROUND(35000*0.97,0)</f>
        <v>33950</v>
      </c>
      <c r="H48" s="1413"/>
      <c r="I48" s="1410">
        <f>ROUND(36000*0.97,0)</f>
        <v>34920</v>
      </c>
      <c r="J48" s="484"/>
      <c r="K48" s="782"/>
      <c r="L48" s="1145"/>
      <c r="M48" s="1133"/>
      <c r="N48" s="1133"/>
      <c r="O48" s="1133"/>
      <c r="P48" s="3191" t="str">
        <f>A48</f>
        <v>成交单价（元/平方米）</v>
      </c>
      <c r="Q48" s="3192"/>
      <c r="R48" s="3193">
        <f>E48</f>
        <v>31360</v>
      </c>
      <c r="S48" s="3193"/>
      <c r="T48" s="3193">
        <f>G48</f>
        <v>33950</v>
      </c>
      <c r="U48" s="3193"/>
      <c r="V48" s="3193">
        <f>I48</f>
        <v>34920</v>
      </c>
      <c r="W48" s="3193"/>
      <c r="X48" s="445"/>
      <c r="Y48" s="780"/>
      <c r="Z48" s="445"/>
      <c r="AA48" s="445"/>
      <c r="AB48" s="445"/>
      <c r="AC48" s="629"/>
    </row>
    <row r="49" spans="1:29" ht="15.75" thickBot="1">
      <c r="A49" s="485" t="s">
        <v>2670</v>
      </c>
      <c r="B49" s="486"/>
      <c r="C49" s="1414">
        <f>R50</f>
        <v>35113</v>
      </c>
      <c r="D49" s="1415"/>
      <c r="E49" s="1416">
        <f>R49</f>
        <v>35020</v>
      </c>
      <c r="F49" s="1416"/>
      <c r="G49" s="1414">
        <f>T49</f>
        <v>35916</v>
      </c>
      <c r="H49" s="1415"/>
      <c r="I49" s="1416">
        <f>V49</f>
        <v>34404</v>
      </c>
      <c r="J49" s="488"/>
      <c r="K49" s="783"/>
      <c r="L49" s="1145"/>
      <c r="M49" s="1133"/>
      <c r="N49" s="1133"/>
      <c r="O49" s="1133"/>
      <c r="P49" s="3191" t="str">
        <f>A49</f>
        <v>比较价值（元/平方米）</v>
      </c>
      <c r="Q49" s="3192"/>
      <c r="R49" s="3193">
        <f>IF(F1="售价",ROUND(PRODUCT(R48,AA7:AA47),0),ROUND(PRODUCT(R48,AA7:AA47),1))</f>
        <v>35020</v>
      </c>
      <c r="S49" s="3193"/>
      <c r="T49" s="3193">
        <f>IF(F1="售价",ROUND(PRODUCT(T48,AB7:AB47),0),ROUND(PRODUCT(T48,AB7:AB47),1))</f>
        <v>35916</v>
      </c>
      <c r="U49" s="3193"/>
      <c r="V49" s="3193">
        <f>IF(F1="售价",ROUND(PRODUCT(V48,AC7:AC47),0),ROUND(PRODUCT(V48,AC7:AC47),1))</f>
        <v>34404</v>
      </c>
      <c r="W49" s="3193"/>
      <c r="X49" s="445"/>
      <c r="Y49" s="445"/>
      <c r="Z49" s="445"/>
      <c r="AA49" s="445"/>
      <c r="AB49" s="445"/>
      <c r="AC49" s="629"/>
    </row>
    <row r="50" spans="1:29" ht="15.75" thickBot="1">
      <c r="A50" s="491" t="s">
        <v>2671</v>
      </c>
      <c r="B50" s="492"/>
      <c r="C50" s="1418">
        <f>R50</f>
        <v>35113</v>
      </c>
      <c r="D50" s="1418"/>
      <c r="E50" s="1418"/>
      <c r="F50" s="1418"/>
      <c r="G50" s="1418"/>
      <c r="H50" s="1418"/>
      <c r="I50" s="1418"/>
      <c r="J50" s="493"/>
      <c r="K50" s="784"/>
      <c r="L50" s="1145"/>
      <c r="M50" s="1133"/>
      <c r="N50" s="1133"/>
      <c r="O50" s="1133"/>
      <c r="P50" s="3194" t="str">
        <f>A50</f>
        <v>估价对象XX用房的比较价值（楼面单价，元/平方米）</v>
      </c>
      <c r="Q50" s="3195"/>
      <c r="R50" s="3196">
        <f>IF(F1="售价",ROUND(AVERAGE(R49:V49),0),ROUND(AVERAGE(R49:V49),1))</f>
        <v>35113</v>
      </c>
      <c r="S50" s="3196"/>
      <c r="T50" s="3196"/>
      <c r="U50" s="3196"/>
      <c r="V50" s="3196"/>
      <c r="W50" s="3196"/>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0.1167091836734695</v>
      </c>
      <c r="F53" s="499" t="str">
        <f>IF(OR(E53&gt;=0.3,E53&lt;=-0.3),"超过30%","")</f>
        <v/>
      </c>
      <c r="G53" s="498">
        <f>IF(G48&lt;G49,G49/G48-1,G48/G49-1)</f>
        <v>5.7908689248895362E-2</v>
      </c>
      <c r="H53" s="499" t="str">
        <f>IF(OR(G53&gt;=0.3,G53&lt;=-0.3),"超过30%","")</f>
        <v/>
      </c>
      <c r="I53" s="498">
        <f>IF(I48&lt;I49,I49/I48-1,I48/I49-1)</f>
        <v>1.4998256016742317E-2</v>
      </c>
      <c r="J53" s="499" t="str">
        <f>IF(OR(I53&gt;=0.3,I53&lt;=-0.3),"超过30%","")</f>
        <v/>
      </c>
      <c r="K53" s="1107"/>
      <c r="L53" s="1108"/>
      <c r="M53" s="1146"/>
      <c r="N53" s="1146"/>
      <c r="O53" s="1146"/>
    </row>
    <row r="54" spans="1:29" ht="13.5" customHeight="1">
      <c r="A54" s="1146"/>
      <c r="B54" s="1146"/>
      <c r="C54" s="496" t="s">
        <v>2673</v>
      </c>
      <c r="D54" s="500"/>
      <c r="E54" s="498">
        <f>IF(E49&lt;G49,G49/E49-1,E49/G49-1)</f>
        <v>2.5585379782981255E-2</v>
      </c>
      <c r="F54" s="499" t="str">
        <f>IF(OR(E54&gt;=0.2,E54&lt;=-0.2),"超过20%","")</f>
        <v/>
      </c>
      <c r="G54" s="498">
        <f>IF(G49&lt;I49,I49/G49-1,G49/I49-1)</f>
        <v>4.3948378095570284E-2</v>
      </c>
      <c r="H54" s="499" t="str">
        <f>IF(OR(G54&gt;=0.2,G54&lt;=-0.2),"超过20%","")</f>
        <v/>
      </c>
      <c r="I54" s="498">
        <f>IF(I49&lt;E49,E49/I49-1,I49/E49-1)</f>
        <v>1.7904894779676717E-2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8.2589285714285809E-2</v>
      </c>
      <c r="F55" s="499" t="str">
        <f>IF(OR(E55&gt;=0.3,E55&lt;=-0.3),"超过30%","")</f>
        <v/>
      </c>
      <c r="G55" s="498">
        <f>IF(G48&lt;I48,I48/G48-1,G48/I48-1)</f>
        <v>2.857142857142847E-2</v>
      </c>
      <c r="H55" s="499" t="str">
        <f>IF(OR(G55&gt;=0.3,G55&lt;=-0.3),"超过30%","")</f>
        <v/>
      </c>
      <c r="I55" s="498">
        <f>IF(I48&lt;E48,E48/I48-1,I48/E48-1)</f>
        <v>0.11352040816326525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6"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626</v>
      </c>
      <c r="C2" s="1846" t="s">
        <v>1514</v>
      </c>
      <c r="D2" s="1939">
        <f ca="1">C40+J29+L46</f>
        <v>6260234</v>
      </c>
      <c r="E2" s="1847" t="s">
        <v>1590</v>
      </c>
      <c r="F2" s="1848"/>
      <c r="G2" s="1849"/>
      <c r="H2" s="1841"/>
      <c r="I2" s="1841"/>
      <c r="J2" s="1841"/>
      <c r="K2" s="1842"/>
      <c r="L2" s="1841"/>
      <c r="M2" s="1841"/>
    </row>
    <row r="3" spans="1:37" ht="18" customHeight="1" thickBot="1">
      <c r="A3" s="1850" t="s">
        <v>1515</v>
      </c>
      <c r="B3" s="1851">
        <f ca="1">IF(ISERROR(D2/F43),0,ROUND(D2/F43,0))</f>
        <v>30067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419265</v>
      </c>
      <c r="D5" s="1823" t="s">
        <v>1400</v>
      </c>
      <c r="E5" s="1294"/>
      <c r="F5" s="1295"/>
      <c r="G5" s="1852"/>
      <c r="H5" s="343">
        <v>1</v>
      </c>
      <c r="I5" s="344" t="s">
        <v>1399</v>
      </c>
      <c r="J5" s="1293">
        <f ca="1">J6+J10+J12</f>
        <v>0</v>
      </c>
      <c r="K5" s="1823" t="s">
        <v>1400</v>
      </c>
      <c r="L5" s="1294"/>
      <c r="M5" s="1295"/>
    </row>
    <row r="6" spans="1:37" ht="18" customHeight="1">
      <c r="A6" s="1292" t="s">
        <v>1035</v>
      </c>
      <c r="B6" s="3242" t="s">
        <v>1401</v>
      </c>
      <c r="C6" s="1297">
        <f ca="1">ROUND(F6*F8*F7*(1-F9),0)</f>
        <v>418742</v>
      </c>
      <c r="D6" s="163" t="s">
        <v>3031</v>
      </c>
      <c r="E6" s="346" t="s">
        <v>1403</v>
      </c>
      <c r="F6" s="2999">
        <f ca="1">INDIRECT("'数据-取费表'!u"&amp;$G$1)</f>
        <v>5.8</v>
      </c>
      <c r="G6" s="1852"/>
      <c r="H6" s="1292" t="s">
        <v>1035</v>
      </c>
      <c r="I6" s="3242" t="s">
        <v>1401</v>
      </c>
      <c r="J6" s="345">
        <f ca="1">ROUND(M6*M8*M7*(1-M9),0)</f>
        <v>0</v>
      </c>
      <c r="K6" s="1835" t="s">
        <v>3032</v>
      </c>
      <c r="L6" s="346" t="s">
        <v>1403</v>
      </c>
      <c r="M6" s="347">
        <f ca="1">INDIRECT("'数据-取费表'!z"&amp;$G$1)</f>
        <v>0</v>
      </c>
    </row>
    <row r="7" spans="1:37" ht="18" customHeight="1">
      <c r="A7" s="1296"/>
      <c r="B7" s="3243"/>
      <c r="C7" s="1298"/>
      <c r="D7" s="351"/>
      <c r="E7" s="2984" t="s">
        <v>1404</v>
      </c>
      <c r="F7" s="347">
        <f ca="1">IF(INDIRECT("'数据-取费表'!ah"&amp;$G$1)="",INDIRECT("'数据-取费表'!k"&amp;$G$1),INDIRECT("'数据-取费表'!ah"&amp;$G$1))</f>
        <v>208.21</v>
      </c>
      <c r="G7" s="1852"/>
      <c r="H7" s="348"/>
      <c r="I7" s="3243"/>
      <c r="J7" s="350"/>
      <c r="K7" s="351"/>
      <c r="L7" s="346" t="s">
        <v>1404</v>
      </c>
      <c r="M7" s="347">
        <f ca="1">F7</f>
        <v>208.21</v>
      </c>
    </row>
    <row r="8" spans="1:37" ht="18" customHeight="1">
      <c r="A8" s="348"/>
      <c r="B8" s="3243"/>
      <c r="C8" s="350"/>
      <c r="D8" s="351"/>
      <c r="E8" s="346" t="s">
        <v>1405</v>
      </c>
      <c r="F8" s="347">
        <f ca="1">INDIRECT("'数据-取费表'!ai"&amp;$G$1)</f>
        <v>365</v>
      </c>
      <c r="G8" s="1852"/>
      <c r="H8" s="348"/>
      <c r="I8" s="3243"/>
      <c r="J8" s="350"/>
      <c r="K8" s="351"/>
      <c r="L8" s="346" t="s">
        <v>1405</v>
      </c>
      <c r="M8" s="347">
        <f ca="1">INDIRECT("'数据-取费表'!ai"&amp;$G$1)</f>
        <v>365</v>
      </c>
    </row>
    <row r="9" spans="1:37" ht="18" customHeight="1">
      <c r="A9" s="348"/>
      <c r="B9" s="3244"/>
      <c r="C9" s="350"/>
      <c r="D9" s="351"/>
      <c r="E9" s="346" t="s">
        <v>1406</v>
      </c>
      <c r="F9" s="356">
        <f ca="1">INDIRECT("'数据-取费表'!w"&amp;$G$1)</f>
        <v>0.05</v>
      </c>
      <c r="G9" s="1852"/>
      <c r="H9" s="348"/>
      <c r="I9" s="3244"/>
      <c r="J9" s="350"/>
      <c r="K9" s="351"/>
      <c r="L9" s="357" t="s">
        <v>1406</v>
      </c>
      <c r="M9" s="358">
        <f ca="1">INDIRECT("'数据-取费表'!ab"&amp;$G$1)</f>
        <v>0</v>
      </c>
    </row>
    <row r="10" spans="1:37" ht="18" customHeight="1">
      <c r="A10" s="1292" t="s">
        <v>1039</v>
      </c>
      <c r="B10" s="1824" t="s">
        <v>1407</v>
      </c>
      <c r="C10" s="360">
        <f ca="1">ROUND(IF(F10="押一",C6/12*F11,IF(F10="押二",C6/12*2*F11,IF(F10="押三",C6/12*3*F11,C11*F11))),0)</f>
        <v>523</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745104</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967668</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22643</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8128</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8128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11268</v>
      </c>
      <c r="D20" s="368" t="s">
        <v>1438</v>
      </c>
      <c r="E20" s="346" t="s">
        <v>1420</v>
      </c>
      <c r="F20" s="366">
        <f>'数据-取费表'!B37</f>
        <v>1.4999999999999999E-2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0.02</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单利计息。建造成本、管理费用、销售费用产生的利息。</v>
      </c>
      <c r="E22" s="2982"/>
      <c r="F22" s="25"/>
      <c r="G22" s="1852"/>
      <c r="H22" s="1203" t="s">
        <v>1039</v>
      </c>
      <c r="I22" s="346" t="s">
        <v>1447</v>
      </c>
      <c r="J22" s="23">
        <f ca="1">ROUND(J14*M22,0)</f>
        <v>14515</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16584</v>
      </c>
      <c r="D23" s="374" t="str">
        <f>IF(F23&lt;=1,"(建造成本+管理费用)×利率×(建设周期÷2)","(建造成本+管理费用)×((1+利率)^(建设周期÷2)-1)")</f>
        <v>(建造成本+管理费用)×利率×(建设周期÷2)</v>
      </c>
      <c r="E23" s="346" t="s">
        <v>1450</v>
      </c>
      <c r="F23" s="370">
        <f>'数据-取费表'!B20</f>
        <v>1</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4.0000000000000002E-4</v>
      </c>
      <c r="D24" s="374" t="str">
        <f>IF(F23&lt;=1,"销售费用×利率×(建设周期÷2)","销售费用×((1+利率)^(建设周期÷2)-1)")</f>
        <v>销售费用×利率×(建设周期÷2)</v>
      </c>
      <c r="E24" s="346" t="s">
        <v>1456</v>
      </c>
      <c r="F24" s="376">
        <f ca="1">'数据-取费表'!B40</f>
        <v>4.3499999999999997E-2</v>
      </c>
      <c r="G24" s="1855"/>
      <c r="H24" s="1340" t="s">
        <v>1390</v>
      </c>
      <c r="I24" s="1341" t="s">
        <v>1437</v>
      </c>
      <c r="J24" s="1342">
        <f ca="1">ROUND(J5*M24,0)</f>
        <v>0</v>
      </c>
      <c r="K24" s="1343" t="s">
        <v>1457</v>
      </c>
      <c r="L24" s="1341" t="s">
        <v>1420</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-22643</v>
      </c>
      <c r="K25" s="1346" t="s">
        <v>1462</v>
      </c>
      <c r="L25" s="1347"/>
      <c r="M25" s="1348"/>
    </row>
    <row r="26" spans="1:37" ht="18" customHeight="1">
      <c r="A26" s="1203" t="s">
        <v>1034</v>
      </c>
      <c r="B26" s="346" t="s">
        <v>1463</v>
      </c>
      <c r="C26" s="23">
        <f ca="1">ROUND((C19+C20)*F26,0)</f>
        <v>114374</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3.0000000000000001E-3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967668</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95147</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73225</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22361</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50312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339">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14515</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1118</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6289</v>
      </c>
      <c r="D38" s="1343" t="s">
        <v>1457</v>
      </c>
      <c r="E38" s="1341" t="s">
        <v>1420</v>
      </c>
      <c r="F38" s="1337">
        <f ca="1">INDIRECT("'数据-取费表'!Am"&amp;$G$1)</f>
        <v>1.4999999999999999E-2</v>
      </c>
      <c r="G38" s="1852"/>
      <c r="H38" s="1860"/>
      <c r="I38" s="1861"/>
      <c r="J38" s="1862"/>
      <c r="K38" s="1866"/>
      <c r="L38" s="1860"/>
      <c r="M38" s="1860"/>
    </row>
    <row r="39" spans="1:18" ht="24.6" customHeight="1" thickTop="1">
      <c r="A39" s="1330" t="s">
        <v>1031</v>
      </c>
      <c r="B39" s="1345" t="s">
        <v>1461</v>
      </c>
      <c r="C39" s="354">
        <f ca="1">C5-C30</f>
        <v>324118</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6216417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3.5000000000000003E-2</v>
      </c>
      <c r="G42" s="1852"/>
      <c r="H42" s="731"/>
      <c r="I42" s="1861"/>
      <c r="J42" s="1862"/>
      <c r="K42" s="750"/>
      <c r="L42" s="731"/>
      <c r="M42" s="731"/>
    </row>
    <row r="43" spans="1:18" ht="18" customHeight="1" thickBot="1">
      <c r="A43" s="379" t="s">
        <v>1033</v>
      </c>
      <c r="B43" s="380" t="s">
        <v>1485</v>
      </c>
      <c r="C43" s="381">
        <f ca="1">ROUND(C40/F43,0)</f>
        <v>29856</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-8075235</v>
      </c>
      <c r="D45" s="1941" t="s">
        <v>1602</v>
      </c>
      <c r="E45" s="1867"/>
      <c r="F45" s="1867"/>
      <c r="O45" s="1870" t="s">
        <v>1517</v>
      </c>
      <c r="P45" s="1840"/>
      <c r="Q45" s="1840"/>
      <c r="R45" s="1840"/>
    </row>
    <row r="46" spans="1:18" s="1843" customFormat="1" ht="13.5" thickBot="1">
      <c r="A46" s="1871" t="s">
        <v>1518</v>
      </c>
      <c r="C46" s="1872">
        <f ca="1">ROUND(C45/10000,0)</f>
        <v>-808</v>
      </c>
      <c r="D46" s="1873" t="str">
        <f>C2</f>
        <v>万元</v>
      </c>
      <c r="I46" s="1874" t="s">
        <v>1519</v>
      </c>
      <c r="J46" s="1875"/>
      <c r="K46" s="1876"/>
      <c r="L46" s="1877">
        <f ca="1">IF(M47="住宅",0,IF(L48&gt;J51,L60,J60))</f>
        <v>43817</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6216417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43817</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967668</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3696376</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5" t="s">
        <v>1546</v>
      </c>
      <c r="L53" s="3246"/>
      <c r="O53" s="1885" t="s">
        <v>1046</v>
      </c>
      <c r="P53" s="1886" t="s">
        <v>1547</v>
      </c>
      <c r="Q53" s="1887">
        <f ca="1">Q47+Q48</f>
        <v>6260234</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745104</v>
      </c>
      <c r="D56" s="1915"/>
      <c r="E56" s="1916"/>
      <c r="F56" s="1908"/>
      <c r="I56" s="1917" t="s">
        <v>1552</v>
      </c>
      <c r="J56" s="1918" t="s">
        <v>3067</v>
      </c>
      <c r="K56" s="1888" t="s">
        <v>1553</v>
      </c>
      <c r="L56" s="1891" t="str">
        <f ca="1">IF(L48&lt;J51,"——",L48-J51)</f>
        <v>——</v>
      </c>
      <c r="O56" s="1885" t="s">
        <v>1040</v>
      </c>
      <c r="P56" s="1886" t="s">
        <v>1526</v>
      </c>
      <c r="Q56" s="1887">
        <f ca="1">C40+J29</f>
        <v>6216417</v>
      </c>
      <c r="R56" s="1887" t="s">
        <v>1527</v>
      </c>
    </row>
    <row r="57" spans="1:18" s="1843" customFormat="1" ht="24.75" thickBot="1">
      <c r="A57" s="1919"/>
      <c r="B57" s="1171" t="s">
        <v>1476</v>
      </c>
      <c r="C57" s="281">
        <f ca="1">C29</f>
        <v>967668</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96917</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81284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387067</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43817</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81284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6216417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14515</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1118</v>
      </c>
      <c r="D65" s="1185" t="s">
        <v>1452</v>
      </c>
      <c r="E65" s="1171" t="s">
        <v>1420</v>
      </c>
      <c r="F65" s="375">
        <f t="shared" ca="1" si="0"/>
        <v>1.5E-3</v>
      </c>
      <c r="I65" s="1930" t="s">
        <v>1577</v>
      </c>
      <c r="J65" s="1931">
        <v>40</v>
      </c>
      <c r="K65" s="1931">
        <v>30</v>
      </c>
      <c r="L65" s="1931">
        <v>50</v>
      </c>
      <c r="M65" s="1933">
        <v>0.02</v>
      </c>
      <c r="O65" s="1885" t="s">
        <v>1040</v>
      </c>
      <c r="P65" s="1886" t="s">
        <v>1526</v>
      </c>
      <c r="Q65" s="1887">
        <f ca="1">C40+J29</f>
        <v>6216417</v>
      </c>
      <c r="R65" s="1887" t="s">
        <v>1527</v>
      </c>
    </row>
    <row r="66" spans="1:18" s="1843" customFormat="1" ht="16.5" thickBot="1">
      <c r="A66" s="1203" t="s">
        <v>1502</v>
      </c>
      <c r="B66" s="1171" t="s">
        <v>1437</v>
      </c>
      <c r="C66" s="23">
        <f ca="1">ROUND(C48*F66,0)</f>
        <v>0</v>
      </c>
      <c r="D66" s="1185" t="s">
        <v>1457</v>
      </c>
      <c r="E66" s="1171" t="s">
        <v>1420</v>
      </c>
      <c r="F66" s="356">
        <f t="shared" ca="1" si="0"/>
        <v>1.4999999999999999E-2</v>
      </c>
      <c r="O66" s="1885" t="s">
        <v>1041</v>
      </c>
      <c r="P66" s="1886" t="s">
        <v>1556</v>
      </c>
      <c r="Q66" s="1887">
        <f ca="1">L60</f>
        <v>0</v>
      </c>
      <c r="R66" s="1887" t="s">
        <v>1579</v>
      </c>
    </row>
    <row r="67" spans="1:18" s="1843" customFormat="1" ht="16.5" thickBot="1">
      <c r="A67" s="1178" t="s">
        <v>1031</v>
      </c>
      <c r="B67" s="1188" t="s">
        <v>1461</v>
      </c>
      <c r="C67" s="360">
        <f ca="1">C48-C58</f>
        <v>-96917</v>
      </c>
      <c r="D67" s="1184" t="s">
        <v>1462</v>
      </c>
      <c r="E67" s="1189"/>
      <c r="F67" s="1190"/>
      <c r="O67" s="1895" t="s">
        <v>1042</v>
      </c>
      <c r="P67" s="1886" t="s">
        <v>1560</v>
      </c>
      <c r="Q67" s="1934">
        <f ca="1">L51</f>
        <v>3696376</v>
      </c>
      <c r="R67" s="1887" t="s">
        <v>1580</v>
      </c>
    </row>
    <row r="68" spans="1:18" s="1843" customFormat="1" ht="16.5" thickBot="1">
      <c r="A68" s="1168" t="s">
        <v>1032</v>
      </c>
      <c r="B68" s="1169" t="s">
        <v>1483</v>
      </c>
      <c r="C68" s="345">
        <f ca="1">ROUND(C67*(1-((1+F70)/(1+F68))^F69)/(F68-F70),0)</f>
        <v>-1858818</v>
      </c>
      <c r="D68" s="1186" t="s">
        <v>1467</v>
      </c>
      <c r="E68" s="1171" t="s">
        <v>1468</v>
      </c>
      <c r="F68" s="356">
        <f ca="1">F40</f>
        <v>5.5E-2</v>
      </c>
      <c r="O68" s="1895" t="s">
        <v>1043</v>
      </c>
      <c r="P68" s="1935" t="s">
        <v>1581</v>
      </c>
      <c r="Q68" s="1887">
        <f ca="1">ROUND(Q69-Q70*Q71,0)</f>
        <v>260784</v>
      </c>
      <c r="R68" s="1887" t="s">
        <v>1051</v>
      </c>
    </row>
    <row r="69" spans="1:18" s="1843" customFormat="1" ht="13.5" thickBot="1">
      <c r="A69" s="1172"/>
      <c r="B69" s="1173"/>
      <c r="C69" s="350"/>
      <c r="D69" s="1191" t="s">
        <v>1471</v>
      </c>
      <c r="E69" s="1171" t="s">
        <v>1472</v>
      </c>
      <c r="F69" s="378">
        <f ca="1">F41</f>
        <v>25.28</v>
      </c>
      <c r="O69" s="1895" t="s">
        <v>1048</v>
      </c>
      <c r="P69" s="1935" t="s">
        <v>1582</v>
      </c>
      <c r="Q69" s="1887">
        <f ca="1">C39</f>
        <v>324118</v>
      </c>
      <c r="R69" s="1887" t="s">
        <v>1527</v>
      </c>
    </row>
    <row r="70" spans="1:18" s="1843" customFormat="1" ht="13.5" thickBot="1">
      <c r="A70" s="1175"/>
      <c r="B70" s="1176"/>
      <c r="C70" s="354"/>
      <c r="D70" s="1187"/>
      <c r="E70" s="1171" t="s">
        <v>1475</v>
      </c>
      <c r="F70" s="1276">
        <f ca="1">F42</f>
        <v>3.5000000000000003E-2</v>
      </c>
      <c r="O70" s="1895" t="s">
        <v>1049</v>
      </c>
      <c r="P70" s="1935" t="s">
        <v>1583</v>
      </c>
      <c r="Q70" s="1887">
        <f ca="1">C13</f>
        <v>745104</v>
      </c>
      <c r="R70" s="1887" t="s">
        <v>1527</v>
      </c>
    </row>
    <row r="71" spans="1:18" s="1843" customFormat="1" ht="13.5" thickBot="1">
      <c r="A71" s="1192" t="s">
        <v>1033</v>
      </c>
      <c r="B71" s="1193" t="s">
        <v>1485</v>
      </c>
      <c r="C71" s="381">
        <f ca="1">ROUND(C68/F71,0)</f>
        <v>-8928</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63334</v>
      </c>
      <c r="D75" s="1843"/>
      <c r="E75" s="1843"/>
      <c r="F75" s="1843"/>
      <c r="K75" s="1869"/>
      <c r="L75" s="1843"/>
      <c r="O75" s="1885" t="s">
        <v>1046</v>
      </c>
      <c r="P75" s="1886" t="s">
        <v>1547</v>
      </c>
      <c r="Q75" s="1887">
        <f ca="1">Q65+Q66</f>
        <v>6216417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0.80499999999999994</v>
      </c>
    </row>
    <row r="80" spans="1:18">
      <c r="B80" s="385" t="s">
        <v>1509</v>
      </c>
      <c r="C80" s="317">
        <f ca="1">ROUND(C75/C39,3)</f>
        <v>0.19500000000000001</v>
      </c>
    </row>
    <row r="81" spans="2:3">
      <c r="B81" s="313" t="s">
        <v>1510</v>
      </c>
      <c r="C81" s="281"/>
    </row>
    <row r="82" spans="2:3">
      <c r="B82" s="316" t="s">
        <v>1511</v>
      </c>
      <c r="C82" s="318">
        <f ca="1">1-C83</f>
        <v>0.88</v>
      </c>
    </row>
    <row r="83" spans="2:3">
      <c r="B83" s="316" t="s">
        <v>1512</v>
      </c>
      <c r="C83" s="317">
        <f ca="1">ROUND(C13/C40,3)</f>
        <v>0.12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I49" sqref="I4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5.8</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09" t="s">
        <v>2647</v>
      </c>
      <c r="D4" s="3210"/>
      <c r="E4" s="3211" t="s">
        <v>2648</v>
      </c>
      <c r="F4" s="3212"/>
      <c r="G4" s="3209" t="s">
        <v>2649</v>
      </c>
      <c r="H4" s="3210"/>
      <c r="I4" s="3209" t="s">
        <v>2650</v>
      </c>
      <c r="J4" s="3210"/>
      <c r="K4" s="609" t="s">
        <v>2541</v>
      </c>
      <c r="L4" s="1132"/>
      <c r="M4" s="1133"/>
      <c r="N4" s="1133"/>
      <c r="O4" s="1133"/>
      <c r="P4" s="3213" t="s">
        <v>2652</v>
      </c>
      <c r="Q4" s="3214"/>
      <c r="R4" s="3219" t="s">
        <v>2648</v>
      </c>
      <c r="S4" s="3220"/>
      <c r="T4" s="3219" t="s">
        <v>2649</v>
      </c>
      <c r="U4" s="3220"/>
      <c r="V4" s="3225" t="s">
        <v>2650</v>
      </c>
      <c r="W4" s="3225"/>
      <c r="X4" s="2993"/>
      <c r="Y4" s="3219" t="s">
        <v>2652</v>
      </c>
      <c r="Z4" s="3220"/>
      <c r="AA4" s="3239" t="s">
        <v>2648</v>
      </c>
      <c r="AB4" s="3239" t="s">
        <v>2649</v>
      </c>
      <c r="AC4" s="3206" t="s">
        <v>2650</v>
      </c>
    </row>
    <row r="5" spans="1:29" ht="15">
      <c r="A5" s="403"/>
      <c r="B5" s="404"/>
      <c r="C5" s="3235" t="s">
        <v>2543</v>
      </c>
      <c r="D5" s="3236"/>
      <c r="E5" s="3229" t="s">
        <v>3087</v>
      </c>
      <c r="F5" s="3230"/>
      <c r="G5" s="3229" t="s">
        <v>3087</v>
      </c>
      <c r="H5" s="3230"/>
      <c r="I5" s="3229" t="s">
        <v>3087</v>
      </c>
      <c r="J5" s="3230"/>
      <c r="K5" s="609"/>
      <c r="L5" s="1132"/>
      <c r="M5" s="1133"/>
      <c r="N5" s="1133"/>
      <c r="O5" s="1133"/>
      <c r="P5" s="3215"/>
      <c r="Q5" s="3216"/>
      <c r="R5" s="3221"/>
      <c r="S5" s="3222"/>
      <c r="T5" s="3221"/>
      <c r="U5" s="3222"/>
      <c r="V5" s="3226"/>
      <c r="W5" s="3226"/>
      <c r="X5" s="2994"/>
      <c r="Y5" s="3221"/>
      <c r="Z5" s="3222"/>
      <c r="AA5" s="3240"/>
      <c r="AB5" s="3240"/>
      <c r="AC5" s="3207"/>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17"/>
      <c r="Q6" s="3218"/>
      <c r="R6" s="3221"/>
      <c r="S6" s="3222"/>
      <c r="T6" s="3223"/>
      <c r="U6" s="3224"/>
      <c r="V6" s="3226"/>
      <c r="W6" s="3226"/>
      <c r="X6" s="2994"/>
      <c r="Y6" s="3223"/>
      <c r="Z6" s="3224"/>
      <c r="AA6" s="3241"/>
      <c r="AB6" s="3241"/>
      <c r="AC6" s="3208"/>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1" t="s">
        <v>2550</v>
      </c>
      <c r="Q7" s="3234"/>
      <c r="R7" s="769" t="s">
        <v>17</v>
      </c>
      <c r="S7" s="770">
        <f t="shared" ref="S7:S15" si="0">F7</f>
        <v>100</v>
      </c>
      <c r="T7" s="769" t="s">
        <v>17</v>
      </c>
      <c r="U7" s="770">
        <f t="shared" ref="U7:U15" si="1">H7</f>
        <v>100</v>
      </c>
      <c r="V7" s="769" t="s">
        <v>17</v>
      </c>
      <c r="W7" s="770">
        <f t="shared" ref="W7:W15" si="2">J7</f>
        <v>100</v>
      </c>
      <c r="X7" s="771"/>
      <c r="Y7" s="3233" t="s">
        <v>2550</v>
      </c>
      <c r="Z7" s="3232"/>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1" t="s">
        <v>2553</v>
      </c>
      <c r="Q8" s="3232"/>
      <c r="R8" s="769" t="s">
        <v>17</v>
      </c>
      <c r="S8" s="770">
        <f t="shared" si="0"/>
        <v>100</v>
      </c>
      <c r="T8" s="769" t="s">
        <v>17</v>
      </c>
      <c r="U8" s="770">
        <f t="shared" si="1"/>
        <v>100</v>
      </c>
      <c r="V8" s="769" t="s">
        <v>17</v>
      </c>
      <c r="W8" s="770">
        <f t="shared" si="2"/>
        <v>100</v>
      </c>
      <c r="X8" s="771"/>
      <c r="Y8" s="3233" t="s">
        <v>2553</v>
      </c>
      <c r="Z8" s="3232"/>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1" t="s">
        <v>2556</v>
      </c>
      <c r="Q9" s="2985" t="str">
        <f t="shared" ref="Q9:Q15" si="6">B9</f>
        <v>用途</v>
      </c>
      <c r="R9" s="769" t="s">
        <v>17</v>
      </c>
      <c r="S9" s="770">
        <f t="shared" si="0"/>
        <v>100</v>
      </c>
      <c r="T9" s="769" t="s">
        <v>17</v>
      </c>
      <c r="U9" s="770">
        <f t="shared" si="1"/>
        <v>100</v>
      </c>
      <c r="V9" s="769" t="s">
        <v>17</v>
      </c>
      <c r="W9" s="770">
        <f t="shared" si="2"/>
        <v>100</v>
      </c>
      <c r="X9" s="771"/>
      <c r="Y9" s="3046"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1"/>
      <c r="Q10" s="2985" t="str">
        <f t="shared" si="6"/>
        <v>土地使用年限（年）</v>
      </c>
      <c r="R10" s="769" t="s">
        <v>17</v>
      </c>
      <c r="S10" s="770">
        <f t="shared" si="0"/>
        <v>100</v>
      </c>
      <c r="T10" s="769" t="s">
        <v>17</v>
      </c>
      <c r="U10" s="770">
        <f t="shared" si="1"/>
        <v>100</v>
      </c>
      <c r="V10" s="769" t="s">
        <v>17</v>
      </c>
      <c r="W10" s="770">
        <f t="shared" si="2"/>
        <v>100</v>
      </c>
      <c r="X10" s="771"/>
      <c r="Y10" s="3046"/>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1"/>
      <c r="Q11" s="2985" t="str">
        <f t="shared" si="6"/>
        <v>容积率</v>
      </c>
      <c r="R11" s="769" t="s">
        <v>17</v>
      </c>
      <c r="S11" s="770">
        <f t="shared" si="0"/>
        <v>100</v>
      </c>
      <c r="T11" s="769" t="s">
        <v>17</v>
      </c>
      <c r="U11" s="770">
        <f t="shared" si="1"/>
        <v>100</v>
      </c>
      <c r="V11" s="769" t="s">
        <v>17</v>
      </c>
      <c r="W11" s="770">
        <f t="shared" si="2"/>
        <v>100</v>
      </c>
      <c r="X11" s="771"/>
      <c r="Y11" s="3046"/>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1"/>
      <c r="Q12" s="2985">
        <f t="shared" si="6"/>
        <v>111</v>
      </c>
      <c r="R12" s="769" t="s">
        <v>17</v>
      </c>
      <c r="S12" s="770">
        <f t="shared" si="0"/>
        <v>100</v>
      </c>
      <c r="T12" s="769" t="s">
        <v>17</v>
      </c>
      <c r="U12" s="770">
        <f t="shared" si="1"/>
        <v>100</v>
      </c>
      <c r="V12" s="769" t="s">
        <v>17</v>
      </c>
      <c r="W12" s="770">
        <f t="shared" si="2"/>
        <v>100</v>
      </c>
      <c r="X12" s="771"/>
      <c r="Y12" s="3046"/>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1"/>
      <c r="Q13" s="2985">
        <f t="shared" si="6"/>
        <v>111</v>
      </c>
      <c r="R13" s="769" t="s">
        <v>17</v>
      </c>
      <c r="S13" s="770">
        <f t="shared" si="0"/>
        <v>100</v>
      </c>
      <c r="T13" s="769" t="s">
        <v>17</v>
      </c>
      <c r="U13" s="770">
        <f t="shared" si="1"/>
        <v>100</v>
      </c>
      <c r="V13" s="769" t="s">
        <v>17</v>
      </c>
      <c r="W13" s="770">
        <f t="shared" si="2"/>
        <v>100</v>
      </c>
      <c r="X13" s="771"/>
      <c r="Y13" s="3046"/>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1"/>
      <c r="Q14" s="2985">
        <f t="shared" si="6"/>
        <v>111</v>
      </c>
      <c r="R14" s="769" t="s">
        <v>17</v>
      </c>
      <c r="S14" s="770">
        <f t="shared" si="0"/>
        <v>100</v>
      </c>
      <c r="T14" s="769" t="s">
        <v>17</v>
      </c>
      <c r="U14" s="770">
        <f t="shared" si="1"/>
        <v>100</v>
      </c>
      <c r="V14" s="769" t="s">
        <v>17</v>
      </c>
      <c r="W14" s="770">
        <f t="shared" si="2"/>
        <v>100</v>
      </c>
      <c r="X14" s="771"/>
      <c r="Y14" s="3046"/>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7" t="s">
        <v>2561</v>
      </c>
      <c r="Q15" s="2989" t="str">
        <f t="shared" si="6"/>
        <v>办公集聚程度</v>
      </c>
      <c r="R15" s="773" t="s">
        <v>17</v>
      </c>
      <c r="S15" s="774">
        <f t="shared" si="0"/>
        <v>100</v>
      </c>
      <c r="T15" s="773" t="s">
        <v>17</v>
      </c>
      <c r="U15" s="774">
        <f t="shared" si="1"/>
        <v>100</v>
      </c>
      <c r="V15" s="773" t="s">
        <v>17</v>
      </c>
      <c r="W15" s="774">
        <f t="shared" si="2"/>
        <v>100</v>
      </c>
      <c r="X15" s="2994"/>
      <c r="Y15" s="3199"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198"/>
      <c r="Q16" s="2989"/>
      <c r="R16" s="773"/>
      <c r="S16" s="774"/>
      <c r="T16" s="773"/>
      <c r="U16" s="774"/>
      <c r="V16" s="773"/>
      <c r="W16" s="774"/>
      <c r="X16" s="2994"/>
      <c r="Y16" s="3200"/>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198"/>
      <c r="Q17" s="2989" t="str">
        <f>B17</f>
        <v>交通便捷度</v>
      </c>
      <c r="R17" s="773" t="s">
        <v>17</v>
      </c>
      <c r="S17" s="774">
        <f>F17</f>
        <v>100</v>
      </c>
      <c r="T17" s="773" t="s">
        <v>17</v>
      </c>
      <c r="U17" s="774">
        <f>H17</f>
        <v>100</v>
      </c>
      <c r="V17" s="773" t="s">
        <v>17</v>
      </c>
      <c r="W17" s="774">
        <f>J17</f>
        <v>100</v>
      </c>
      <c r="X17" s="2994"/>
      <c r="Y17" s="3200"/>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198"/>
      <c r="Q18" s="2989"/>
      <c r="R18" s="773"/>
      <c r="S18" s="774"/>
      <c r="T18" s="773"/>
      <c r="U18" s="774"/>
      <c r="V18" s="773"/>
      <c r="W18" s="774"/>
      <c r="X18" s="2994"/>
      <c r="Y18" s="3200"/>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198"/>
      <c r="Q19" s="2989" t="str">
        <f>B19</f>
        <v>公共配套设施</v>
      </c>
      <c r="R19" s="773" t="s">
        <v>17</v>
      </c>
      <c r="S19" s="774">
        <f>F19</f>
        <v>100</v>
      </c>
      <c r="T19" s="773" t="s">
        <v>17</v>
      </c>
      <c r="U19" s="774">
        <f>H19</f>
        <v>100</v>
      </c>
      <c r="V19" s="773" t="s">
        <v>17</v>
      </c>
      <c r="W19" s="774">
        <f>J19</f>
        <v>100</v>
      </c>
      <c r="X19" s="2994"/>
      <c r="Y19" s="3200"/>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198"/>
      <c r="Q20" s="2989"/>
      <c r="R20" s="773"/>
      <c r="S20" s="774"/>
      <c r="T20" s="773"/>
      <c r="U20" s="774"/>
      <c r="V20" s="773"/>
      <c r="W20" s="774"/>
      <c r="X20" s="2994"/>
      <c r="Y20" s="3200"/>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198"/>
      <c r="Q21" s="2989" t="str">
        <f>B21</f>
        <v>基础设施水平</v>
      </c>
      <c r="R21" s="773" t="s">
        <v>17</v>
      </c>
      <c r="S21" s="774">
        <f>F21</f>
        <v>100</v>
      </c>
      <c r="T21" s="773" t="s">
        <v>17</v>
      </c>
      <c r="U21" s="774">
        <f>H21</f>
        <v>100</v>
      </c>
      <c r="V21" s="773" t="s">
        <v>17</v>
      </c>
      <c r="W21" s="774">
        <f>J21</f>
        <v>100</v>
      </c>
      <c r="X21" s="2994"/>
      <c r="Y21" s="3200"/>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198"/>
      <c r="Q22" s="2989"/>
      <c r="R22" s="773"/>
      <c r="S22" s="774"/>
      <c r="T22" s="773"/>
      <c r="U22" s="774"/>
      <c r="V22" s="773"/>
      <c r="W22" s="774"/>
      <c r="X22" s="2994"/>
      <c r="Y22" s="3200"/>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198"/>
      <c r="Q23" s="2989" t="str">
        <f>B23</f>
        <v>环境质量</v>
      </c>
      <c r="R23" s="773" t="s">
        <v>17</v>
      </c>
      <c r="S23" s="774">
        <f>F23</f>
        <v>100</v>
      </c>
      <c r="T23" s="773" t="s">
        <v>17</v>
      </c>
      <c r="U23" s="774">
        <f>H23</f>
        <v>100</v>
      </c>
      <c r="V23" s="773" t="s">
        <v>17</v>
      </c>
      <c r="W23" s="774">
        <f>J23</f>
        <v>100</v>
      </c>
      <c r="X23" s="2994"/>
      <c r="Y23" s="3200"/>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198"/>
      <c r="Q24" s="2989"/>
      <c r="R24" s="773"/>
      <c r="S24" s="774"/>
      <c r="T24" s="773"/>
      <c r="U24" s="774"/>
      <c r="V24" s="773"/>
      <c r="W24" s="774"/>
      <c r="X24" s="2994"/>
      <c r="Y24" s="3200"/>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98"/>
      <c r="Q25" s="2989" t="str">
        <f>B25</f>
        <v>毗邻道路的类型与等级</v>
      </c>
      <c r="R25" s="773" t="s">
        <v>17</v>
      </c>
      <c r="S25" s="774">
        <f>F25</f>
        <v>100</v>
      </c>
      <c r="T25" s="773" t="s">
        <v>17</v>
      </c>
      <c r="U25" s="774">
        <f>H25</f>
        <v>100</v>
      </c>
      <c r="V25" s="773" t="s">
        <v>17</v>
      </c>
      <c r="W25" s="774">
        <f>J25</f>
        <v>100</v>
      </c>
      <c r="X25" s="2994"/>
      <c r="Y25" s="3200"/>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198"/>
      <c r="Q26" s="2989"/>
      <c r="R26" s="773"/>
      <c r="S26" s="774"/>
      <c r="T26" s="773"/>
      <c r="U26" s="774"/>
      <c r="V26" s="773"/>
      <c r="W26" s="774"/>
      <c r="X26" s="2994"/>
      <c r="Y26" s="3200"/>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95</v>
      </c>
      <c r="I27" s="615" t="s">
        <v>3079</v>
      </c>
      <c r="J27" s="434">
        <f>SUMIF(89:89,I27,90:90)-SUMIF(89:89,C27,90:90)+100</f>
        <v>100</v>
      </c>
      <c r="K27" s="611">
        <v>5</v>
      </c>
      <c r="L27" s="1142"/>
      <c r="M27" s="1133"/>
      <c r="N27" s="1133"/>
      <c r="O27" s="1133"/>
      <c r="P27" s="3198"/>
      <c r="Q27" s="2989" t="str">
        <f t="shared" ref="Q27:Q47" si="11">B27</f>
        <v>楼层</v>
      </c>
      <c r="R27" s="773" t="s">
        <v>17</v>
      </c>
      <c r="S27" s="774">
        <f>F27</f>
        <v>100</v>
      </c>
      <c r="T27" s="773" t="s">
        <v>17</v>
      </c>
      <c r="U27" s="774">
        <f>H27</f>
        <v>95</v>
      </c>
      <c r="V27" s="773" t="s">
        <v>17</v>
      </c>
      <c r="W27" s="774">
        <f>J27</f>
        <v>100</v>
      </c>
      <c r="X27" s="2994"/>
      <c r="Y27" s="3200"/>
      <c r="Z27" s="2992" t="str">
        <f>Q27</f>
        <v>楼层</v>
      </c>
      <c r="AA27" s="2990">
        <f t="shared" si="3"/>
        <v>1</v>
      </c>
      <c r="AB27" s="2990">
        <f t="shared" si="4"/>
        <v>1.0526315789473684</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98"/>
      <c r="Q28" s="2985" t="str">
        <f t="shared" si="11"/>
        <v>朝向</v>
      </c>
      <c r="R28" s="769" t="s">
        <v>17</v>
      </c>
      <c r="S28" s="770">
        <f>F28</f>
        <v>100</v>
      </c>
      <c r="T28" s="769" t="s">
        <v>17</v>
      </c>
      <c r="U28" s="770">
        <f>H28</f>
        <v>100</v>
      </c>
      <c r="V28" s="769" t="s">
        <v>17</v>
      </c>
      <c r="W28" s="770">
        <f>J28</f>
        <v>100</v>
      </c>
      <c r="X28" s="771"/>
      <c r="Y28" s="3200"/>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198"/>
      <c r="Q29" s="2989">
        <f t="shared" si="11"/>
        <v>111</v>
      </c>
      <c r="R29" s="773" t="s">
        <v>17</v>
      </c>
      <c r="S29" s="774">
        <f t="shared" ref="S29:S47" si="12">F29</f>
        <v>100</v>
      </c>
      <c r="T29" s="773" t="s">
        <v>17</v>
      </c>
      <c r="U29" s="774">
        <f t="shared" ref="U29:U47" si="13">H29</f>
        <v>100</v>
      </c>
      <c r="V29" s="773" t="s">
        <v>17</v>
      </c>
      <c r="W29" s="774">
        <f t="shared" ref="W29:W47" si="14">J29</f>
        <v>100</v>
      </c>
      <c r="X29" s="2994"/>
      <c r="Y29" s="3200"/>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98"/>
      <c r="Q30" s="2989">
        <f t="shared" si="11"/>
        <v>111</v>
      </c>
      <c r="R30" s="773" t="s">
        <v>17</v>
      </c>
      <c r="S30" s="774">
        <f t="shared" si="12"/>
        <v>100</v>
      </c>
      <c r="T30" s="773" t="s">
        <v>17</v>
      </c>
      <c r="U30" s="774">
        <f t="shared" si="13"/>
        <v>100</v>
      </c>
      <c r="V30" s="773" t="s">
        <v>17</v>
      </c>
      <c r="W30" s="774">
        <f t="shared" si="14"/>
        <v>100</v>
      </c>
      <c r="X30" s="2994"/>
      <c r="Y30" s="3200"/>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98"/>
      <c r="Q31" s="2989">
        <f t="shared" si="11"/>
        <v>111</v>
      </c>
      <c r="R31" s="773" t="s">
        <v>17</v>
      </c>
      <c r="S31" s="774">
        <f t="shared" si="12"/>
        <v>100</v>
      </c>
      <c r="T31" s="773" t="s">
        <v>17</v>
      </c>
      <c r="U31" s="774">
        <f t="shared" si="13"/>
        <v>100</v>
      </c>
      <c r="V31" s="773" t="s">
        <v>17</v>
      </c>
      <c r="W31" s="774">
        <f t="shared" si="14"/>
        <v>100</v>
      </c>
      <c r="X31" s="2994"/>
      <c r="Y31" s="3200"/>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98"/>
      <c r="Q32" s="2989">
        <f t="shared" si="11"/>
        <v>111</v>
      </c>
      <c r="R32" s="773" t="s">
        <v>17</v>
      </c>
      <c r="S32" s="774">
        <f t="shared" si="12"/>
        <v>100</v>
      </c>
      <c r="T32" s="773" t="s">
        <v>17</v>
      </c>
      <c r="U32" s="774">
        <f t="shared" si="13"/>
        <v>100</v>
      </c>
      <c r="V32" s="773" t="s">
        <v>17</v>
      </c>
      <c r="W32" s="774">
        <f t="shared" si="14"/>
        <v>100</v>
      </c>
      <c r="X32" s="2994"/>
      <c r="Y32" s="3200"/>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1" t="s">
        <v>2566</v>
      </c>
      <c r="Q33" s="2989" t="str">
        <f t="shared" si="11"/>
        <v>建筑类型</v>
      </c>
      <c r="R33" s="773" t="s">
        <v>17</v>
      </c>
      <c r="S33" s="774">
        <f t="shared" si="12"/>
        <v>100</v>
      </c>
      <c r="T33" s="773" t="s">
        <v>17</v>
      </c>
      <c r="U33" s="774">
        <f t="shared" si="13"/>
        <v>100</v>
      </c>
      <c r="V33" s="773" t="s">
        <v>17</v>
      </c>
      <c r="W33" s="774">
        <f t="shared" si="14"/>
        <v>100</v>
      </c>
      <c r="X33" s="2994"/>
      <c r="Y33" s="3204"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2"/>
      <c r="Q34" s="775" t="str">
        <f t="shared" si="11"/>
        <v>项目建筑规模</v>
      </c>
      <c r="R34" s="776" t="s">
        <v>17</v>
      </c>
      <c r="S34" s="777">
        <f t="shared" si="12"/>
        <v>100</v>
      </c>
      <c r="T34" s="776" t="s">
        <v>17</v>
      </c>
      <c r="U34" s="777">
        <f t="shared" si="13"/>
        <v>100</v>
      </c>
      <c r="V34" s="776" t="s">
        <v>17</v>
      </c>
      <c r="W34" s="777">
        <f t="shared" si="14"/>
        <v>100</v>
      </c>
      <c r="X34" s="778"/>
      <c r="Y34" s="3204"/>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2"/>
      <c r="Q35" s="2989" t="str">
        <f t="shared" si="11"/>
        <v>建筑结构</v>
      </c>
      <c r="R35" s="773" t="s">
        <v>17</v>
      </c>
      <c r="S35" s="774">
        <f t="shared" si="12"/>
        <v>100</v>
      </c>
      <c r="T35" s="773" t="s">
        <v>17</v>
      </c>
      <c r="U35" s="774">
        <f t="shared" si="13"/>
        <v>100</v>
      </c>
      <c r="V35" s="773" t="s">
        <v>17</v>
      </c>
      <c r="W35" s="774">
        <f t="shared" si="14"/>
        <v>100</v>
      </c>
      <c r="X35" s="2994"/>
      <c r="Y35" s="3204"/>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2"/>
      <c r="Q36" s="2989" t="str">
        <f t="shared" si="11"/>
        <v>公共部分装修</v>
      </c>
      <c r="R36" s="773" t="s">
        <v>17</v>
      </c>
      <c r="S36" s="774">
        <f t="shared" si="12"/>
        <v>100</v>
      </c>
      <c r="T36" s="773" t="s">
        <v>17</v>
      </c>
      <c r="U36" s="774">
        <f t="shared" si="13"/>
        <v>100</v>
      </c>
      <c r="V36" s="773" t="s">
        <v>17</v>
      </c>
      <c r="W36" s="774">
        <f t="shared" si="14"/>
        <v>100</v>
      </c>
      <c r="X36" s="2994"/>
      <c r="Y36" s="3204"/>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2"/>
      <c r="Q37" s="2989" t="str">
        <f t="shared" si="11"/>
        <v>成新度</v>
      </c>
      <c r="R37" s="773" t="s">
        <v>17</v>
      </c>
      <c r="S37" s="774">
        <f t="shared" si="12"/>
        <v>100</v>
      </c>
      <c r="T37" s="773" t="s">
        <v>17</v>
      </c>
      <c r="U37" s="774">
        <f t="shared" si="13"/>
        <v>100</v>
      </c>
      <c r="V37" s="773" t="s">
        <v>17</v>
      </c>
      <c r="W37" s="774">
        <f t="shared" si="14"/>
        <v>100</v>
      </c>
      <c r="X37" s="2994"/>
      <c r="Y37" s="3204"/>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2"/>
      <c r="Q38" s="2985" t="str">
        <f t="shared" si="11"/>
        <v>写字楼等级</v>
      </c>
      <c r="R38" s="769" t="s">
        <v>17</v>
      </c>
      <c r="S38" s="770">
        <f t="shared" si="12"/>
        <v>100</v>
      </c>
      <c r="T38" s="769" t="s">
        <v>17</v>
      </c>
      <c r="U38" s="770">
        <f t="shared" si="13"/>
        <v>100</v>
      </c>
      <c r="V38" s="769" t="s">
        <v>17</v>
      </c>
      <c r="W38" s="770">
        <f t="shared" si="14"/>
        <v>100</v>
      </c>
      <c r="X38" s="771"/>
      <c r="Y38" s="3204"/>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2" t="s">
        <v>2566</v>
      </c>
      <c r="Q39" s="2989" t="str">
        <f t="shared" si="11"/>
        <v>物业管理</v>
      </c>
      <c r="R39" s="773" t="s">
        <v>17</v>
      </c>
      <c r="S39" s="774">
        <f t="shared" si="12"/>
        <v>100</v>
      </c>
      <c r="T39" s="773" t="s">
        <v>17</v>
      </c>
      <c r="U39" s="774">
        <f t="shared" si="13"/>
        <v>100</v>
      </c>
      <c r="V39" s="773" t="s">
        <v>17</v>
      </c>
      <c r="W39" s="774">
        <f t="shared" si="14"/>
        <v>100</v>
      </c>
      <c r="X39" s="2994"/>
      <c r="Y39" s="3204"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2"/>
      <c r="Q40" s="2989" t="str">
        <f t="shared" si="11"/>
        <v>市政基础设施</v>
      </c>
      <c r="R40" s="773" t="s">
        <v>17</v>
      </c>
      <c r="S40" s="774">
        <f t="shared" si="12"/>
        <v>100</v>
      </c>
      <c r="T40" s="773" t="s">
        <v>17</v>
      </c>
      <c r="U40" s="774">
        <f t="shared" si="13"/>
        <v>100</v>
      </c>
      <c r="V40" s="773" t="s">
        <v>17</v>
      </c>
      <c r="W40" s="774">
        <f t="shared" si="14"/>
        <v>100</v>
      </c>
      <c r="X40" s="2994"/>
      <c r="Y40" s="3204"/>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2"/>
      <c r="Q41" s="2989" t="str">
        <f t="shared" si="11"/>
        <v>层高</v>
      </c>
      <c r="R41" s="773" t="s">
        <v>17</v>
      </c>
      <c r="S41" s="774">
        <f t="shared" si="12"/>
        <v>100</v>
      </c>
      <c r="T41" s="773" t="s">
        <v>17</v>
      </c>
      <c r="U41" s="774">
        <f t="shared" si="13"/>
        <v>100</v>
      </c>
      <c r="V41" s="773" t="s">
        <v>17</v>
      </c>
      <c r="W41" s="774">
        <f t="shared" si="14"/>
        <v>100</v>
      </c>
      <c r="X41" s="2994"/>
      <c r="Y41" s="3204"/>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2"/>
      <c r="Q42" s="775" t="str">
        <f t="shared" si="11"/>
        <v>单套建筑面积</v>
      </c>
      <c r="R42" s="776" t="s">
        <v>17</v>
      </c>
      <c r="S42" s="777">
        <f t="shared" si="12"/>
        <v>99.5</v>
      </c>
      <c r="T42" s="776" t="s">
        <v>17</v>
      </c>
      <c r="U42" s="777">
        <f t="shared" si="13"/>
        <v>99.5</v>
      </c>
      <c r="V42" s="776" t="s">
        <v>17</v>
      </c>
      <c r="W42" s="777">
        <f t="shared" si="14"/>
        <v>101.5</v>
      </c>
      <c r="X42" s="778"/>
      <c r="Y42" s="3204"/>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2"/>
      <c r="Q43" s="2989" t="str">
        <f t="shared" si="11"/>
        <v>内部装修</v>
      </c>
      <c r="R43" s="773" t="s">
        <v>17</v>
      </c>
      <c r="S43" s="774">
        <f t="shared" si="12"/>
        <v>100</v>
      </c>
      <c r="T43" s="773" t="s">
        <v>17</v>
      </c>
      <c r="U43" s="774">
        <f t="shared" si="13"/>
        <v>100</v>
      </c>
      <c r="V43" s="773" t="s">
        <v>17</v>
      </c>
      <c r="W43" s="774">
        <f t="shared" si="14"/>
        <v>100</v>
      </c>
      <c r="X43" s="2994"/>
      <c r="Y43" s="3204"/>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2"/>
      <c r="Q44" s="2989" t="str">
        <f t="shared" si="11"/>
        <v>内部装修维护情况</v>
      </c>
      <c r="R44" s="773" t="s">
        <v>17</v>
      </c>
      <c r="S44" s="774">
        <f t="shared" si="12"/>
        <v>100</v>
      </c>
      <c r="T44" s="773" t="s">
        <v>17</v>
      </c>
      <c r="U44" s="774">
        <f t="shared" si="13"/>
        <v>100</v>
      </c>
      <c r="V44" s="773" t="s">
        <v>17</v>
      </c>
      <c r="W44" s="774">
        <f t="shared" si="14"/>
        <v>100</v>
      </c>
      <c r="X44" s="2994"/>
      <c r="Y44" s="3204"/>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2"/>
      <c r="Q45" s="2985">
        <f t="shared" si="11"/>
        <v>111</v>
      </c>
      <c r="R45" s="769" t="s">
        <v>17</v>
      </c>
      <c r="S45" s="770">
        <f t="shared" si="12"/>
        <v>100</v>
      </c>
      <c r="T45" s="769" t="s">
        <v>17</v>
      </c>
      <c r="U45" s="770">
        <f t="shared" si="13"/>
        <v>100</v>
      </c>
      <c r="V45" s="769" t="s">
        <v>17</v>
      </c>
      <c r="W45" s="770">
        <f t="shared" si="14"/>
        <v>100</v>
      </c>
      <c r="X45" s="771"/>
      <c r="Y45" s="3204"/>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2"/>
      <c r="Q46" s="2989">
        <f t="shared" si="11"/>
        <v>111</v>
      </c>
      <c r="R46" s="773" t="s">
        <v>17</v>
      </c>
      <c r="S46" s="774">
        <f t="shared" si="12"/>
        <v>100</v>
      </c>
      <c r="T46" s="773" t="s">
        <v>17</v>
      </c>
      <c r="U46" s="774">
        <f t="shared" si="13"/>
        <v>100</v>
      </c>
      <c r="V46" s="773" t="s">
        <v>17</v>
      </c>
      <c r="W46" s="774">
        <f t="shared" si="14"/>
        <v>100</v>
      </c>
      <c r="X46" s="2994"/>
      <c r="Y46" s="3204"/>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3"/>
      <c r="Q47" s="2989">
        <f t="shared" si="11"/>
        <v>111</v>
      </c>
      <c r="R47" s="773" t="s">
        <v>17</v>
      </c>
      <c r="S47" s="774">
        <f t="shared" si="12"/>
        <v>100</v>
      </c>
      <c r="T47" s="773" t="s">
        <v>17</v>
      </c>
      <c r="U47" s="774">
        <f t="shared" si="13"/>
        <v>100</v>
      </c>
      <c r="V47" s="773" t="s">
        <v>17</v>
      </c>
      <c r="W47" s="774">
        <f t="shared" si="14"/>
        <v>100</v>
      </c>
      <c r="X47" s="2994"/>
      <c r="Y47" s="3205"/>
      <c r="Z47" s="2992">
        <f t="shared" si="15"/>
        <v>111</v>
      </c>
      <c r="AA47" s="2990">
        <f t="shared" si="3"/>
        <v>1</v>
      </c>
      <c r="AB47" s="2990">
        <f t="shared" si="4"/>
        <v>1</v>
      </c>
      <c r="AC47" s="2678">
        <f t="shared" si="5"/>
        <v>1</v>
      </c>
    </row>
    <row r="48" spans="1:29" ht="15">
      <c r="A48" s="478" t="s">
        <v>2578</v>
      </c>
      <c r="B48" s="479"/>
      <c r="C48" s="1408" t="s">
        <v>1</v>
      </c>
      <c r="D48" s="1409"/>
      <c r="E48" s="1410">
        <v>5.7</v>
      </c>
      <c r="F48" s="1411"/>
      <c r="G48" s="1412">
        <v>5.5</v>
      </c>
      <c r="H48" s="1413"/>
      <c r="I48" s="1410">
        <v>6</v>
      </c>
      <c r="J48" s="484"/>
      <c r="K48" s="782"/>
      <c r="L48" s="1145"/>
      <c r="M48" s="1133"/>
      <c r="N48" s="1133"/>
      <c r="O48" s="1133"/>
      <c r="P48" s="3191" t="str">
        <f>A48</f>
        <v>成交单价（元/平方米）</v>
      </c>
      <c r="Q48" s="3192"/>
      <c r="R48" s="3193">
        <f>E48</f>
        <v>5.7</v>
      </c>
      <c r="S48" s="3193"/>
      <c r="T48" s="3193">
        <f>G48</f>
        <v>5.5</v>
      </c>
      <c r="U48" s="3193"/>
      <c r="V48" s="3193">
        <f>I48</f>
        <v>6</v>
      </c>
      <c r="W48" s="3193"/>
      <c r="X48" s="445"/>
      <c r="Y48" s="780"/>
      <c r="Z48" s="445"/>
      <c r="AA48" s="445"/>
      <c r="AB48" s="445"/>
      <c r="AC48" s="629"/>
    </row>
    <row r="49" spans="1:29" ht="15.75" thickBot="1">
      <c r="A49" s="485" t="s">
        <v>2670</v>
      </c>
      <c r="B49" s="486"/>
      <c r="C49" s="1414">
        <f>R50</f>
        <v>5.8</v>
      </c>
      <c r="D49" s="1415"/>
      <c r="E49" s="1416">
        <f>R49</f>
        <v>5.7</v>
      </c>
      <c r="F49" s="1416"/>
      <c r="G49" s="1414">
        <f>T49</f>
        <v>5.8</v>
      </c>
      <c r="H49" s="1415"/>
      <c r="I49" s="1416">
        <f>V49</f>
        <v>5.9</v>
      </c>
      <c r="J49" s="488"/>
      <c r="K49" s="783"/>
      <c r="L49" s="1145"/>
      <c r="M49" s="1133"/>
      <c r="N49" s="1133"/>
      <c r="O49" s="1133"/>
      <c r="P49" s="3191" t="str">
        <f>A49</f>
        <v>比较价值（元/平方米）</v>
      </c>
      <c r="Q49" s="3192"/>
      <c r="R49" s="3193">
        <f>IF(F1="售价",ROUND(PRODUCT(R48,AA7:AA47),0),ROUND(PRODUCT(R48,AA7:AA47),1))</f>
        <v>5.7</v>
      </c>
      <c r="S49" s="3193"/>
      <c r="T49" s="3193">
        <f>IF(F1="售价",ROUND(PRODUCT(T48,AB7:AB47),0),ROUND(PRODUCT(T48,AB7:AB47),1))</f>
        <v>5.8</v>
      </c>
      <c r="U49" s="3193"/>
      <c r="V49" s="3193">
        <f>IF(F1="售价",ROUND(PRODUCT(V48,AC7:AC47),0),ROUND(PRODUCT(V48,AC7:AC47),1))</f>
        <v>5.9</v>
      </c>
      <c r="W49" s="3193"/>
      <c r="X49" s="445"/>
      <c r="Y49" s="445"/>
      <c r="Z49" s="445"/>
      <c r="AA49" s="445"/>
      <c r="AB49" s="445"/>
      <c r="AC49" s="629"/>
    </row>
    <row r="50" spans="1:29" ht="15.75" thickBot="1">
      <c r="A50" s="491" t="s">
        <v>2671</v>
      </c>
      <c r="B50" s="492"/>
      <c r="C50" s="1418">
        <f>R50</f>
        <v>5.8</v>
      </c>
      <c r="D50" s="1418"/>
      <c r="E50" s="1418"/>
      <c r="F50" s="1418"/>
      <c r="G50" s="1418"/>
      <c r="H50" s="1418"/>
      <c r="I50" s="1418"/>
      <c r="J50" s="493"/>
      <c r="K50" s="784"/>
      <c r="L50" s="1145"/>
      <c r="M50" s="1133"/>
      <c r="N50" s="1133"/>
      <c r="O50" s="1133"/>
      <c r="P50" s="3194" t="str">
        <f>A50</f>
        <v>估价对象XX用房的比较价值（楼面单价，元/平方米）</v>
      </c>
      <c r="Q50" s="3195"/>
      <c r="R50" s="3196">
        <f>IF(F1="售价",ROUND(AVERAGE(R49:V49),0),ROUND(AVERAGE(R49:V49),1))</f>
        <v>5.8</v>
      </c>
      <c r="S50" s="3196"/>
      <c r="T50" s="3196"/>
      <c r="U50" s="3196"/>
      <c r="V50" s="3196"/>
      <c r="W50" s="3196"/>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0</v>
      </c>
      <c r="F53" s="499" t="str">
        <f>IF(OR(E53&gt;=0.3,E53&lt;=-0.3),"超过30%","")</f>
        <v/>
      </c>
      <c r="G53" s="498">
        <f>IF(G48&lt;G49,G49/G48-1,G48/G49-1)</f>
        <v>5.4545454545454453E-2</v>
      </c>
      <c r="H53" s="499" t="str">
        <f>IF(OR(G53&gt;=0.3,G53&lt;=-0.3),"超过30%","")</f>
        <v/>
      </c>
      <c r="I53" s="498">
        <f>IF(I48&lt;I49,I49/I48-1,I48/I49-1)</f>
        <v>1.6949152542372836E-2</v>
      </c>
      <c r="J53" s="499" t="str">
        <f>IF(OR(I53&gt;=0.3,I53&lt;=-0.3),"超过30%","")</f>
        <v/>
      </c>
      <c r="K53" s="1107"/>
      <c r="L53" s="1108"/>
      <c r="M53" s="1146"/>
      <c r="N53" s="1146"/>
      <c r="O53" s="1146"/>
    </row>
    <row r="54" spans="1:29" ht="13.5" customHeight="1">
      <c r="A54" s="1146"/>
      <c r="B54" s="1146"/>
      <c r="C54" s="496" t="s">
        <v>2673</v>
      </c>
      <c r="D54" s="500"/>
      <c r="E54" s="498">
        <f>IF(E49&lt;G49,G49/E49-1,E49/G49-1)</f>
        <v>1.754385964912264E-2</v>
      </c>
      <c r="F54" s="499" t="str">
        <f>IF(OR(E54&gt;=0.2,E54&lt;=-0.2),"超过20%","")</f>
        <v/>
      </c>
      <c r="G54" s="498">
        <f>IF(G49&lt;I49,I49/G49-1,G49/I49-1)</f>
        <v>1.7241379310344973E-2</v>
      </c>
      <c r="H54" s="499" t="str">
        <f>IF(OR(G54&gt;=0.2,G54&lt;=-0.2),"超过20%","")</f>
        <v/>
      </c>
      <c r="I54" s="498">
        <f>IF(I49&lt;E49,E49/I49-1,I49/E49-1)</f>
        <v>3.5087719298245723E-2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3.6363636363636376E-2</v>
      </c>
      <c r="F55" s="499" t="str">
        <f>IF(OR(E55&gt;=0.3,E55&lt;=-0.3),"超过30%","")</f>
        <v/>
      </c>
      <c r="G55" s="498">
        <f>IF(G48&lt;I48,I48/G48-1,G48/I48-1)</f>
        <v>9.0909090909090828E-2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637</v>
      </c>
      <c r="C2" s="1846" t="s">
        <v>1514</v>
      </c>
      <c r="D2" s="1846"/>
      <c r="E2" s="1847"/>
      <c r="F2" s="1848"/>
      <c r="G2" s="1849"/>
      <c r="H2" s="1841"/>
      <c r="I2" s="1841"/>
      <c r="J2" s="1841"/>
      <c r="K2" s="1842"/>
      <c r="L2" s="1841"/>
      <c r="M2" s="1841"/>
    </row>
    <row r="3" spans="1:37" ht="18" customHeight="1" thickBot="1">
      <c r="A3" s="1850" t="s">
        <v>1515</v>
      </c>
      <c r="B3" s="1851">
        <f ca="1">IF(ISERROR(B2*10000/F43),0,ROUND(B2*10000/F43,0))</f>
        <v>30594</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42</v>
      </c>
      <c r="D5" s="1823" t="s">
        <v>1400</v>
      </c>
      <c r="E5" s="1294"/>
      <c r="F5" s="1295"/>
      <c r="G5" s="1852"/>
      <c r="H5" s="343">
        <v>1</v>
      </c>
      <c r="I5" s="344" t="s">
        <v>1399</v>
      </c>
      <c r="J5" s="1293">
        <f ca="1">J6+J10+J12</f>
        <v>0</v>
      </c>
      <c r="K5" s="1823" t="s">
        <v>1400</v>
      </c>
      <c r="L5" s="1294"/>
      <c r="M5" s="1295"/>
    </row>
    <row r="6" spans="1:37" ht="18" customHeight="1">
      <c r="A6" s="1292" t="s">
        <v>1035</v>
      </c>
      <c r="B6" s="3242" t="s">
        <v>1401</v>
      </c>
      <c r="C6" s="1297">
        <f ca="1">ROUND(F6*F8*F7*(1-F9)/10000,0)</f>
        <v>42</v>
      </c>
      <c r="D6" s="163" t="s">
        <v>3034</v>
      </c>
      <c r="E6" s="346" t="s">
        <v>1403</v>
      </c>
      <c r="F6" s="347">
        <f ca="1">INDIRECT("'数据-取费表'!u"&amp;$G$1)</f>
        <v>5.8</v>
      </c>
      <c r="G6" s="1852"/>
      <c r="H6" s="1292" t="s">
        <v>1035</v>
      </c>
      <c r="I6" s="3242" t="s">
        <v>1401</v>
      </c>
      <c r="J6" s="345">
        <f ca="1">ROUND(M6*M8*M7*(1-M9)/10000,0)</f>
        <v>0</v>
      </c>
      <c r="K6" s="163" t="s">
        <v>3033</v>
      </c>
      <c r="L6" s="346" t="s">
        <v>1403</v>
      </c>
      <c r="M6" s="347">
        <f ca="1">INDIRECT("'数据-取费表'!z"&amp;$G$1)</f>
        <v>0</v>
      </c>
    </row>
    <row r="7" spans="1:37" ht="18" customHeight="1">
      <c r="A7" s="1296"/>
      <c r="B7" s="3243"/>
      <c r="C7" s="1298"/>
      <c r="D7" s="351"/>
      <c r="E7" s="1299" t="s">
        <v>1404</v>
      </c>
      <c r="F7" s="347">
        <f ca="1">IF(INDIRECT("'数据-取费表'!ah"&amp;$G$1)="",INDIRECT("'数据-取费表'!k"&amp;$G$1),INDIRECT("'数据-取费表'!ah"&amp;$G$1))</f>
        <v>208.21</v>
      </c>
      <c r="G7" s="1852"/>
      <c r="H7" s="348"/>
      <c r="I7" s="3243"/>
      <c r="J7" s="350"/>
      <c r="K7" s="351"/>
      <c r="L7" s="346" t="s">
        <v>1404</v>
      </c>
      <c r="M7" s="347">
        <f ca="1">F7</f>
        <v>208.21</v>
      </c>
    </row>
    <row r="8" spans="1:37" ht="18" customHeight="1">
      <c r="A8" s="348"/>
      <c r="B8" s="3243"/>
      <c r="C8" s="350"/>
      <c r="D8" s="351"/>
      <c r="E8" s="346" t="s">
        <v>1405</v>
      </c>
      <c r="F8" s="347">
        <f ca="1">INDIRECT("'数据-取费表'!ai"&amp;$G$1)</f>
        <v>365</v>
      </c>
      <c r="G8" s="1852"/>
      <c r="H8" s="348"/>
      <c r="I8" s="3243"/>
      <c r="J8" s="350"/>
      <c r="K8" s="351"/>
      <c r="L8" s="346" t="s">
        <v>1405</v>
      </c>
      <c r="M8" s="347">
        <f ca="1">INDIRECT("'数据-取费表'!ai"&amp;$G$1)</f>
        <v>365</v>
      </c>
    </row>
    <row r="9" spans="1:37" ht="18" customHeight="1">
      <c r="A9" s="348"/>
      <c r="B9" s="3244"/>
      <c r="C9" s="350"/>
      <c r="D9" s="351"/>
      <c r="E9" s="346" t="s">
        <v>1406</v>
      </c>
      <c r="F9" s="356">
        <f ca="1">INDIRECT("'数据-取费表'!w"&amp;$G$1)</f>
        <v>0.05</v>
      </c>
      <c r="G9" s="1852"/>
      <c r="H9" s="348"/>
      <c r="I9" s="3244"/>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74</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96</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0.8</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0.81</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v>
      </c>
      <c r="D20" s="368" t="s">
        <v>1438</v>
      </c>
      <c r="E20" s="346" t="s">
        <v>1420</v>
      </c>
      <c r="F20" s="366">
        <f>'数据-取费表'!B37</f>
        <v>1.4999999999999999E-2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0.02</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单利计息。建造成本、管理费用、销售费用产生的利息。</v>
      </c>
      <c r="E22" s="1819"/>
      <c r="F22" s="25"/>
      <c r="G22" s="1852"/>
      <c r="H22" s="1203" t="s">
        <v>1039</v>
      </c>
      <c r="I22" s="346" t="s">
        <v>1447</v>
      </c>
      <c r="J22" s="23">
        <f ca="1">ROUND(J14*M22,1)</f>
        <v>1.4</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v>
      </c>
      <c r="D23" s="374" t="str">
        <f>IF(F23&lt;=1,"(建造成本+管理费用)×利率×(建设周期÷2)","(建造成本+管理费用)×((1+利率)^(建设周期÷2)-1)")</f>
        <v>(建造成本+管理费用)×利率×(建设周期÷2)</v>
      </c>
      <c r="E23" s="346" t="s">
        <v>1450</v>
      </c>
      <c r="F23" s="370">
        <f>'数据-取费表'!B20</f>
        <v>1</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4.0000000000000002E-4</v>
      </c>
      <c r="D24" s="374" t="str">
        <f>IF(F23&lt;=1,"销售费用×利率×(建设周期÷2)","销售费用×((1+利率)^(建设周期÷2)-1)")</f>
        <v>销售费用×利率×(建设周期÷2)</v>
      </c>
      <c r="E24" s="346" t="s">
        <v>1456</v>
      </c>
      <c r="F24" s="376">
        <f ca="1">'数据-取费表'!B40</f>
        <v>4.3499999999999997E-2</v>
      </c>
      <c r="G24" s="1855"/>
      <c r="H24" s="1340" t="s">
        <v>1391</v>
      </c>
      <c r="I24" s="1341" t="s">
        <v>1437</v>
      </c>
      <c r="J24" s="1342">
        <f ca="1">ROUND(J5*M24,1)</f>
        <v>0</v>
      </c>
      <c r="K24" s="1343" t="s">
        <v>1457</v>
      </c>
      <c r="L24" s="1341" t="s">
        <v>1453</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11</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3.0000000000000001E-3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96</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7.3</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2.2400000000000002</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5.04</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1.4</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0.6</v>
      </c>
      <c r="D38" s="1343" t="s">
        <v>1457</v>
      </c>
      <c r="E38" s="1341" t="s">
        <v>1453</v>
      </c>
      <c r="F38" s="1337">
        <f ca="1">INDIRECT("'数据-取费表'!Am"&amp;$G$1)</f>
        <v>1.4999999999999999E-2</v>
      </c>
      <c r="G38" s="1852"/>
      <c r="H38" s="1860"/>
      <c r="I38" s="1861"/>
      <c r="J38" s="1862"/>
      <c r="K38" s="1866"/>
      <c r="L38" s="1860"/>
      <c r="M38" s="1860"/>
    </row>
    <row r="39" spans="1:18" ht="24.6" customHeight="1" thickTop="1">
      <c r="A39" s="1330" t="s">
        <v>1031</v>
      </c>
      <c r="B39" s="1345" t="s">
        <v>1481</v>
      </c>
      <c r="C39" s="354">
        <f ca="1">C5-C30</f>
        <v>33</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633</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3.5000000000000003E-2</v>
      </c>
      <c r="G42" s="1852"/>
      <c r="H42" s="731"/>
      <c r="I42" s="1861"/>
      <c r="J42" s="1862"/>
      <c r="K42" s="750"/>
      <c r="L42" s="731"/>
      <c r="M42" s="731"/>
    </row>
    <row r="43" spans="1:18" ht="18" customHeight="1" thickBot="1">
      <c r="A43" s="379" t="s">
        <v>1033</v>
      </c>
      <c r="B43" s="380" t="s">
        <v>1485</v>
      </c>
      <c r="C43" s="381">
        <f ca="1">ROUND(C40*10000/F43,0)</f>
        <v>30402</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-768</v>
      </c>
      <c r="D46" s="1873" t="str">
        <f>C2</f>
        <v>万元</v>
      </c>
      <c r="E46" s="1867"/>
      <c r="F46" s="1867"/>
      <c r="I46" s="1874" t="s">
        <v>1519</v>
      </c>
      <c r="J46" s="1875"/>
      <c r="K46" s="1876"/>
      <c r="L46" s="1877">
        <f ca="1">IF(M47="住宅",0,IF(L48&gt;J51,L60,J60))</f>
        <v>4</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633</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96</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379</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5" t="s">
        <v>1546</v>
      </c>
      <c r="L53" s="3246"/>
      <c r="O53" s="1885" t="s">
        <v>1046</v>
      </c>
      <c r="P53" s="1886" t="s">
        <v>1547</v>
      </c>
      <c r="Q53" s="1887">
        <f ca="1">Q47+Q48</f>
        <v>637</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74</v>
      </c>
      <c r="D56" s="1915"/>
      <c r="E56" s="1916"/>
      <c r="F56" s="1908"/>
      <c r="I56" s="1917" t="s">
        <v>1552</v>
      </c>
      <c r="J56" s="1918" t="s">
        <v>3067</v>
      </c>
      <c r="K56" s="1888" t="s">
        <v>1553</v>
      </c>
      <c r="L56" s="1891" t="str">
        <f ca="1">IF(L48&lt;J51,"——",L48-J53)</f>
        <v>——</v>
      </c>
      <c r="O56" s="1885" t="s">
        <v>1040</v>
      </c>
      <c r="P56" s="1886" t="s">
        <v>1526</v>
      </c>
      <c r="Q56" s="1887">
        <f ca="1">C40+J29</f>
        <v>633</v>
      </c>
      <c r="R56" s="1887" t="s">
        <v>1527</v>
      </c>
    </row>
    <row r="57" spans="1:18" s="1843" customFormat="1" ht="24.75" thickBot="1">
      <c r="A57" s="1919"/>
      <c r="B57" s="1171" t="s">
        <v>1476</v>
      </c>
      <c r="C57" s="281">
        <f ca="1">C29</f>
        <v>96</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8.1</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4</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8.06</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633</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1.4</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633</v>
      </c>
      <c r="R65" s="1887" t="s">
        <v>1527</v>
      </c>
    </row>
    <row r="66" spans="1:18" s="1843" customFormat="1" ht="16.5" thickBot="1">
      <c r="A66" s="1203" t="s">
        <v>1502</v>
      </c>
      <c r="B66" s="1171" t="s">
        <v>1437</v>
      </c>
      <c r="C66" s="23">
        <f ca="1">ROUND(C48*F66,1)</f>
        <v>0</v>
      </c>
      <c r="D66" s="1185" t="s">
        <v>1503</v>
      </c>
      <c r="E66" s="1171" t="s">
        <v>1420</v>
      </c>
      <c r="F66" s="356">
        <f t="shared" ca="1" si="0"/>
        <v>1.4999999999999999E-2</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379</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27</v>
      </c>
      <c r="R68" s="1887" t="s">
        <v>1051</v>
      </c>
    </row>
    <row r="69" spans="1:18" s="1843" customFormat="1" ht="13.5" thickBot="1">
      <c r="A69" s="1172"/>
      <c r="B69" s="1173"/>
      <c r="C69" s="350"/>
      <c r="D69" s="1191" t="s">
        <v>1471</v>
      </c>
      <c r="E69" s="1171" t="s">
        <v>1472</v>
      </c>
      <c r="F69" s="378">
        <f ca="1">F41</f>
        <v>25.28</v>
      </c>
      <c r="O69" s="1895" t="s">
        <v>1048</v>
      </c>
      <c r="P69" s="1935" t="s">
        <v>1582</v>
      </c>
      <c r="Q69" s="1887">
        <f ca="1">C39</f>
        <v>33</v>
      </c>
      <c r="R69" s="1887" t="s">
        <v>1527</v>
      </c>
    </row>
    <row r="70" spans="1:18" s="1843" customFormat="1" ht="13.5" thickBot="1">
      <c r="A70" s="1175"/>
      <c r="B70" s="1176"/>
      <c r="C70" s="354"/>
      <c r="D70" s="1187"/>
      <c r="E70" s="1171" t="s">
        <v>1475</v>
      </c>
      <c r="F70" s="1276"/>
      <c r="O70" s="1895" t="s">
        <v>1049</v>
      </c>
      <c r="P70" s="1935" t="s">
        <v>1583</v>
      </c>
      <c r="Q70" s="1887">
        <f ca="1">C13</f>
        <v>74</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v>
      </c>
      <c r="D75" s="1843"/>
      <c r="E75" s="1843"/>
      <c r="F75" s="1843"/>
      <c r="K75" s="1869"/>
      <c r="L75" s="1843"/>
      <c r="O75" s="1885" t="s">
        <v>1046</v>
      </c>
      <c r="P75" s="1886" t="s">
        <v>1547</v>
      </c>
      <c r="Q75" s="1887">
        <f ca="1">Q65+Q66</f>
        <v>633</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0.81800000000000006</v>
      </c>
    </row>
    <row r="80" spans="1:18">
      <c r="B80" s="385" t="s">
        <v>1509</v>
      </c>
      <c r="C80" s="317">
        <f ca="1">ROUND(C75/C39,3)</f>
        <v>0.182</v>
      </c>
    </row>
    <row r="81" spans="2:3">
      <c r="B81" s="313" t="s">
        <v>1510</v>
      </c>
      <c r="C81" s="281"/>
    </row>
    <row r="82" spans="2:3">
      <c r="B82" s="316" t="s">
        <v>1511</v>
      </c>
      <c r="C82" s="318">
        <f ca="1">1-C83</f>
        <v>0.88300000000000001</v>
      </c>
    </row>
    <row r="83" spans="2:3">
      <c r="B83" s="316" t="s">
        <v>1512</v>
      </c>
      <c r="C83" s="317">
        <f ca="1">ROUND(C13/C40,3)</f>
        <v>0.11700000000000001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A36" sqref="A36"/>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8" t="s">
        <v>3009</v>
      </c>
      <c r="D1" s="3249"/>
      <c r="E1" s="3249"/>
      <c r="F1" s="3249"/>
      <c r="G1" s="3249"/>
      <c r="H1" s="3249"/>
      <c r="I1" s="3249"/>
      <c r="J1" s="3249"/>
      <c r="K1" s="3249"/>
      <c r="L1" s="3249"/>
      <c r="M1" s="3249"/>
      <c r="N1" s="3249"/>
      <c r="O1" s="3249"/>
      <c r="P1" s="3249"/>
      <c r="Q1" s="3249"/>
      <c r="R1" s="3249"/>
      <c r="S1" s="3250"/>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32695</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83" t="s">
        <v>33</v>
      </c>
      <c r="D22" s="3184"/>
      <c r="E22" s="3184"/>
      <c r="F22" s="3184"/>
      <c r="G22" s="3184"/>
      <c r="H22" s="3184"/>
      <c r="I22" s="3184"/>
      <c r="J22" s="3184"/>
      <c r="K22" s="3184"/>
      <c r="L22" s="3184"/>
      <c r="M22" s="3184"/>
      <c r="N22" s="3184"/>
      <c r="O22" s="3184"/>
      <c r="P22" s="3184"/>
      <c r="Q22" s="3247"/>
      <c r="R22" s="715">
        <f ca="1">ROUND(S22*10000/B22,0)</f>
        <v>32695</v>
      </c>
      <c r="S22" s="2975">
        <f ca="1">SUM(S24:S10000)</f>
        <v>7880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'结果表-办公'!G20</f>
        <v>32590</v>
      </c>
      <c r="S24" s="718">
        <f t="shared" ref="S24:S54" ca="1" si="13">ROUND(R24*B24/10000,0)</f>
        <v>679</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32753</v>
      </c>
      <c r="S25" s="360">
        <f t="shared" ca="1" si="13"/>
        <v>1295</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32590</v>
      </c>
      <c r="S26" s="360">
        <f t="shared" ca="1" si="13"/>
        <v>671</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32753</v>
      </c>
      <c r="S27" s="360">
        <f t="shared" ca="1" si="13"/>
        <v>1295</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32590</v>
      </c>
      <c r="S28" s="360">
        <f t="shared" ca="1" si="13"/>
        <v>679</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32753</v>
      </c>
      <c r="S29" s="360">
        <f t="shared" ca="1" si="13"/>
        <v>1295</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32590</v>
      </c>
      <c r="S30" s="360">
        <f t="shared" ca="1" si="13"/>
        <v>671</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32753</v>
      </c>
      <c r="S31" s="360">
        <f t="shared" ca="1" si="13"/>
        <v>1295</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28" t="str">
        <f>项目基本情况!S2</f>
        <v>房地产</v>
      </c>
      <c r="B2" s="3129"/>
      <c r="C2" s="3129"/>
      <c r="D2" s="3129"/>
      <c r="E2" s="3129"/>
      <c r="F2" s="3129"/>
      <c r="G2" s="3129"/>
      <c r="H2" s="3129"/>
      <c r="I2" s="3130"/>
    </row>
    <row r="3" spans="1:12" ht="12.75">
      <c r="A3" s="3132" t="s">
        <v>2120</v>
      </c>
      <c r="B3" s="3133"/>
      <c r="C3" s="3133"/>
      <c r="D3" s="3133"/>
      <c r="E3" s="3133"/>
      <c r="F3" s="3133"/>
      <c r="G3" s="3133"/>
      <c r="H3" s="3133"/>
      <c r="I3" s="3133"/>
    </row>
    <row r="4" spans="1:12" ht="14.25">
      <c r="A4" s="2427" t="s">
        <v>2121</v>
      </c>
      <c r="B4" s="2428" t="s">
        <v>2122</v>
      </c>
      <c r="C4" s="2429" t="s">
        <v>3111</v>
      </c>
      <c r="D4" s="2429" t="s">
        <v>3143</v>
      </c>
      <c r="E4" s="3125" t="s">
        <v>2123</v>
      </c>
      <c r="F4" s="3126"/>
      <c r="G4" s="3126"/>
      <c r="H4" s="3126"/>
      <c r="I4" s="3134"/>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08" t="s">
        <v>2124</v>
      </c>
      <c r="B5" s="3046">
        <v>25</v>
      </c>
      <c r="C5" s="3111"/>
      <c r="D5" s="3131"/>
      <c r="E5" s="139" t="s">
        <v>2125</v>
      </c>
      <c r="F5" s="2431"/>
      <c r="G5" s="2431"/>
      <c r="H5" s="2431"/>
      <c r="I5" s="1832"/>
    </row>
    <row r="6" spans="1:12" ht="12.75">
      <c r="A6" s="3108"/>
      <c r="B6" s="3046"/>
      <c r="C6" s="3112"/>
      <c r="D6" s="3131"/>
      <c r="E6" s="139" t="s">
        <v>2126</v>
      </c>
      <c r="F6" s="2431"/>
      <c r="G6" s="2431"/>
      <c r="H6" s="2431"/>
      <c r="I6" s="1832"/>
    </row>
    <row r="7" spans="1:12" ht="12.75">
      <c r="A7" s="3108"/>
      <c r="B7" s="3046"/>
      <c r="C7" s="3113"/>
      <c r="D7" s="3131"/>
      <c r="E7" s="139" t="s">
        <v>2127</v>
      </c>
      <c r="F7" s="2431"/>
      <c r="G7" s="2431"/>
      <c r="H7" s="2431"/>
      <c r="I7" s="1832"/>
    </row>
    <row r="8" spans="1:12" ht="12.75">
      <c r="A8" s="3108" t="s">
        <v>2128</v>
      </c>
      <c r="B8" s="3046">
        <v>15</v>
      </c>
      <c r="C8" s="3111"/>
      <c r="D8" s="3131"/>
      <c r="E8" s="139" t="s">
        <v>2129</v>
      </c>
      <c r="F8" s="2431"/>
      <c r="G8" s="2431"/>
      <c r="H8" s="2431"/>
      <c r="I8" s="1832"/>
    </row>
    <row r="9" spans="1:12" ht="12.75">
      <c r="A9" s="3108"/>
      <c r="B9" s="3046"/>
      <c r="C9" s="3113"/>
      <c r="D9" s="3131"/>
      <c r="E9" s="139" t="s">
        <v>2130</v>
      </c>
      <c r="F9" s="2431"/>
      <c r="G9" s="2431"/>
      <c r="H9" s="2431"/>
      <c r="I9" s="1832"/>
    </row>
    <row r="10" spans="1:12" ht="12.75">
      <c r="A10" s="3108" t="s">
        <v>2131</v>
      </c>
      <c r="B10" s="3046">
        <v>15</v>
      </c>
      <c r="C10" s="3111"/>
      <c r="D10" s="3131"/>
      <c r="E10" s="139" t="s">
        <v>2132</v>
      </c>
      <c r="F10" s="2431"/>
      <c r="G10" s="2431"/>
      <c r="H10" s="2431"/>
      <c r="I10" s="1832"/>
    </row>
    <row r="11" spans="1:12" ht="12.75">
      <c r="A11" s="3108"/>
      <c r="B11" s="3046"/>
      <c r="C11" s="3113"/>
      <c r="D11" s="3131"/>
      <c r="E11" s="139" t="s">
        <v>2133</v>
      </c>
      <c r="F11" s="2431"/>
      <c r="G11" s="2431"/>
      <c r="H11" s="2431"/>
      <c r="I11" s="1832"/>
    </row>
    <row r="12" spans="1:12" ht="12.75">
      <c r="A12" s="3108" t="s">
        <v>2134</v>
      </c>
      <c r="B12" s="3046">
        <v>15</v>
      </c>
      <c r="C12" s="3111"/>
      <c r="D12" s="3131"/>
      <c r="E12" s="139" t="s">
        <v>2135</v>
      </c>
      <c r="F12" s="2431"/>
      <c r="G12" s="2431"/>
      <c r="H12" s="2431"/>
      <c r="I12" s="1832"/>
    </row>
    <row r="13" spans="1:12" ht="12.75">
      <c r="A13" s="3108"/>
      <c r="B13" s="3046"/>
      <c r="C13" s="3113"/>
      <c r="D13" s="3131"/>
      <c r="E13" s="139" t="s">
        <v>2136</v>
      </c>
      <c r="F13" s="2431"/>
      <c r="G13" s="2431"/>
      <c r="H13" s="2431"/>
      <c r="I13" s="1832"/>
    </row>
    <row r="14" spans="1:12" ht="12.75">
      <c r="A14" s="3108" t="s">
        <v>2137</v>
      </c>
      <c r="B14" s="3046">
        <v>30</v>
      </c>
      <c r="C14" s="3111">
        <v>4</v>
      </c>
      <c r="D14" s="3131">
        <f>10-C14</f>
        <v>6</v>
      </c>
      <c r="E14" s="139" t="s">
        <v>2138</v>
      </c>
      <c r="F14" s="2431"/>
      <c r="G14" s="2431"/>
      <c r="H14" s="2431"/>
      <c r="I14" s="1832"/>
    </row>
    <row r="15" spans="1:12" ht="12.75">
      <c r="A15" s="3108"/>
      <c r="B15" s="3046"/>
      <c r="C15" s="3112"/>
      <c r="D15" s="3131"/>
      <c r="E15" s="139" t="s">
        <v>2139</v>
      </c>
      <c r="F15" s="2431"/>
      <c r="G15" s="2431"/>
      <c r="H15" s="2431"/>
      <c r="I15" s="1832"/>
    </row>
    <row r="16" spans="1:12" ht="12.75">
      <c r="A16" s="3108"/>
      <c r="B16" s="3046"/>
      <c r="C16" s="3113"/>
      <c r="D16" s="3131"/>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34</v>
      </c>
      <c r="D19" s="143">
        <f ca="1">SUMIF(INDIRECT("'"&amp;D4&amp;"'"&amp;"!A:A"),'结果表-车位'!B19,INDIRECT("'"&amp;D4&amp;"'"&amp;"!B:B"))</f>
        <v>15</v>
      </c>
      <c r="E19" s="2436" t="s">
        <v>2148</v>
      </c>
      <c r="F19" s="2437" t="s">
        <v>2147</v>
      </c>
      <c r="G19" s="144">
        <f ca="1">ROUND(C19*$C$18+D19*$D$18,0)</f>
        <v>23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5457</v>
      </c>
      <c r="D20" s="146">
        <f ca="1">SUMIF(INDIRECT("'"&amp;D4&amp;"'"&amp;"!A:A"),'结果表-车位'!B20,INDIRECT("'"&amp;D4&amp;"'"&amp;"!B:B"))</f>
        <v>2387</v>
      </c>
      <c r="E20" s="2439"/>
      <c r="F20" s="1248" t="s">
        <v>2151</v>
      </c>
      <c r="G20" s="147">
        <f ca="1">ROUND(C20*$C$18+D20*$D$18,0)</f>
        <v>3615</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1.2666666666666666</v>
      </c>
      <c r="E22" s="137"/>
      <c r="F22" s="137"/>
      <c r="G22" s="137"/>
      <c r="H22" s="137"/>
      <c r="I22" s="137"/>
    </row>
    <row r="23" spans="1:35" ht="13.5" thickBot="1">
      <c r="A23" s="2420"/>
      <c r="B23" s="2420"/>
      <c r="C23" s="2420"/>
      <c r="D23" s="2420"/>
      <c r="E23" s="137"/>
      <c r="F23" s="137"/>
      <c r="G23" s="137"/>
      <c r="H23" s="137"/>
      <c r="I23" s="137"/>
    </row>
    <row r="24" spans="1:35" ht="14.25">
      <c r="A24" s="3102" t="s">
        <v>2155</v>
      </c>
      <c r="B24" s="2437" t="s">
        <v>2147</v>
      </c>
      <c r="C24" s="144">
        <f>IF(B30=0,0,D30)</f>
        <v>0</v>
      </c>
      <c r="D24" s="2444"/>
      <c r="E24" s="137"/>
      <c r="F24" s="137"/>
      <c r="G24" s="137"/>
      <c r="H24" s="137"/>
      <c r="I24" s="137"/>
    </row>
    <row r="25" spans="1:35" ht="14.25">
      <c r="A25" s="310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23</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0" t="s">
        <v>2169</v>
      </c>
      <c r="B36" s="2463" t="s">
        <v>2170</v>
      </c>
      <c r="C36" s="153"/>
      <c r="D36" s="2464"/>
      <c r="E36" s="2465"/>
      <c r="F36" s="2466"/>
      <c r="G36" s="137"/>
      <c r="H36" s="137"/>
      <c r="I36" s="137"/>
    </row>
    <row r="37" spans="1:15" ht="15.75" thickBot="1">
      <c r="A37" s="3121"/>
      <c r="B37" s="2268" t="s">
        <v>2171</v>
      </c>
      <c r="C37" s="155"/>
      <c r="D37" s="1393"/>
      <c r="E37" s="1393"/>
      <c r="F37" s="2466"/>
      <c r="G37" s="137"/>
      <c r="H37" s="137"/>
      <c r="I37" s="137"/>
    </row>
    <row r="38" spans="1:15" ht="15.75" thickBot="1">
      <c r="A38" s="3122"/>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099" t="s">
        <v>2183</v>
      </c>
      <c r="B45" s="3100"/>
      <c r="C45" s="3101"/>
      <c r="D45" s="163">
        <f ca="1">ROUND(H101*F45,0)</f>
        <v>23</v>
      </c>
      <c r="E45" s="164" t="s">
        <v>2184</v>
      </c>
      <c r="F45" s="165">
        <v>1</v>
      </c>
      <c r="G45" s="166" t="s">
        <v>2185</v>
      </c>
      <c r="H45" s="137"/>
      <c r="I45" s="137"/>
      <c r="J45" s="3159" t="s">
        <v>2186</v>
      </c>
      <c r="K45" s="3159"/>
      <c r="L45" s="3159"/>
      <c r="M45" s="3159"/>
      <c r="N45" s="3159"/>
      <c r="O45" s="3159"/>
    </row>
    <row r="46" spans="1:15" ht="14.25" customHeight="1">
      <c r="A46" s="3096" t="s">
        <v>2187</v>
      </c>
      <c r="B46" s="3097"/>
      <c r="C46" s="3097"/>
      <c r="D46" s="3097"/>
      <c r="E46" s="3097"/>
      <c r="F46" s="3097"/>
      <c r="G46" s="3098"/>
      <c r="H46" s="2482"/>
      <c r="I46" s="167"/>
      <c r="J46" s="2959">
        <v>1</v>
      </c>
      <c r="K46" s="3159" t="s">
        <v>2188</v>
      </c>
      <c r="L46" s="3159"/>
      <c r="M46" s="3179"/>
      <c r="N46" s="3179"/>
      <c r="O46" s="3179"/>
    </row>
    <row r="47" spans="1:15" ht="12" customHeight="1">
      <c r="A47" s="168" t="s">
        <v>2189</v>
      </c>
      <c r="B47" s="169"/>
      <c r="C47" s="170"/>
      <c r="D47" s="171" t="s">
        <v>2190</v>
      </c>
      <c r="E47" s="23" t="s">
        <v>2191</v>
      </c>
      <c r="F47" s="172" t="s">
        <v>2192</v>
      </c>
      <c r="G47" s="173" t="s">
        <v>2193</v>
      </c>
      <c r="H47" s="2482"/>
      <c r="I47" s="167"/>
      <c r="J47" s="2959">
        <v>2</v>
      </c>
      <c r="K47" s="3159" t="s">
        <v>2194</v>
      </c>
      <c r="L47" s="3159"/>
      <c r="M47" s="3180">
        <f>'数据-取费表'!B2</f>
        <v>43270</v>
      </c>
      <c r="N47" s="3180"/>
      <c r="O47" s="3180"/>
    </row>
    <row r="48" spans="1:15" ht="25.5">
      <c r="A48" s="3127" t="s">
        <v>2195</v>
      </c>
      <c r="B48" s="3110"/>
      <c r="C48" s="3110"/>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159" t="s">
        <v>2198</v>
      </c>
      <c r="L48" s="3159"/>
      <c r="M48" s="3181">
        <f ca="1">H101</f>
        <v>23</v>
      </c>
      <c r="N48" s="3181"/>
      <c r="O48" s="3181"/>
    </row>
    <row r="49" spans="1:35" ht="25.5" customHeight="1">
      <c r="A49" s="175" t="s">
        <v>2199</v>
      </c>
      <c r="B49" s="3095" t="s">
        <v>2200</v>
      </c>
      <c r="C49" s="3095"/>
      <c r="D49" s="176">
        <v>0</v>
      </c>
      <c r="E49" s="22" t="s">
        <v>2201</v>
      </c>
      <c r="F49" s="27" t="s">
        <v>34</v>
      </c>
      <c r="G49" s="3165"/>
      <c r="H49" s="137"/>
      <c r="I49" s="2485"/>
      <c r="J49" s="2959">
        <v>4</v>
      </c>
      <c r="K49" s="3159" t="str">
        <f>IF(项目基本情况!E8="房地产抵押价值","房地产抵押价值","抵押担保权已注销时的房地产抵押价值")</f>
        <v>房地产抵押价值</v>
      </c>
      <c r="L49" s="3159"/>
      <c r="M49" s="3181">
        <f ca="1">IF(项目基本情况!E8="房地产抵押价值",H107,H109)</f>
        <v>23</v>
      </c>
      <c r="N49" s="3181"/>
      <c r="O49" s="3181"/>
    </row>
    <row r="50" spans="1:35" ht="25.5" customHeight="1">
      <c r="A50" s="177"/>
      <c r="B50" s="3095" t="s">
        <v>2202</v>
      </c>
      <c r="C50" s="3095"/>
      <c r="D50" s="178"/>
      <c r="E50" s="30"/>
      <c r="F50" s="179"/>
      <c r="G50" s="3166"/>
      <c r="H50" s="137"/>
      <c r="I50" s="2485"/>
      <c r="J50" s="3159" t="s">
        <v>2203</v>
      </c>
      <c r="K50" s="3159"/>
      <c r="L50" s="3159"/>
      <c r="M50" s="3159"/>
      <c r="N50" s="3159"/>
      <c r="O50" s="3159"/>
    </row>
    <row r="51" spans="1:35" ht="12" customHeight="1">
      <c r="A51" s="180"/>
      <c r="B51" s="3095" t="s">
        <v>2204</v>
      </c>
      <c r="C51" s="3095"/>
      <c r="D51" s="181"/>
      <c r="E51" s="29"/>
      <c r="F51" s="179"/>
      <c r="G51" s="3167"/>
      <c r="H51" s="137"/>
      <c r="I51" s="2485"/>
      <c r="J51" s="2958" t="s">
        <v>2205</v>
      </c>
      <c r="K51" s="3159" t="s">
        <v>2206</v>
      </c>
      <c r="L51" s="3159"/>
      <c r="M51" s="2958" t="s">
        <v>2207</v>
      </c>
      <c r="N51" s="2958" t="s">
        <v>2208</v>
      </c>
      <c r="O51" s="2958" t="s">
        <v>2209</v>
      </c>
    </row>
    <row r="52" spans="1:35" ht="24" customHeight="1">
      <c r="A52" s="182" t="s">
        <v>2210</v>
      </c>
      <c r="B52" s="3095" t="s">
        <v>2211</v>
      </c>
      <c r="C52" s="3095"/>
      <c r="D52" s="181">
        <f ca="1">ROUND(D45*'数据-取费表'!B41/(1+'数据-取费表'!C42),0)</f>
        <v>1</v>
      </c>
      <c r="E52" s="11" t="s">
        <v>2212</v>
      </c>
      <c r="F52" s="183">
        <f>'数据-取费表'!B41</f>
        <v>5.6000000000000001E-2</v>
      </c>
      <c r="G52" s="2487"/>
      <c r="H52" s="137"/>
      <c r="I52" s="2485"/>
      <c r="J52" s="2959">
        <v>1</v>
      </c>
      <c r="K52" s="3160" t="s">
        <v>2213</v>
      </c>
      <c r="L52" s="3160"/>
      <c r="M52" s="1752">
        <f>D48</f>
        <v>0</v>
      </c>
      <c r="N52" s="2959" t="str">
        <f>E48</f>
        <v>销售额×税（费）率</v>
      </c>
      <c r="O52" s="1753" t="str">
        <f>F48</f>
        <v>免征</v>
      </c>
    </row>
    <row r="53" spans="1:35" ht="12" customHeight="1">
      <c r="A53" s="182" t="s">
        <v>2214</v>
      </c>
      <c r="B53" s="3118" t="s">
        <v>2215</v>
      </c>
      <c r="C53" s="3119"/>
      <c r="D53" s="181">
        <f ca="1">ROUND(D45*'数据-取费表'!B41/(1+'数据-取费表'!C42),0)</f>
        <v>1</v>
      </c>
      <c r="E53" s="11" t="s">
        <v>2212</v>
      </c>
      <c r="F53" s="183">
        <f>'数据-取费表'!B41</f>
        <v>5.6000000000000001E-2</v>
      </c>
      <c r="G53" s="2487"/>
      <c r="H53" s="137"/>
      <c r="I53" s="2485"/>
      <c r="J53" s="2959">
        <v>2</v>
      </c>
      <c r="K53" s="3160" t="s">
        <v>2216</v>
      </c>
      <c r="L53" s="3160"/>
      <c r="M53" s="1752">
        <f t="shared" ref="M53:O54" ca="1" si="0">D55</f>
        <v>0</v>
      </c>
      <c r="N53" s="2959" t="str">
        <f t="shared" si="0"/>
        <v>销售额×税（费）率</v>
      </c>
      <c r="O53" s="1753">
        <f t="shared" si="0"/>
        <v>5.0000000000000001E-4</v>
      </c>
    </row>
    <row r="54" spans="1:35" ht="12" customHeight="1">
      <c r="A54" s="182" t="s">
        <v>2217</v>
      </c>
      <c r="B54" s="3118" t="s">
        <v>2218</v>
      </c>
      <c r="C54" s="3119"/>
      <c r="D54" s="181">
        <f ca="1">C68</f>
        <v>1</v>
      </c>
      <c r="E54" s="29" t="s">
        <v>2219</v>
      </c>
      <c r="F54" s="183">
        <f>'数据-取费表'!B41</f>
        <v>5.6000000000000001E-2</v>
      </c>
      <c r="G54" s="2487"/>
      <c r="H54" s="2488"/>
      <c r="I54" s="2485"/>
      <c r="J54" s="2959">
        <v>3</v>
      </c>
      <c r="K54" s="3160" t="s">
        <v>2220</v>
      </c>
      <c r="L54" s="3160"/>
      <c r="M54" s="1752" t="e">
        <f t="shared" ca="1" si="0"/>
        <v>#DIV/0!</v>
      </c>
      <c r="N54" s="2959" t="str">
        <f t="shared" si="0"/>
        <v>增值额×税（费）率</v>
      </c>
      <c r="O54" s="1754" t="str">
        <f t="shared" si="0"/>
        <v>——</v>
      </c>
    </row>
    <row r="55" spans="1:35" ht="24" customHeight="1">
      <c r="A55" s="3109" t="s">
        <v>2221</v>
      </c>
      <c r="B55" s="3110"/>
      <c r="C55" s="3110"/>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60" t="str">
        <f>IF(H59="非个人房产","——","个人所得税")</f>
        <v>——</v>
      </c>
      <c r="L55" s="3160"/>
      <c r="M55" s="1755" t="str">
        <f>D59</f>
        <v>——</v>
      </c>
      <c r="N55" s="2960" t="str">
        <f>E59</f>
        <v>——</v>
      </c>
      <c r="O55" s="1756" t="str">
        <f>F59</f>
        <v>——</v>
      </c>
    </row>
    <row r="56" spans="1:35" ht="24.75">
      <c r="A56" s="3109" t="s">
        <v>2224</v>
      </c>
      <c r="B56" s="3110"/>
      <c r="C56" s="3110"/>
      <c r="D56" s="184" t="e">
        <f ca="1">IF(H56="个人住宅",D57,D58)</f>
        <v>#DIV/0!</v>
      </c>
      <c r="E56" s="11" t="s">
        <v>2225</v>
      </c>
      <c r="F56" s="183" t="str">
        <f>IF(H56="正常",F58,"免征")</f>
        <v>——</v>
      </c>
      <c r="G56" s="2489" t="s">
        <v>2226</v>
      </c>
      <c r="H56" s="2490" t="s">
        <v>2223</v>
      </c>
      <c r="I56" s="2491"/>
      <c r="J56" s="2959" t="str">
        <f>IF(项目基本情况!K6="上海银行",IF(J55="",4,J55+1),"")</f>
        <v/>
      </c>
      <c r="K56" s="3183" t="str">
        <f>IF(项目基本情况!K6="上海银行","其他处置费用","")</f>
        <v/>
      </c>
      <c r="L56" s="3184"/>
      <c r="M56" s="1752" t="str">
        <f>IF(项目基本情况!K6="上海银行",M69,"")</f>
        <v/>
      </c>
      <c r="N56" s="3186" t="str">
        <f>IF(项目基本情况!K6="上海银行","包含处置中涉及的律师、诉讼、拍卖、评估等费用","")</f>
        <v/>
      </c>
      <c r="O56" s="3187"/>
    </row>
    <row r="57" spans="1:35" ht="12.75">
      <c r="A57" s="182" t="s">
        <v>2199</v>
      </c>
      <c r="B57" s="3125" t="s">
        <v>2227</v>
      </c>
      <c r="C57" s="3134"/>
      <c r="D57" s="186">
        <v>0</v>
      </c>
      <c r="E57" s="22" t="s">
        <v>2201</v>
      </c>
      <c r="F57" s="154"/>
      <c r="G57" s="2487"/>
      <c r="H57" s="2491"/>
      <c r="I57" s="2491"/>
      <c r="J57" s="3160">
        <f>IF(AND(J55="",J56=""),4,IF(项目基本情况!K6="上海银行",'结果表-车位'!J56+1,'结果表-车位'!J55+1))</f>
        <v>4</v>
      </c>
      <c r="K57" s="3160" t="s">
        <v>2228</v>
      </c>
      <c r="L57" s="2492" t="s">
        <v>2229</v>
      </c>
      <c r="M57" s="1757"/>
      <c r="N57" s="1758">
        <f ca="1">SUMIF(M52:M56,"&lt;9e307")</f>
        <v>0</v>
      </c>
      <c r="O57" s="2493"/>
      <c r="P57" s="1751">
        <f ca="1">N57/M49</f>
        <v>0</v>
      </c>
    </row>
    <row r="58" spans="1:35" ht="24.75">
      <c r="A58" s="182" t="s">
        <v>2210</v>
      </c>
      <c r="B58" s="3125" t="s">
        <v>2230</v>
      </c>
      <c r="C58" s="3126"/>
      <c r="D58" s="184" t="e">
        <f ca="1">IF(H58="转让取得",C81,C97)</f>
        <v>#DIV/0!</v>
      </c>
      <c r="E58" s="11" t="s">
        <v>2225</v>
      </c>
      <c r="F58" s="23" t="s">
        <v>34</v>
      </c>
      <c r="G58" s="2487"/>
      <c r="H58" s="2490" t="s">
        <v>2231</v>
      </c>
      <c r="I58" s="2491"/>
      <c r="J58" s="3160"/>
      <c r="K58" s="3160"/>
      <c r="L58" s="2492" t="s">
        <v>2232</v>
      </c>
      <c r="M58" s="1759"/>
      <c r="N58" s="2494" t="str">
        <f ca="1">NUMBERSTRING(INT(N57*10000),2)&amp;"元整"</f>
        <v>零元整</v>
      </c>
      <c r="O58" s="2495"/>
    </row>
    <row r="59" spans="1:35" ht="24.75" thickBot="1">
      <c r="A59" s="3163" t="s">
        <v>2233</v>
      </c>
      <c r="B59" s="3164"/>
      <c r="C59" s="3164"/>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1">
        <f>J57+1</f>
        <v>5</v>
      </c>
      <c r="K59" s="3160" t="s">
        <v>2235</v>
      </c>
      <c r="L59" s="2959" t="s">
        <v>2229</v>
      </c>
      <c r="M59" s="1760"/>
      <c r="N59" s="1761">
        <f ca="1">M49-N57</f>
        <v>23</v>
      </c>
      <c r="O59" s="2497"/>
    </row>
    <row r="60" spans="1:35" ht="12" customHeight="1">
      <c r="A60" s="2498"/>
      <c r="B60" s="2420"/>
      <c r="C60" s="2420"/>
      <c r="D60" s="2420"/>
      <c r="E60" s="2167"/>
      <c r="F60" s="2491"/>
      <c r="G60" s="2491"/>
      <c r="H60" s="2499"/>
      <c r="I60" s="137"/>
      <c r="J60" s="3162"/>
      <c r="K60" s="3160"/>
      <c r="L60" s="2492" t="s">
        <v>2232</v>
      </c>
      <c r="M60" s="1759"/>
      <c r="N60" s="2494" t="str">
        <f ca="1">NUMBERSTRING(INT(N59*10000),2)&amp;"元整"</f>
        <v>贰拾叁万元整</v>
      </c>
      <c r="O60" s="2495"/>
    </row>
    <row r="61" spans="1:35" ht="13.5" thickBot="1">
      <c r="A61" s="3107" t="s">
        <v>2236</v>
      </c>
      <c r="B61" s="3107"/>
      <c r="C61" s="3107"/>
      <c r="D61" s="3107"/>
      <c r="E61" s="3107"/>
      <c r="F61" s="2491"/>
      <c r="G61" s="2491"/>
      <c r="H61" s="2499"/>
      <c r="I61" s="137"/>
      <c r="J61" s="2959">
        <f>J59+1</f>
        <v>6</v>
      </c>
      <c r="K61" s="3160" t="s">
        <v>2237</v>
      </c>
      <c r="L61" s="3160"/>
      <c r="M61" s="1762"/>
      <c r="N61" s="1763">
        <f ca="1">ROUND(N59*10000/'数据-汇总表'!E3,0)</f>
        <v>850</v>
      </c>
      <c r="O61" s="2500"/>
    </row>
    <row r="62" spans="1:35" ht="12.75">
      <c r="A62" s="3123" t="s">
        <v>2238</v>
      </c>
      <c r="B62" s="3124"/>
      <c r="C62" s="2954"/>
      <c r="D62" s="2954" t="s">
        <v>2239</v>
      </c>
      <c r="E62" s="191" t="s">
        <v>2240</v>
      </c>
      <c r="F62" s="2491"/>
      <c r="G62" s="2491"/>
      <c r="H62" s="2499"/>
      <c r="I62" s="137"/>
    </row>
    <row r="63" spans="1:35" ht="12.75">
      <c r="A63" s="202" t="s">
        <v>775</v>
      </c>
      <c r="B63" s="192" t="s">
        <v>2241</v>
      </c>
      <c r="C63" s="193">
        <f ca="1">ROUND((C64+C65)/(1+'数据-取费表'!C42),0)</f>
        <v>22</v>
      </c>
      <c r="D63" s="194"/>
      <c r="E63" s="195"/>
      <c r="F63" s="2491"/>
      <c r="G63" s="2491"/>
      <c r="H63" s="2499"/>
      <c r="I63" s="137"/>
      <c r="J63" s="3185" t="s">
        <v>2242</v>
      </c>
      <c r="K63" s="2963" t="s">
        <v>2243</v>
      </c>
      <c r="L63" s="1750">
        <f ca="1">IF(M49&gt;10000,M49*0.5%,IF(AND(M49&gt;1000,M49&lt;=10000),M49*1%,IF(AND(M49&gt;100,M49&lt;=1000),M49*3%,IF(AND(M49&gt;10,M49&lt;=100),M49*5%,M49*8%))))</f>
        <v>1.1500000000000001</v>
      </c>
      <c r="M63" s="23">
        <f ca="1">ROUND(L63,1)</f>
        <v>1.2</v>
      </c>
      <c r="Z63" s="2425"/>
      <c r="AI63" s="2426"/>
    </row>
    <row r="64" spans="1:35" ht="14.25" customHeight="1">
      <c r="A64" s="196" t="s">
        <v>770</v>
      </c>
      <c r="B64" s="197" t="s">
        <v>2244</v>
      </c>
      <c r="C64" s="198">
        <f ca="1">D45</f>
        <v>23</v>
      </c>
      <c r="D64" s="199" t="s">
        <v>32</v>
      </c>
      <c r="E64" s="200"/>
      <c r="F64" s="2491"/>
      <c r="G64" s="2491"/>
      <c r="H64" s="2499"/>
      <c r="I64" s="137"/>
      <c r="J64" s="3185"/>
      <c r="K64" s="2963" t="s">
        <v>2245</v>
      </c>
      <c r="L64" s="1750">
        <f ca="1">IF(M49&gt;2000,M49*0.5%,IF(AND(M49&gt;1000,M49&lt;=2000),M49*0.6%,IF(AND(M49&gt;500,M49&lt;=1000),M49*0.7%,IF(AND(M49&gt;200,M49&lt;=500),M49*0.8%,IF(AND(M49&gt;100,M49&lt;=200),M49*0.9%,IF(AND(M49&gt;50,M49&lt;=100),M49*1%,IF(AND(M49&gt;20,M49&lt;=50),M49*1.5%,IF(AND(M49&gt;10,M49&lt;=20),M49*2%,IF(AND(M49&gt;1,M49&lt;=10),M49*2.5%)))))))))</f>
        <v>0.34499999999999997</v>
      </c>
      <c r="M64" s="23">
        <f t="shared" ref="M64:M65" ca="1" si="1">ROUND(L64,1)</f>
        <v>0.3</v>
      </c>
      <c r="N64" s="137" t="s">
        <v>2246</v>
      </c>
      <c r="Z64" s="2425"/>
      <c r="AI64" s="2426"/>
    </row>
    <row r="65" spans="1:35" ht="14.25" customHeight="1">
      <c r="A65" s="196" t="s">
        <v>771</v>
      </c>
      <c r="B65" s="197" t="s">
        <v>2247</v>
      </c>
      <c r="C65" s="201"/>
      <c r="D65" s="199"/>
      <c r="E65" s="200"/>
      <c r="F65" s="2491"/>
      <c r="G65" s="2491"/>
      <c r="H65" s="2499"/>
      <c r="I65" s="137"/>
      <c r="J65" s="3185"/>
      <c r="K65" s="2963" t="s">
        <v>2248</v>
      </c>
      <c r="L65" s="1750">
        <f ca="1">IF(M49&gt;1000,M49*0.1%,IF(AND(M49&gt;500,M49&lt;=1000),M49*0.5%,IF(AND(M49&gt;50,M49&lt;=500),M49*1%,IF(AND(M49&gt;1,M49&lt;=50),M49*1.5%))))</f>
        <v>0.34499999999999997</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85"/>
      <c r="K66" s="2963" t="s">
        <v>2250</v>
      </c>
      <c r="L66" s="1750">
        <f ca="1">M49*0.5%</f>
        <v>0.115</v>
      </c>
      <c r="M66" s="23">
        <f ca="1">IF(L66&gt;0.5,0.5,ROUND(L66,0))</f>
        <v>0</v>
      </c>
      <c r="N66" s="137" t="s">
        <v>2251</v>
      </c>
      <c r="Z66" s="2425"/>
      <c r="AI66" s="2426"/>
    </row>
    <row r="67" spans="1:35" ht="14.25" customHeight="1">
      <c r="A67" s="202" t="s">
        <v>773</v>
      </c>
      <c r="B67" s="203" t="s">
        <v>2252</v>
      </c>
      <c r="C67" s="206">
        <f ca="1">C63-C66</f>
        <v>22</v>
      </c>
      <c r="D67" s="199" t="s">
        <v>32</v>
      </c>
      <c r="E67" s="200"/>
      <c r="F67" s="2491"/>
      <c r="G67" s="2491"/>
      <c r="H67" s="2499"/>
      <c r="I67" s="137"/>
      <c r="J67" s="3185"/>
      <c r="K67" s="2963" t="s">
        <v>2253</v>
      </c>
      <c r="L67" s="1750">
        <f ca="1">IF(M49&gt;=10000,(8.25+(M49-10000)*0.01%),IF(AND(M49&gt;=8000,M49&lt;10000),(7.85+(M49-8000)*0.02%),IF(AND(M49&gt;=5000,M49&lt;8000),(6.65+(M49-5000)*0.04%),IF(AND(M49&gt;=2000,M49&lt;5000),(4.25+(PM49-2000)*0.08%),IF(AND(M49&gt;=1000,M49&lt;2000),(2.75+(M49-1000)*0.15%),IF(AND(M49&gt;=100,M49&lt;1000),(0.5+(M49-100)*0.25%),IF(AND(M49&gt;0,M49&lt;100),M49*0.5%)))))))</f>
        <v>0.115</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85"/>
      <c r="K68" s="2963" t="s">
        <v>2255</v>
      </c>
      <c r="L68" s="1750">
        <f ca="1">IF(M49&gt;10000,M49*0.5%,IF(AND(M49&gt;5000,M49&lt;=10000),M49*1%,IF(AND(M49&gt;1000,M49&lt;=5000),M49*2%,IF(AND(M49&gt;200,M49&lt;=1000),M49*3%,M49*5%))))</f>
        <v>1.1500000000000001</v>
      </c>
      <c r="M68" s="23">
        <f ca="1">ROUND(L68,1)</f>
        <v>1.2</v>
      </c>
      <c r="Z68" s="2425"/>
      <c r="AI68" s="2426"/>
    </row>
    <row r="69" spans="1:35" s="2448" customFormat="1" ht="16.5" customHeight="1">
      <c r="A69" s="2502"/>
      <c r="B69" s="2503"/>
      <c r="C69" s="2504"/>
      <c r="D69" s="2505"/>
      <c r="E69" s="2506"/>
      <c r="F69" s="2167"/>
      <c r="G69" s="2167"/>
      <c r="H69" s="2166"/>
      <c r="I69" s="2420"/>
      <c r="J69" s="3185"/>
      <c r="K69" s="2963" t="s">
        <v>2256</v>
      </c>
      <c r="L69" s="2507"/>
      <c r="M69" s="23">
        <f ca="1">ROUND(SUM(M63:M68),0)</f>
        <v>3</v>
      </c>
      <c r="N69" s="1751">
        <f ca="1">M69/M49</f>
        <v>0.13043478260869565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4" t="s">
        <v>2257</v>
      </c>
      <c r="B70" s="3145"/>
      <c r="C70" s="3145"/>
      <c r="D70" s="3145"/>
      <c r="E70" s="3145"/>
      <c r="F70" s="3145"/>
      <c r="G70" s="3145"/>
      <c r="H70" s="314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3" t="s">
        <v>2238</v>
      </c>
      <c r="B71" s="3124"/>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22</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18" t="s">
        <v>2266</v>
      </c>
      <c r="F76" s="3095"/>
      <c r="G76" s="3095"/>
      <c r="H76" s="314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04" t="s">
        <v>2271</v>
      </c>
      <c r="F78" s="3105"/>
      <c r="G78" s="3105"/>
      <c r="H78" s="311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22</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4" t="s">
        <v>2275</v>
      </c>
      <c r="B83" s="3145"/>
      <c r="C83" s="3145"/>
      <c r="D83" s="3145"/>
      <c r="E83" s="3145"/>
      <c r="F83" s="3145"/>
      <c r="G83" s="3145"/>
      <c r="H83" s="314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3" t="s">
        <v>2238</v>
      </c>
      <c r="B84" s="3124"/>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22</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4" t="s">
        <v>2284</v>
      </c>
      <c r="F91" s="3105"/>
      <c r="G91" s="3105"/>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4" t="s">
        <v>2288</v>
      </c>
      <c r="F92" s="3105"/>
      <c r="G92" s="3105"/>
      <c r="H92" s="311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04" t="s">
        <v>2271</v>
      </c>
      <c r="F93" s="3105"/>
      <c r="G93" s="3105"/>
      <c r="H93" s="311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5" t="s">
        <v>2292</v>
      </c>
      <c r="F94" s="3116"/>
      <c r="G94" s="3116"/>
      <c r="H94" s="311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22</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89" t="s">
        <v>2294</v>
      </c>
      <c r="B100" s="3090"/>
      <c r="C100" s="3090"/>
      <c r="D100" s="3106"/>
      <c r="E100" s="3090" t="s">
        <v>2295</v>
      </c>
      <c r="F100" s="3090"/>
      <c r="G100" s="3090"/>
      <c r="H100" s="3106"/>
      <c r="I100" s="137"/>
    </row>
    <row r="101" spans="1:35" ht="18.75" customHeight="1">
      <c r="A101" s="3168" t="s">
        <v>2296</v>
      </c>
      <c r="B101" s="3169"/>
      <c r="C101" s="735" t="str">
        <f>C4</f>
        <v>比较法-车位</v>
      </c>
      <c r="D101" s="736" t="str">
        <f>D4</f>
        <v>收益法 (元)-车位</v>
      </c>
      <c r="E101" s="3182" t="s">
        <v>2297</v>
      </c>
      <c r="F101" s="3136"/>
      <c r="G101" s="2522" t="s">
        <v>2298</v>
      </c>
      <c r="H101" s="1047">
        <f ca="1">H118</f>
        <v>23</v>
      </c>
      <c r="I101" s="137"/>
    </row>
    <row r="102" spans="1:35" ht="18.75" customHeight="1">
      <c r="A102" s="3138" t="s">
        <v>2299</v>
      </c>
      <c r="B102" s="2522" t="s">
        <v>2298</v>
      </c>
      <c r="C102" s="735">
        <f ca="1">C19</f>
        <v>34</v>
      </c>
      <c r="D102" s="736">
        <f ca="1">D19</f>
        <v>15</v>
      </c>
      <c r="E102" s="3182"/>
      <c r="F102" s="3136"/>
      <c r="G102" s="2522" t="s">
        <v>2300</v>
      </c>
      <c r="H102" s="370">
        <f ca="1">I118</f>
        <v>3692</v>
      </c>
      <c r="I102" s="137"/>
    </row>
    <row r="103" spans="1:35" ht="42.75" customHeight="1">
      <c r="A103" s="3138"/>
      <c r="B103" s="2522" t="s">
        <v>2300</v>
      </c>
      <c r="C103" s="737">
        <f ca="1">C20</f>
        <v>5457</v>
      </c>
      <c r="D103" s="738">
        <f ca="1">D20</f>
        <v>2387</v>
      </c>
      <c r="E103" s="3177" t="s">
        <v>2301</v>
      </c>
      <c r="F103" s="3178"/>
      <c r="G103" s="2523" t="s">
        <v>2302</v>
      </c>
      <c r="H103" s="1047">
        <f>IF(D36="正常操作",H104+H105+H106,H105+H106)</f>
        <v>0</v>
      </c>
      <c r="I103" s="137"/>
    </row>
    <row r="104" spans="1:35" ht="18.75" customHeight="1">
      <c r="A104" s="3138" t="s">
        <v>2303</v>
      </c>
      <c r="B104" s="2524" t="s">
        <v>2298</v>
      </c>
      <c r="C104" s="739">
        <f ca="1">H118</f>
        <v>23</v>
      </c>
      <c r="D104" s="740"/>
      <c r="E104" s="2268" t="s">
        <v>2304</v>
      </c>
      <c r="F104" s="2259"/>
      <c r="G104" s="2523" t="s">
        <v>2302</v>
      </c>
      <c r="H104" s="1048">
        <f>IF(D36="同一抵押权人同一抵押物续贷",C36&amp;"（未扣减，详见特别提示）",C36)</f>
        <v>0</v>
      </c>
      <c r="I104" s="137"/>
    </row>
    <row r="105" spans="1:35" ht="18.75" customHeight="1" thickBot="1">
      <c r="A105" s="3139"/>
      <c r="B105" s="2525" t="s">
        <v>2300</v>
      </c>
      <c r="C105" s="741">
        <f ca="1">I118</f>
        <v>3692</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5" t="str">
        <f>IF(项目基本情况!E8="已注销","——","3.房地产抵押价值")</f>
        <v>3.房地产抵押价值</v>
      </c>
      <c r="F107" s="3136"/>
      <c r="G107" s="2522" t="s">
        <v>2298</v>
      </c>
      <c r="H107" s="1047">
        <f ca="1">IF(E107="——","——",H101-H103)</f>
        <v>23</v>
      </c>
      <c r="I107" s="137"/>
    </row>
    <row r="108" spans="1:35" ht="18.75" customHeight="1">
      <c r="A108" s="137"/>
      <c r="B108" s="137"/>
      <c r="C108" s="137"/>
      <c r="D108" s="137"/>
      <c r="E108" s="3135"/>
      <c r="F108" s="3136"/>
      <c r="G108" s="2522" t="s">
        <v>2300</v>
      </c>
      <c r="H108" s="370">
        <f ca="1">ROUND(H107*10000/'数据-汇总表'!E3,0)</f>
        <v>850</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36"/>
      <c r="G109" s="2522" t="s">
        <v>2298</v>
      </c>
      <c r="H109" s="347" t="str">
        <f>IF(E109="——","——",H101-H105-H106)</f>
        <v>——</v>
      </c>
      <c r="I109" s="137"/>
    </row>
    <row r="110" spans="1:35" ht="18.75" customHeight="1">
      <c r="A110" s="137"/>
      <c r="B110" s="137"/>
      <c r="C110" s="137"/>
      <c r="D110" s="137"/>
      <c r="E110" s="3135"/>
      <c r="F110" s="3136"/>
      <c r="G110" s="2522" t="s">
        <v>2300</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22" t="s">
        <v>2298</v>
      </c>
      <c r="H111" s="1047" t="str">
        <f>IF(E111="——","——",N59)</f>
        <v>——</v>
      </c>
      <c r="I111" s="137"/>
    </row>
    <row r="112" spans="1:35" ht="18.75" customHeight="1" thickBot="1">
      <c r="A112" s="137"/>
      <c r="B112" s="137"/>
      <c r="C112" s="137"/>
      <c r="D112" s="137"/>
      <c r="E112" s="3172"/>
      <c r="F112" s="3173"/>
      <c r="G112" s="2527" t="s">
        <v>2300</v>
      </c>
      <c r="H112" s="789" t="str">
        <f>IF(E111="——","——",N61)</f>
        <v>——</v>
      </c>
      <c r="I112" s="137"/>
    </row>
    <row r="113" spans="1:11" ht="18.75" customHeight="1">
      <c r="A113" s="137"/>
      <c r="B113" s="137"/>
      <c r="C113" s="137"/>
      <c r="D113" s="137"/>
      <c r="E113" s="3140" t="s">
        <v>2306</v>
      </c>
      <c r="F113" s="3140"/>
      <c r="G113" s="3140"/>
      <c r="H113" s="3140"/>
      <c r="I113" s="137"/>
    </row>
    <row r="114" spans="1:11" ht="3.75" customHeight="1">
      <c r="A114" s="2420"/>
      <c r="B114" s="2420"/>
      <c r="C114" s="2420"/>
      <c r="D114" s="2420"/>
      <c r="E114" s="2498"/>
      <c r="F114" s="2498"/>
      <c r="G114" s="2498"/>
      <c r="H114" s="2498"/>
      <c r="I114" s="2420"/>
    </row>
    <row r="115" spans="1:11" ht="18.75" customHeight="1">
      <c r="A115" s="3153" t="s">
        <v>2308</v>
      </c>
      <c r="B115" s="3154"/>
      <c r="C115" s="3154"/>
      <c r="D115" s="3154"/>
      <c r="E115" s="3154"/>
      <c r="F115" s="3154"/>
      <c r="G115" s="3154"/>
      <c r="H115" s="3154"/>
      <c r="I115" s="3155"/>
    </row>
    <row r="116" spans="1:11" ht="27" customHeight="1">
      <c r="A116" s="3046" t="s">
        <v>2309</v>
      </c>
      <c r="B116" s="3141" t="s">
        <v>2310</v>
      </c>
      <c r="C116" s="3141" t="s">
        <v>2311</v>
      </c>
      <c r="D116" s="3157" t="s">
        <v>2312</v>
      </c>
      <c r="E116" s="3158"/>
      <c r="F116" s="3149" t="s">
        <v>2313</v>
      </c>
      <c r="G116" s="3149"/>
      <c r="H116" s="3046" t="s">
        <v>2314</v>
      </c>
      <c r="I116" s="3046"/>
    </row>
    <row r="117" spans="1:11" ht="18.75" customHeight="1">
      <c r="A117" s="3046"/>
      <c r="B117" s="3142"/>
      <c r="C117" s="3142"/>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23</v>
      </c>
      <c r="I118" s="2946">
        <f ca="1">ROUND(IF(D32="楼面单价",C32,H118*10000/B118),0)</f>
        <v>3692</v>
      </c>
    </row>
    <row r="119" spans="1:11" ht="18.75" customHeight="1">
      <c r="A119" s="3046" t="s">
        <v>2318</v>
      </c>
      <c r="B119" s="3046"/>
      <c r="C119" s="3046"/>
      <c r="D119" s="3146" t="e">
        <f ca="1">NUMBERSTRING(INT(D118*10000),2)&amp;"元整"</f>
        <v>#REF!</v>
      </c>
      <c r="E119" s="3148"/>
      <c r="F119" s="3146" t="e">
        <f ca="1">NUMBERSTRING(INT(F118*10000),2)&amp;"元整"</f>
        <v>#REF!</v>
      </c>
      <c r="G119" s="3148"/>
      <c r="H119" s="3146" t="str">
        <f ca="1">NUMBERSTRING(INT(H118*10000),2)&amp;"元整"</f>
        <v>贰拾叁万元整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25" t="str">
        <f>IF(D120=0,"故，本次评估不存在"&amp;A120,"故，本次评估"&amp;A120&amp;"为人民币"&amp;D120&amp;"万元整。")</f>
        <v>故，本次评估不存在估价师知悉的法定优先受偿款</v>
      </c>
    </row>
    <row r="121" spans="1:11" ht="18.75" customHeight="1">
      <c r="A121" s="3150" t="s">
        <v>2318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23</v>
      </c>
      <c r="E122" s="3175"/>
      <c r="F122" s="3175"/>
      <c r="G122" s="3175"/>
      <c r="H122" s="3175"/>
      <c r="I122" s="3176"/>
    </row>
    <row r="123" spans="1:11" ht="18.75" customHeight="1">
      <c r="A123" s="3046" t="s">
        <v>2318</v>
      </c>
      <c r="B123" s="3046"/>
      <c r="C123" s="3046"/>
      <c r="D123" s="3146" t="str">
        <f ca="1">NUMBERSTRING(INT(D122*10000),2)&amp;"元整"</f>
        <v>贰拾叁万元整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2318</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2318</v>
      </c>
      <c r="B127" s="3046"/>
      <c r="C127" s="3046"/>
      <c r="D127" s="3146" t="e">
        <f>NUMBERSTRING(INT(D126*10000),2)&amp;"元整"</f>
        <v>#VALUE!</v>
      </c>
      <c r="E127" s="3147"/>
      <c r="F127" s="3147"/>
      <c r="G127" s="3147"/>
      <c r="H127" s="3147"/>
      <c r="I127" s="3148"/>
    </row>
    <row r="128" spans="1:11" ht="21.75" customHeight="1">
      <c r="A128" s="3156" t="s">
        <v>2319</v>
      </c>
      <c r="B128" s="3156"/>
      <c r="C128" s="3156"/>
      <c r="D128" s="3156"/>
      <c r="E128" s="3156"/>
      <c r="F128" s="3156"/>
      <c r="G128" s="3156"/>
      <c r="H128" s="3156"/>
      <c r="I128" s="3156"/>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3" zoomScaleNormal="93" workbookViewId="0">
      <selection activeCell="J3" sqref="J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34</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5457</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09" t="s">
        <v>2647</v>
      </c>
      <c r="D4" s="3210"/>
      <c r="E4" s="3256" t="s">
        <v>2648</v>
      </c>
      <c r="F4" s="3257"/>
      <c r="G4" s="3258" t="s">
        <v>2649</v>
      </c>
      <c r="H4" s="3259"/>
      <c r="I4" s="3258" t="s">
        <v>2650</v>
      </c>
      <c r="J4" s="3259"/>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40" t="s">
        <v>2649</v>
      </c>
      <c r="AC4" s="3255" t="s">
        <v>2650</v>
      </c>
    </row>
    <row r="5" spans="1:29" ht="15">
      <c r="A5" s="403"/>
      <c r="B5" s="404"/>
      <c r="C5" s="3235" t="s">
        <v>2543</v>
      </c>
      <c r="D5" s="3236"/>
      <c r="E5" s="3229" t="s">
        <v>3119</v>
      </c>
      <c r="F5" s="3230"/>
      <c r="G5" s="3266" t="s">
        <v>3119</v>
      </c>
      <c r="H5" s="3236"/>
      <c r="I5" s="3266" t="s">
        <v>3119</v>
      </c>
      <c r="J5" s="3236"/>
      <c r="K5" s="609"/>
      <c r="L5" s="1132"/>
      <c r="M5" s="1133"/>
      <c r="N5" s="1133"/>
      <c r="O5" s="1133"/>
      <c r="P5" s="3262"/>
      <c r="Q5" s="3216"/>
      <c r="R5" s="3221"/>
      <c r="S5" s="3222"/>
      <c r="T5" s="3221"/>
      <c r="U5" s="3222"/>
      <c r="V5" s="3226"/>
      <c r="W5" s="3226"/>
      <c r="X5" s="1814"/>
      <c r="Y5" s="3221"/>
      <c r="Z5" s="3222"/>
      <c r="AA5" s="3240"/>
      <c r="AB5" s="3240"/>
      <c r="AC5" s="3240"/>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1814"/>
      <c r="Y6" s="3223"/>
      <c r="Z6" s="3224"/>
      <c r="AA6" s="3241"/>
      <c r="AB6" s="3241"/>
      <c r="AC6" s="3241"/>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3" t="s">
        <v>2550</v>
      </c>
      <c r="Q7" s="3234"/>
      <c r="R7" s="769" t="s">
        <v>17</v>
      </c>
      <c r="S7" s="770">
        <f t="shared" ref="S7:S14" si="0">F7</f>
        <v>100</v>
      </c>
      <c r="T7" s="769" t="s">
        <v>17</v>
      </c>
      <c r="U7" s="770">
        <f t="shared" ref="U7:U14" si="1">H7</f>
        <v>100</v>
      </c>
      <c r="V7" s="769" t="s">
        <v>17</v>
      </c>
      <c r="W7" s="770">
        <f t="shared" ref="W7:W14" si="2">J7</f>
        <v>100</v>
      </c>
      <c r="X7" s="771"/>
      <c r="Y7" s="3233" t="s">
        <v>2550</v>
      </c>
      <c r="Z7" s="3232"/>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3" t="s">
        <v>2553</v>
      </c>
      <c r="Q8" s="3232"/>
      <c r="R8" s="769" t="s">
        <v>17</v>
      </c>
      <c r="S8" s="770">
        <f t="shared" si="0"/>
        <v>100</v>
      </c>
      <c r="T8" s="769" t="s">
        <v>17</v>
      </c>
      <c r="U8" s="770">
        <f t="shared" si="1"/>
        <v>100</v>
      </c>
      <c r="V8" s="769" t="s">
        <v>17</v>
      </c>
      <c r="W8" s="770">
        <f t="shared" si="2"/>
        <v>100</v>
      </c>
      <c r="X8" s="771"/>
      <c r="Y8" s="3233" t="s">
        <v>2553</v>
      </c>
      <c r="Z8" s="3232"/>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2" t="s">
        <v>2556</v>
      </c>
      <c r="Q9" s="1796" t="str">
        <f t="shared" ref="Q9:Q14" si="6">B9</f>
        <v>用途</v>
      </c>
      <c r="R9" s="769" t="s">
        <v>17</v>
      </c>
      <c r="S9" s="770">
        <f t="shared" si="0"/>
        <v>100</v>
      </c>
      <c r="T9" s="769" t="s">
        <v>17</v>
      </c>
      <c r="U9" s="770">
        <f t="shared" si="1"/>
        <v>100</v>
      </c>
      <c r="V9" s="769" t="s">
        <v>17</v>
      </c>
      <c r="W9" s="770">
        <f t="shared" si="2"/>
        <v>100</v>
      </c>
      <c r="X9" s="771"/>
      <c r="Y9" s="3046"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102</v>
      </c>
      <c r="G10" s="422" t="s">
        <v>3128</v>
      </c>
      <c r="H10" s="135">
        <f>SUMIF(55:55,G10,56:56)-SUMIF(55:55,C10,56:56)+100</f>
        <v>102</v>
      </c>
      <c r="I10" s="422" t="s">
        <v>3128</v>
      </c>
      <c r="J10" s="135">
        <f>SUMIF(55:55,I10,56:56)-SUMIF(55:55,C10,56:56)+100</f>
        <v>102</v>
      </c>
      <c r="K10" s="611">
        <v>2</v>
      </c>
      <c r="L10" s="1137"/>
      <c r="M10" s="1138"/>
      <c r="N10" s="1138"/>
      <c r="O10" s="1138"/>
      <c r="P10" s="3192"/>
      <c r="Q10" s="1796" t="str">
        <f t="shared" si="6"/>
        <v>土地使用年限（年）</v>
      </c>
      <c r="R10" s="769" t="s">
        <v>17</v>
      </c>
      <c r="S10" s="770">
        <f t="shared" si="0"/>
        <v>102</v>
      </c>
      <c r="T10" s="769" t="s">
        <v>17</v>
      </c>
      <c r="U10" s="770">
        <f t="shared" si="1"/>
        <v>102</v>
      </c>
      <c r="V10" s="769" t="s">
        <v>17</v>
      </c>
      <c r="W10" s="770">
        <f t="shared" si="2"/>
        <v>102</v>
      </c>
      <c r="X10" s="771"/>
      <c r="Y10" s="3046"/>
      <c r="Z10" s="54" t="str">
        <f t="shared" si="7"/>
        <v>土地使用年限（年）</v>
      </c>
      <c r="AA10" s="772">
        <f t="shared" si="3"/>
        <v>0.98039215686274506</v>
      </c>
      <c r="AB10" s="772">
        <f t="shared" si="4"/>
        <v>0.98039215686274506</v>
      </c>
      <c r="AC10" s="772">
        <f t="shared" si="5"/>
        <v>0.98039215686274506</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2"/>
      <c r="Q11" s="1796">
        <f t="shared" si="6"/>
        <v>111</v>
      </c>
      <c r="R11" s="769" t="s">
        <v>17</v>
      </c>
      <c r="S11" s="770">
        <f t="shared" si="0"/>
        <v>100</v>
      </c>
      <c r="T11" s="769" t="s">
        <v>17</v>
      </c>
      <c r="U11" s="770">
        <f t="shared" si="1"/>
        <v>100</v>
      </c>
      <c r="V11" s="769" t="s">
        <v>17</v>
      </c>
      <c r="W11" s="770">
        <f t="shared" si="2"/>
        <v>100</v>
      </c>
      <c r="X11" s="771"/>
      <c r="Y11" s="3046"/>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2"/>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2"/>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199" t="s">
        <v>2561</v>
      </c>
      <c r="Q14" s="1811" t="str">
        <f t="shared" si="6"/>
        <v>交通便捷度</v>
      </c>
      <c r="R14" s="773" t="s">
        <v>17</v>
      </c>
      <c r="S14" s="774">
        <f t="shared" si="0"/>
        <v>100</v>
      </c>
      <c r="T14" s="773" t="s">
        <v>17</v>
      </c>
      <c r="U14" s="774">
        <f t="shared" si="1"/>
        <v>100</v>
      </c>
      <c r="V14" s="773" t="s">
        <v>17</v>
      </c>
      <c r="W14" s="774">
        <f t="shared" si="2"/>
        <v>100</v>
      </c>
      <c r="X14" s="1814"/>
      <c r="Y14" s="3199"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00"/>
      <c r="Q15" s="1811"/>
      <c r="R15" s="773"/>
      <c r="S15" s="774"/>
      <c r="T15" s="773"/>
      <c r="U15" s="774"/>
      <c r="V15" s="773"/>
      <c r="W15" s="774"/>
      <c r="X15" s="1814"/>
      <c r="Y15" s="3200"/>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0"/>
      <c r="Q16" s="1811" t="str">
        <f>B16</f>
        <v>公共配套设施</v>
      </c>
      <c r="R16" s="773" t="s">
        <v>17</v>
      </c>
      <c r="S16" s="774">
        <f>F16</f>
        <v>100</v>
      </c>
      <c r="T16" s="773" t="s">
        <v>17</v>
      </c>
      <c r="U16" s="774">
        <f>H16</f>
        <v>100</v>
      </c>
      <c r="V16" s="773" t="s">
        <v>17</v>
      </c>
      <c r="W16" s="774">
        <f>J16</f>
        <v>100</v>
      </c>
      <c r="X16" s="1814"/>
      <c r="Y16" s="3200"/>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0"/>
      <c r="Q17" s="1811"/>
      <c r="R17" s="773"/>
      <c r="S17" s="774"/>
      <c r="T17" s="773"/>
      <c r="U17" s="774"/>
      <c r="V17" s="773"/>
      <c r="W17" s="774"/>
      <c r="X17" s="1814"/>
      <c r="Y17" s="3200"/>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0"/>
      <c r="Q18" s="1811" t="str">
        <f>B18</f>
        <v>基础设施水平</v>
      </c>
      <c r="R18" s="773" t="s">
        <v>17</v>
      </c>
      <c r="S18" s="774">
        <f>F18</f>
        <v>100</v>
      </c>
      <c r="T18" s="773" t="s">
        <v>17</v>
      </c>
      <c r="U18" s="774">
        <f>H18</f>
        <v>100</v>
      </c>
      <c r="V18" s="773" t="s">
        <v>17</v>
      </c>
      <c r="W18" s="774">
        <f>J18</f>
        <v>100</v>
      </c>
      <c r="X18" s="1814"/>
      <c r="Y18" s="3200"/>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0"/>
      <c r="Q19" s="1811"/>
      <c r="R19" s="773"/>
      <c r="S19" s="774"/>
      <c r="T19" s="773"/>
      <c r="U19" s="774"/>
      <c r="V19" s="773"/>
      <c r="W19" s="774"/>
      <c r="X19" s="1814"/>
      <c r="Y19" s="3200"/>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103</v>
      </c>
      <c r="G20" s="458"/>
      <c r="H20" s="449">
        <f>SUMIF(69:69,G21,70:70)-SUMIF(69:69,C21,70:70)+100</f>
        <v>103</v>
      </c>
      <c r="I20" s="451"/>
      <c r="J20" s="449">
        <f>SUMIF(69:69,I21,70:70)-SUMIF(69:69,C21,70:70)+100</f>
        <v>103</v>
      </c>
      <c r="K20" s="613">
        <v>3</v>
      </c>
      <c r="L20" s="1142"/>
      <c r="M20" s="1133"/>
      <c r="N20" s="1133"/>
      <c r="O20" s="1133"/>
      <c r="P20" s="3200"/>
      <c r="Q20" s="1811" t="str">
        <f>B20</f>
        <v>自然及人文环境</v>
      </c>
      <c r="R20" s="773" t="s">
        <v>17</v>
      </c>
      <c r="S20" s="774">
        <f>F20</f>
        <v>103</v>
      </c>
      <c r="T20" s="773" t="s">
        <v>17</v>
      </c>
      <c r="U20" s="774">
        <f>H20</f>
        <v>103</v>
      </c>
      <c r="V20" s="773" t="s">
        <v>17</v>
      </c>
      <c r="W20" s="774">
        <f>J20</f>
        <v>103</v>
      </c>
      <c r="X20" s="1814"/>
      <c r="Y20" s="3200"/>
      <c r="Z20" s="1815" t="str">
        <f>Q20</f>
        <v>自然及人文环境</v>
      </c>
      <c r="AA20" s="1812">
        <f t="shared" si="3"/>
        <v>0.970873786407767</v>
      </c>
      <c r="AB20" s="1812">
        <f t="shared" si="4"/>
        <v>0.970873786407767</v>
      </c>
      <c r="AC20" s="1812">
        <f t="shared" si="5"/>
        <v>0.970873786407767</v>
      </c>
    </row>
    <row r="21" spans="1:29" ht="15">
      <c r="A21" s="403"/>
      <c r="B21" s="631"/>
      <c r="C21" s="446" t="s">
        <v>3092</v>
      </c>
      <c r="D21" s="447"/>
      <c r="E21" s="446" t="s">
        <v>3090</v>
      </c>
      <c r="F21" s="448"/>
      <c r="G21" s="446" t="s">
        <v>3090</v>
      </c>
      <c r="H21" s="447"/>
      <c r="I21" s="446" t="s">
        <v>3090</v>
      </c>
      <c r="J21" s="447"/>
      <c r="K21" s="614"/>
      <c r="L21" s="1142"/>
      <c r="M21" s="1133"/>
      <c r="N21" s="1133"/>
      <c r="O21" s="1133"/>
      <c r="P21" s="3200"/>
      <c r="Q21" s="1811"/>
      <c r="R21" s="773"/>
      <c r="S21" s="774"/>
      <c r="T21" s="773"/>
      <c r="U21" s="774"/>
      <c r="V21" s="773"/>
      <c r="W21" s="774"/>
      <c r="X21" s="1814"/>
      <c r="Y21" s="3200"/>
      <c r="Z21" s="1815"/>
      <c r="AA21" s="1812">
        <v>1</v>
      </c>
      <c r="AB21" s="1812">
        <v>1</v>
      </c>
      <c r="AC21" s="1812">
        <v>1</v>
      </c>
    </row>
    <row r="22" spans="1:29" ht="15.75" thickBot="1">
      <c r="A22" s="403"/>
      <c r="B22" s="630" t="s">
        <v>2712</v>
      </c>
      <c r="C22" s="615" t="s">
        <v>3115</v>
      </c>
      <c r="D22" s="449">
        <v>100</v>
      </c>
      <c r="E22" s="615" t="s">
        <v>3117</v>
      </c>
      <c r="F22" s="460">
        <f>SUMIF(71:71,E22,72:72)-SUMIF(71:71,C22,72:72)+100</f>
        <v>95</v>
      </c>
      <c r="G22" s="615" t="s">
        <v>3117</v>
      </c>
      <c r="H22" s="434">
        <f>SUMIF(71:71,G22,72:72)-SUMIF(71:71,C22,72:72)+100</f>
        <v>95</v>
      </c>
      <c r="I22" s="615" t="s">
        <v>3117</v>
      </c>
      <c r="J22" s="434">
        <f>SUMIF(71:71,I22,72:72)-SUMIF(71:71,C22,72:72)+100</f>
        <v>95</v>
      </c>
      <c r="K22" s="2997">
        <v>5</v>
      </c>
      <c r="L22" s="1142"/>
      <c r="M22" s="1133"/>
      <c r="N22" s="1133"/>
      <c r="O22" s="1133"/>
      <c r="P22" s="3200"/>
      <c r="Q22" s="1811" t="str">
        <f>B22</f>
        <v>楼层</v>
      </c>
      <c r="R22" s="773" t="s">
        <v>17</v>
      </c>
      <c r="S22" s="774">
        <f>F22</f>
        <v>95</v>
      </c>
      <c r="T22" s="773" t="s">
        <v>17</v>
      </c>
      <c r="U22" s="774">
        <f>H22</f>
        <v>95</v>
      </c>
      <c r="V22" s="773" t="s">
        <v>17</v>
      </c>
      <c r="W22" s="774">
        <f>J22</f>
        <v>95</v>
      </c>
      <c r="X22" s="1814"/>
      <c r="Y22" s="3200"/>
      <c r="Z22" s="1815" t="str">
        <f>Q22</f>
        <v>楼层</v>
      </c>
      <c r="AA22" s="1812">
        <f t="shared" si="3"/>
        <v>1.0526315789473684</v>
      </c>
      <c r="AB22" s="1812">
        <f t="shared" si="4"/>
        <v>1.0526315789473684</v>
      </c>
      <c r="AC22" s="1812">
        <f t="shared" si="5"/>
        <v>1.0526315789473684</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0"/>
      <c r="Q23" s="1811">
        <f>B23</f>
        <v>111</v>
      </c>
      <c r="R23" s="773" t="s">
        <v>17</v>
      </c>
      <c r="S23" s="774">
        <f>F23</f>
        <v>100</v>
      </c>
      <c r="T23" s="773" t="s">
        <v>17</v>
      </c>
      <c r="U23" s="774">
        <f>H23</f>
        <v>100</v>
      </c>
      <c r="V23" s="773" t="s">
        <v>17</v>
      </c>
      <c r="W23" s="774">
        <f>J23</f>
        <v>100</v>
      </c>
      <c r="X23" s="1814"/>
      <c r="Y23" s="3200"/>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0"/>
      <c r="Q24" s="1811">
        <f t="shared" ref="Q24:Q36" si="11">B24</f>
        <v>111</v>
      </c>
      <c r="R24" s="773" t="s">
        <v>17</v>
      </c>
      <c r="S24" s="774">
        <f>F24</f>
        <v>100</v>
      </c>
      <c r="T24" s="773" t="s">
        <v>17</v>
      </c>
      <c r="U24" s="774">
        <f>H24</f>
        <v>100</v>
      </c>
      <c r="V24" s="773" t="s">
        <v>17</v>
      </c>
      <c r="W24" s="774">
        <f>J24</f>
        <v>100</v>
      </c>
      <c r="X24" s="1814"/>
      <c r="Y24" s="3200"/>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0"/>
      <c r="Q25" s="1796">
        <f t="shared" si="11"/>
        <v>111</v>
      </c>
      <c r="R25" s="769" t="s">
        <v>17</v>
      </c>
      <c r="S25" s="770">
        <f>F25</f>
        <v>100</v>
      </c>
      <c r="T25" s="769" t="s">
        <v>17</v>
      </c>
      <c r="U25" s="770">
        <f>H25</f>
        <v>100</v>
      </c>
      <c r="V25" s="769" t="s">
        <v>17</v>
      </c>
      <c r="W25" s="770">
        <f>J25</f>
        <v>100</v>
      </c>
      <c r="X25" s="771"/>
      <c r="Y25" s="3200"/>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4"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04"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4"/>
      <c r="Q28" s="1811" t="str">
        <f t="shared" si="11"/>
        <v>公共部分装修</v>
      </c>
      <c r="R28" s="773" t="s">
        <v>17</v>
      </c>
      <c r="S28" s="774">
        <f t="shared" si="12"/>
        <v>100</v>
      </c>
      <c r="T28" s="773" t="s">
        <v>17</v>
      </c>
      <c r="U28" s="774">
        <f t="shared" si="13"/>
        <v>100</v>
      </c>
      <c r="V28" s="773" t="s">
        <v>17</v>
      </c>
      <c r="W28" s="774">
        <f t="shared" si="14"/>
        <v>100</v>
      </c>
      <c r="X28" s="1814"/>
      <c r="Y28" s="3204"/>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4"/>
      <c r="Q29" s="1811" t="str">
        <f t="shared" si="11"/>
        <v>成新率</v>
      </c>
      <c r="R29" s="773" t="s">
        <v>17</v>
      </c>
      <c r="S29" s="774">
        <f t="shared" si="12"/>
        <v>100</v>
      </c>
      <c r="T29" s="773" t="s">
        <v>17</v>
      </c>
      <c r="U29" s="774">
        <f t="shared" si="13"/>
        <v>100</v>
      </c>
      <c r="V29" s="773" t="s">
        <v>17</v>
      </c>
      <c r="W29" s="774">
        <f t="shared" si="14"/>
        <v>100</v>
      </c>
      <c r="X29" s="1814"/>
      <c r="Y29" s="3204"/>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4"/>
      <c r="Q30" s="1811" t="str">
        <f t="shared" si="11"/>
        <v>物业等级</v>
      </c>
      <c r="R30" s="773" t="s">
        <v>17</v>
      </c>
      <c r="S30" s="774">
        <f t="shared" si="12"/>
        <v>100</v>
      </c>
      <c r="T30" s="773" t="s">
        <v>17</v>
      </c>
      <c r="U30" s="774">
        <f t="shared" si="13"/>
        <v>100</v>
      </c>
      <c r="V30" s="773" t="s">
        <v>17</v>
      </c>
      <c r="W30" s="774">
        <f t="shared" si="14"/>
        <v>100</v>
      </c>
      <c r="X30" s="1814"/>
      <c r="Y30" s="3204"/>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98</v>
      </c>
      <c r="G31" s="468" t="s">
        <v>3109</v>
      </c>
      <c r="H31" s="434">
        <f>LOOKUP(G31,91:91,92:92)-LOOKUP(C31,91:91,92:92)+100</f>
        <v>98</v>
      </c>
      <c r="I31" s="468" t="s">
        <v>3109</v>
      </c>
      <c r="J31" s="434">
        <f>LOOKUP(I31,91:91,92:92)-LOOKUP(C31,91:91,92:92)+100</f>
        <v>98</v>
      </c>
      <c r="K31" s="611">
        <v>2</v>
      </c>
      <c r="L31" s="1134"/>
      <c r="M31" s="1135"/>
      <c r="N31" s="1135"/>
      <c r="O31" s="1135"/>
      <c r="P31" s="3204"/>
      <c r="Q31" s="1796" t="str">
        <f t="shared" si="11"/>
        <v>停车位面积</v>
      </c>
      <c r="R31" s="769" t="s">
        <v>17</v>
      </c>
      <c r="S31" s="770">
        <f t="shared" si="12"/>
        <v>98</v>
      </c>
      <c r="T31" s="769" t="s">
        <v>17</v>
      </c>
      <c r="U31" s="770">
        <f t="shared" si="13"/>
        <v>98</v>
      </c>
      <c r="V31" s="769" t="s">
        <v>17</v>
      </c>
      <c r="W31" s="770">
        <f t="shared" si="14"/>
        <v>98</v>
      </c>
      <c r="X31" s="771"/>
      <c r="Y31" s="3204"/>
      <c r="Z31" s="54" t="str">
        <f t="shared" si="15"/>
        <v>停车位面积</v>
      </c>
      <c r="AA31" s="772">
        <f t="shared" si="3"/>
        <v>1.0204081632653061</v>
      </c>
      <c r="AB31" s="772">
        <f t="shared" si="4"/>
        <v>1.0204081632653061</v>
      </c>
      <c r="AC31" s="772">
        <f t="shared" si="5"/>
        <v>1.0204081632653061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4" t="s">
        <v>2566</v>
      </c>
      <c r="Q32" s="1811" t="str">
        <f t="shared" si="11"/>
        <v>车位类型</v>
      </c>
      <c r="R32" s="773" t="s">
        <v>17</v>
      </c>
      <c r="S32" s="774">
        <f t="shared" si="12"/>
        <v>100</v>
      </c>
      <c r="T32" s="773" t="s">
        <v>17</v>
      </c>
      <c r="U32" s="774">
        <f t="shared" si="13"/>
        <v>100</v>
      </c>
      <c r="V32" s="773" t="s">
        <v>17</v>
      </c>
      <c r="W32" s="774">
        <f t="shared" si="14"/>
        <v>100</v>
      </c>
      <c r="X32" s="1814"/>
      <c r="Y32" s="3204"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4"/>
      <c r="Q33" s="1811" t="str">
        <f t="shared" si="11"/>
        <v>是否直接入户</v>
      </c>
      <c r="R33" s="773" t="s">
        <v>17</v>
      </c>
      <c r="S33" s="774">
        <f t="shared" si="12"/>
        <v>100</v>
      </c>
      <c r="T33" s="773" t="s">
        <v>17</v>
      </c>
      <c r="U33" s="774">
        <f t="shared" si="13"/>
        <v>100</v>
      </c>
      <c r="V33" s="773" t="s">
        <v>17</v>
      </c>
      <c r="W33" s="774">
        <f t="shared" si="14"/>
        <v>100</v>
      </c>
      <c r="X33" s="1814"/>
      <c r="Y33" s="3204"/>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4"/>
      <c r="Q34" s="1811">
        <f t="shared" si="11"/>
        <v>111</v>
      </c>
      <c r="R34" s="773" t="s">
        <v>17</v>
      </c>
      <c r="S34" s="774">
        <f t="shared" si="12"/>
        <v>100</v>
      </c>
      <c r="T34" s="773" t="s">
        <v>17</v>
      </c>
      <c r="U34" s="774">
        <f t="shared" si="13"/>
        <v>100</v>
      </c>
      <c r="V34" s="773" t="s">
        <v>17</v>
      </c>
      <c r="W34" s="774">
        <f t="shared" si="14"/>
        <v>100</v>
      </c>
      <c r="X34" s="1814"/>
      <c r="Y34" s="3204"/>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4"/>
      <c r="Q36" s="1811">
        <f t="shared" si="11"/>
        <v>111</v>
      </c>
      <c r="R36" s="773" t="s">
        <v>17</v>
      </c>
      <c r="S36" s="774">
        <f t="shared" si="12"/>
        <v>100</v>
      </c>
      <c r="T36" s="773" t="s">
        <v>17</v>
      </c>
      <c r="U36" s="774">
        <f t="shared" si="13"/>
        <v>100</v>
      </c>
      <c r="V36" s="773" t="s">
        <v>17</v>
      </c>
      <c r="W36" s="774">
        <f t="shared" si="14"/>
        <v>100</v>
      </c>
      <c r="X36" s="1814"/>
      <c r="Y36" s="3204"/>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192" t="str">
        <f>A37</f>
        <v>成交单价</v>
      </c>
      <c r="Q37" s="3192"/>
      <c r="R37" s="3193">
        <f>E37</f>
        <v>350000</v>
      </c>
      <c r="S37" s="3193"/>
      <c r="T37" s="3193">
        <f>G37</f>
        <v>350000</v>
      </c>
      <c r="U37" s="3193"/>
      <c r="V37" s="3193">
        <f>I37</f>
        <v>350000</v>
      </c>
      <c r="W37" s="3193"/>
      <c r="X37" s="758"/>
      <c r="Y37" s="780"/>
      <c r="Z37" s="758"/>
      <c r="AA37" s="758"/>
      <c r="AB37" s="758"/>
      <c r="AC37" s="758"/>
    </row>
    <row r="38" spans="1:29" ht="15.75" thickBot="1">
      <c r="A38" s="485" t="s">
        <v>2723</v>
      </c>
      <c r="B38" s="486" t="str">
        <f>B37</f>
        <v>元/车位</v>
      </c>
      <c r="C38" s="1414">
        <f>R39</f>
        <v>340794</v>
      </c>
      <c r="D38" s="1415"/>
      <c r="E38" s="1416">
        <f>R38</f>
        <v>340794</v>
      </c>
      <c r="F38" s="1416"/>
      <c r="G38" s="1414">
        <f>T38</f>
        <v>340794</v>
      </c>
      <c r="H38" s="1415"/>
      <c r="I38" s="1416">
        <f>V38</f>
        <v>340794</v>
      </c>
      <c r="J38" s="1415"/>
      <c r="K38" s="619"/>
      <c r="L38" s="1145"/>
      <c r="M38" s="1146"/>
      <c r="N38" s="1146"/>
      <c r="O38" s="1146"/>
      <c r="P38" s="3192" t="str">
        <f>A38</f>
        <v>比较价值（元/平方米）</v>
      </c>
      <c r="Q38" s="3192"/>
      <c r="R38" s="3193">
        <f>IF(F1="售价",ROUND(PRODUCT(R37,AA7:AA36),0),ROUND(PRODUCT(R37,AA7:AA36),1))</f>
        <v>340794</v>
      </c>
      <c r="S38" s="3193"/>
      <c r="T38" s="3193">
        <f>IF(F1="售价",ROUND(PRODUCT(T37,AB7:AB36),0),ROUND(PRODUCT(T37,AB7:AB36),1))</f>
        <v>340794</v>
      </c>
      <c r="U38" s="3193"/>
      <c r="V38" s="3193">
        <f>IF(F1="售价",ROUND(PRODUCT(V37,AC7:AC36),0),ROUND(PRODUCT(V37,AC7:AC36),1))</f>
        <v>340794</v>
      </c>
      <c r="W38" s="3193"/>
      <c r="X38" s="758"/>
      <c r="Y38" s="758"/>
      <c r="Z38" s="758"/>
      <c r="AA38" s="758"/>
      <c r="AB38" s="758"/>
      <c r="AC38" s="758"/>
    </row>
    <row r="39" spans="1:29" ht="15.75" thickBot="1">
      <c r="A39" s="491" t="s">
        <v>2724</v>
      </c>
      <c r="B39" s="492"/>
      <c r="C39" s="1418">
        <f>R39</f>
        <v>340794</v>
      </c>
      <c r="D39" s="1418"/>
      <c r="E39" s="1418"/>
      <c r="F39" s="1418"/>
      <c r="G39" s="1418"/>
      <c r="H39" s="1418"/>
      <c r="I39" s="1418"/>
      <c r="J39" s="1418"/>
      <c r="K39" s="620"/>
      <c r="L39" s="1145"/>
      <c r="M39" s="1146"/>
      <c r="N39" s="1146"/>
      <c r="O39" s="1146"/>
      <c r="P39" s="3251" t="str">
        <f>A39</f>
        <v>估价对象XX用房的比较价值（楼面单价，元/平方米）</v>
      </c>
      <c r="Q39" s="3252"/>
      <c r="R39" s="3253">
        <f>IF(F1="售价",ROUND(AVERAGE(R38:V38),0),ROUND(AVERAGE(R38:V38),1))</f>
        <v>340794</v>
      </c>
      <c r="S39" s="3253"/>
      <c r="T39" s="3253"/>
      <c r="U39" s="3253"/>
      <c r="V39" s="3253"/>
      <c r="W39" s="325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2.7013386385910554E-2</v>
      </c>
      <c r="F42" s="499" t="str">
        <f>IF(OR(E42&gt;=0.3,E42&lt;=-0.3),"超过30%","")</f>
        <v/>
      </c>
      <c r="G42" s="498">
        <f>IF(G37&lt;G38,G38/G37-1,G37/G38-1)</f>
        <v>2.7013386385910554E-2</v>
      </c>
      <c r="H42" s="499" t="str">
        <f>IF(OR(G42&gt;=0.3,G42&lt;=-0.3),"超过30%","")</f>
        <v/>
      </c>
      <c r="I42" s="498">
        <f>IF(I37&lt;I38,I38/I37-1,I37/I38-1)</f>
        <v>2.7013386385910554E-2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2" t="s">
        <v>1401</v>
      </c>
      <c r="C6" s="1297">
        <f ca="1">ROUND(F6*F8*F7*(1-F9)/10000,0)</f>
        <v>1</v>
      </c>
      <c r="D6" s="163" t="s">
        <v>3034</v>
      </c>
      <c r="E6" s="346" t="s">
        <v>1403</v>
      </c>
      <c r="F6" s="347">
        <f ca="1">INDIRECT("'数据-取费表'!u"&amp;$G$1)</f>
        <v>1111.0999999999999</v>
      </c>
      <c r="G6" s="1852"/>
      <c r="H6" s="1292" t="s">
        <v>1035</v>
      </c>
      <c r="I6" s="3242" t="s">
        <v>1401</v>
      </c>
      <c r="J6" s="345">
        <f ca="1">ROUND(M6*M8*M7*(1-M9)/10000,0)</f>
        <v>0</v>
      </c>
      <c r="K6" s="163" t="s">
        <v>3033</v>
      </c>
      <c r="L6" s="346" t="s">
        <v>1403</v>
      </c>
      <c r="M6" s="347">
        <f ca="1">INDIRECT("'数据-取费表'!z"&amp;$G$1)</f>
        <v>0</v>
      </c>
    </row>
    <row r="7" spans="1:37" ht="18" customHeight="1">
      <c r="A7" s="1296"/>
      <c r="B7" s="3243"/>
      <c r="C7" s="1298"/>
      <c r="D7" s="351"/>
      <c r="E7" s="2965" t="s">
        <v>1404</v>
      </c>
      <c r="F7" s="347">
        <f ca="1">IF(INDIRECT("'数据-取费表'!ah"&amp;$G$1)="",INDIRECT("'数据-取费表'!k"&amp;$G$1),INDIRECT("'数据-取费表'!ah"&amp;$G$1))</f>
        <v>1</v>
      </c>
      <c r="G7" s="1852"/>
      <c r="H7" s="348"/>
      <c r="I7" s="3243"/>
      <c r="J7" s="350"/>
      <c r="K7" s="351"/>
      <c r="L7" s="346" t="s">
        <v>1404</v>
      </c>
      <c r="M7" s="347">
        <f ca="1">F7</f>
        <v>1</v>
      </c>
    </row>
    <row r="8" spans="1:37" ht="18" customHeight="1">
      <c r="A8" s="348"/>
      <c r="B8" s="3243"/>
      <c r="C8" s="350"/>
      <c r="D8" s="351"/>
      <c r="E8" s="346" t="s">
        <v>1405</v>
      </c>
      <c r="F8" s="347">
        <f ca="1">INDIRECT("'数据-取费表'!ai"&amp;$G$1)</f>
        <v>12</v>
      </c>
      <c r="G8" s="1852"/>
      <c r="H8" s="348"/>
      <c r="I8" s="3243"/>
      <c r="J8" s="350"/>
      <c r="K8" s="351"/>
      <c r="L8" s="346" t="s">
        <v>1405</v>
      </c>
      <c r="M8" s="347">
        <f ca="1">INDIRECT("'数据-取费表'!ai"&amp;$G$1)</f>
        <v>12</v>
      </c>
    </row>
    <row r="9" spans="1:37" ht="18" customHeight="1">
      <c r="A9" s="348"/>
      <c r="B9" s="3244"/>
      <c r="C9" s="350"/>
      <c r="D9" s="351"/>
      <c r="E9" s="346" t="s">
        <v>1406</v>
      </c>
      <c r="F9" s="356">
        <f ca="1">INDIRECT("'数据-取费表'!w"&amp;$G$1)</f>
        <v>0.05</v>
      </c>
      <c r="G9" s="1852"/>
      <c r="H9" s="348"/>
      <c r="I9" s="3244"/>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21</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1.4999999999999999E-2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0.02</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单利计息。建造成本、管理费用、销售费用产生的利息。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1450</v>
      </c>
      <c r="F23" s="370">
        <f>'数据-取费表'!B20</f>
        <v>1</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4.0000000000000002E-4</v>
      </c>
      <c r="D24" s="374" t="str">
        <f>IF(F23&lt;=1,"销售费用×利率×(建设周期÷2)","销售费用×((1+利率)^(建设周期÷2)-1)")</f>
        <v>销售费用×利率×(建设周期÷2)</v>
      </c>
      <c r="E24" s="346" t="s">
        <v>1456</v>
      </c>
      <c r="F24" s="376">
        <f ca="1">'数据-取费表'!B40</f>
        <v>4.3499999999999997E-2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0.05</v>
      </c>
    </row>
    <row r="27" spans="1:37" ht="18" customHeight="1">
      <c r="A27" s="1203" t="s">
        <v>1036</v>
      </c>
      <c r="B27" s="346" t="s">
        <v>1469</v>
      </c>
      <c r="C27" s="23">
        <f ca="1">ROUND(F21*F26,4)</f>
        <v>5.9999999999999995E-4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0.05</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3.5000000000000003E-2</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-28</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21</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-20</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5" t="s">
        <v>1546</v>
      </c>
      <c r="L53" s="3246"/>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16</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1.8</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1.76</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-20</v>
      </c>
      <c r="R67" s="1887" t="s">
        <v>1580</v>
      </c>
    </row>
    <row r="68" spans="1:18" s="1843" customFormat="1" ht="16.5" thickBot="1">
      <c r="A68" s="1168" t="s">
        <v>1032</v>
      </c>
      <c r="B68" s="1169" t="s">
        <v>1483</v>
      </c>
      <c r="C68" s="345">
        <f ca="1">ROUND(C67*(1-((1+F70)/(1+F68))^F69)/(F68-F70),0)</f>
        <v>-28</v>
      </c>
      <c r="D68" s="1186" t="s">
        <v>1467</v>
      </c>
      <c r="E68" s="1171" t="s">
        <v>1468</v>
      </c>
      <c r="F68" s="356">
        <f ca="1">F40</f>
        <v>0.05</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16</v>
      </c>
      <c r="R70" s="1887" t="s">
        <v>1527</v>
      </c>
    </row>
    <row r="71" spans="1:18" s="1843" customFormat="1" ht="13.5" thickBot="1">
      <c r="A71" s="1192" t="s">
        <v>1033</v>
      </c>
      <c r="B71" s="1193" t="s">
        <v>1485</v>
      </c>
      <c r="C71" s="381">
        <f ca="1">ROUND(C68*10000/F71,0)</f>
        <v>-4494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4" zoomScaleNormal="10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15</v>
      </c>
      <c r="C2" s="1846" t="s">
        <v>1589</v>
      </c>
      <c r="D2" s="1939">
        <f ca="1">C40+J29+L46</f>
        <v>148687</v>
      </c>
      <c r="E2" s="1847" t="s">
        <v>1590</v>
      </c>
      <c r="F2" s="1848"/>
      <c r="G2" s="1849"/>
      <c r="H2" s="1841"/>
      <c r="I2" s="1841"/>
      <c r="J2" s="1841"/>
      <c r="K2" s="1842"/>
      <c r="L2" s="1841"/>
      <c r="M2" s="1841"/>
    </row>
    <row r="3" spans="1:37" ht="18" customHeight="1" thickBot="1">
      <c r="A3" s="1850" t="s">
        <v>1591</v>
      </c>
      <c r="B3" s="1851">
        <f ca="1">IF(ISERROR(D2/F43),0,ROUND(D2/F43,0))</f>
        <v>2387</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12667</v>
      </c>
      <c r="D5" s="1823" t="s">
        <v>1599</v>
      </c>
      <c r="E5" s="1294"/>
      <c r="F5" s="1295"/>
      <c r="G5" s="1852"/>
      <c r="H5" s="343">
        <v>1</v>
      </c>
      <c r="I5" s="344" t="s">
        <v>1598</v>
      </c>
      <c r="J5" s="1293">
        <f ca="1">J6+J10+J12</f>
        <v>0</v>
      </c>
      <c r="K5" s="1823" t="s">
        <v>1599</v>
      </c>
      <c r="L5" s="1294"/>
      <c r="M5" s="1295"/>
    </row>
    <row r="6" spans="1:37" ht="18" customHeight="1">
      <c r="A6" s="1292" t="s">
        <v>1035</v>
      </c>
      <c r="B6" s="3242" t="s">
        <v>1401</v>
      </c>
      <c r="C6" s="1297">
        <f ca="1">ROUND(F6*F8*F7*(1-F9),0)</f>
        <v>12667</v>
      </c>
      <c r="D6" s="163" t="s">
        <v>3031</v>
      </c>
      <c r="E6" s="346" t="s">
        <v>1403</v>
      </c>
      <c r="F6" s="2999">
        <f ca="1">INDIRECT("'数据-取费表'!u"&amp;$G$1)</f>
        <v>1111.0999999999999</v>
      </c>
      <c r="G6" s="1852"/>
      <c r="H6" s="1292" t="s">
        <v>1035</v>
      </c>
      <c r="I6" s="3242" t="s">
        <v>1401</v>
      </c>
      <c r="J6" s="345">
        <f ca="1">ROUND(M6*M8*M7*(1-M9),0)</f>
        <v>0</v>
      </c>
      <c r="K6" s="1835" t="s">
        <v>3032</v>
      </c>
      <c r="L6" s="346" t="s">
        <v>1403</v>
      </c>
      <c r="M6" s="347">
        <f ca="1">INDIRECT("'数据-取费表'!z"&amp;$G$1)</f>
        <v>0</v>
      </c>
    </row>
    <row r="7" spans="1:37" ht="18" customHeight="1">
      <c r="A7" s="1296"/>
      <c r="B7" s="3243"/>
      <c r="C7" s="1298"/>
      <c r="D7" s="351"/>
      <c r="E7" s="1299" t="s">
        <v>1404</v>
      </c>
      <c r="F7" s="347">
        <f ca="1">IF(INDIRECT("'数据-取费表'!ah"&amp;$G$1)="",INDIRECT("'数据-取费表'!k"&amp;$G$1),INDIRECT("'数据-取费表'!ah"&amp;$G$1))</f>
        <v>1</v>
      </c>
      <c r="G7" s="1852"/>
      <c r="H7" s="348"/>
      <c r="I7" s="3243"/>
      <c r="J7" s="350"/>
      <c r="K7" s="351"/>
      <c r="L7" s="346" t="s">
        <v>1404</v>
      </c>
      <c r="M7" s="347">
        <f ca="1">F7</f>
        <v>1</v>
      </c>
    </row>
    <row r="8" spans="1:37" ht="18" customHeight="1">
      <c r="A8" s="348"/>
      <c r="B8" s="3243"/>
      <c r="C8" s="350"/>
      <c r="D8" s="351"/>
      <c r="E8" s="346" t="s">
        <v>1405</v>
      </c>
      <c r="F8" s="347">
        <f ca="1">INDIRECT("'数据-取费表'!ai"&amp;$G$1)</f>
        <v>12</v>
      </c>
      <c r="G8" s="1852"/>
      <c r="H8" s="348"/>
      <c r="I8" s="3243"/>
      <c r="J8" s="350"/>
      <c r="K8" s="351"/>
      <c r="L8" s="346" t="s">
        <v>1405</v>
      </c>
      <c r="M8" s="347">
        <f ca="1">INDIRECT("'数据-取费表'!ai"&amp;$G$1)</f>
        <v>12</v>
      </c>
    </row>
    <row r="9" spans="1:37" ht="18" customHeight="1">
      <c r="A9" s="348"/>
      <c r="B9" s="3244"/>
      <c r="C9" s="350"/>
      <c r="D9" s="351"/>
      <c r="E9" s="346" t="s">
        <v>1406</v>
      </c>
      <c r="F9" s="356">
        <f ca="1">INDIRECT("'数据-取费表'!w"&amp;$G$1)</f>
        <v>0.05</v>
      </c>
      <c r="G9" s="1852"/>
      <c r="H9" s="348"/>
      <c r="I9" s="3244"/>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158355</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155750</v>
      </c>
      <c r="D14" s="1801" t="s">
        <v>1416</v>
      </c>
      <c r="E14" s="1795"/>
      <c r="F14" s="363"/>
      <c r="G14" s="1852"/>
      <c r="H14" s="1203" t="s">
        <v>1035</v>
      </c>
      <c r="I14" s="346" t="s">
        <v>1417</v>
      </c>
      <c r="J14" s="23">
        <f ca="1">C29</f>
        <v>205656</v>
      </c>
      <c r="K14" s="14"/>
      <c r="L14" s="981"/>
      <c r="M14" s="982"/>
    </row>
    <row r="15" spans="1:37" s="1859" customFormat="1" ht="18" customHeight="1" thickBot="1">
      <c r="A15" s="1203" t="s">
        <v>1036</v>
      </c>
      <c r="B15" s="346" t="s">
        <v>1418</v>
      </c>
      <c r="C15" s="23">
        <f ca="1">ROUND(C14*F15,0)</f>
        <v>7788</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4813</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1728</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2336</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178334</v>
      </c>
      <c r="D19" s="139" t="s">
        <v>1434</v>
      </c>
      <c r="E19" s="1819"/>
      <c r="F19" s="25"/>
      <c r="G19" s="1852"/>
      <c r="H19" s="1203" t="s">
        <v>1036</v>
      </c>
      <c r="I19" s="346" t="s">
        <v>1435</v>
      </c>
      <c r="J19" s="23">
        <f ca="1">IF(K19="按租金收入计税",ROUND(J5*M19,0),ROUND(C29*M19*0.7,0))</f>
        <v>1728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2675</v>
      </c>
      <c r="D20" s="368" t="s">
        <v>1438</v>
      </c>
      <c r="E20" s="346" t="s">
        <v>1420</v>
      </c>
      <c r="F20" s="366">
        <f>'数据-取费表'!B37</f>
        <v>1.4999999999999999E-2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0.02</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单利计息。建造成本、管理费用、销售费用产生的利息。</v>
      </c>
      <c r="E22" s="1819"/>
      <c r="F22" s="25"/>
      <c r="G22" s="1852"/>
      <c r="H22" s="1203" t="s">
        <v>1039</v>
      </c>
      <c r="I22" s="346" t="s">
        <v>1447</v>
      </c>
      <c r="J22" s="23">
        <f ca="1">ROUND(J14*M22,0)</f>
        <v>3085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3937</v>
      </c>
      <c r="D23" s="374" t="str">
        <f>IF(F23&lt;=1,"(建造成本+管理费用)×利率×(建设周期÷2)","(建造成本+管理费用)×((1+利率)^(建设周期÷2)-1)")</f>
        <v>(建造成本+管理费用)×利率×(建设周期÷2)</v>
      </c>
      <c r="E23" s="346" t="s">
        <v>1450</v>
      </c>
      <c r="F23" s="370">
        <f>'数据-取费表'!B20</f>
        <v>1</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4.0000000000000002E-4</v>
      </c>
      <c r="D24" s="374" t="str">
        <f>IF(F23&lt;=1,"销售费用×利率×(建设周期÷2)","销售费用×((1+利率)^(建设周期÷2)-1)")</f>
        <v>销售费用×利率×(建设周期÷2)</v>
      </c>
      <c r="E24" s="346" t="s">
        <v>1456</v>
      </c>
      <c r="F24" s="376">
        <f ca="1">'数据-取费表'!B40</f>
        <v>4.3499999999999997E-2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-4813</v>
      </c>
      <c r="K25" s="1346" t="s">
        <v>1462</v>
      </c>
      <c r="L25" s="1347"/>
      <c r="M25" s="1348"/>
    </row>
    <row r="26" spans="1:37" ht="18" customHeight="1">
      <c r="A26" s="1203" t="s">
        <v>1034</v>
      </c>
      <c r="B26" s="346" t="s">
        <v>1463</v>
      </c>
      <c r="C26" s="23">
        <f ca="1">ROUND((C19+C20)*F26,0)</f>
        <v>5430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0.05</v>
      </c>
    </row>
    <row r="27" spans="1:37" ht="18" customHeight="1">
      <c r="A27" s="1203" t="s">
        <v>1036</v>
      </c>
      <c r="B27" s="346" t="s">
        <v>1469</v>
      </c>
      <c r="C27" s="23">
        <f ca="1">ROUND(F21*F26,4)</f>
        <v>5.9999999999999995E-4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205656</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5811</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2361</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676</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1520</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339">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3085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238</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126.7</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6856</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139375</v>
      </c>
      <c r="D40" s="369" t="s">
        <v>1467</v>
      </c>
      <c r="E40" s="346" t="s">
        <v>1468</v>
      </c>
      <c r="F40" s="356">
        <f ca="1">INDIRECT("'数据-取费表'!I"&amp;$G$1)</f>
        <v>0.05</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3.5000000000000003E-2</v>
      </c>
      <c r="G42" s="1852"/>
      <c r="H42" s="731"/>
      <c r="I42" s="1861"/>
      <c r="J42" s="1862"/>
      <c r="K42" s="750"/>
      <c r="L42" s="731"/>
      <c r="M42" s="731"/>
    </row>
    <row r="43" spans="1:18" ht="18" customHeight="1" thickBot="1">
      <c r="A43" s="379" t="s">
        <v>1033</v>
      </c>
      <c r="B43" s="380" t="s">
        <v>1485</v>
      </c>
      <c r="C43" s="381">
        <f ca="1">ROUND(C40/F43,0)</f>
        <v>2237</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-558109</v>
      </c>
      <c r="D45" s="1941" t="s">
        <v>1602</v>
      </c>
      <c r="E45" s="1867"/>
      <c r="F45" s="1867"/>
      <c r="O45" s="1870" t="s">
        <v>1517</v>
      </c>
      <c r="P45" s="1840"/>
      <c r="Q45" s="1840"/>
      <c r="R45" s="1840"/>
    </row>
    <row r="46" spans="1:18" s="1843" customFormat="1" ht="13.5" thickBot="1">
      <c r="A46" s="1871" t="s">
        <v>1518</v>
      </c>
      <c r="C46" s="1872">
        <f ca="1">ROUND(C45/10000,0)</f>
        <v>-56</v>
      </c>
      <c r="D46" s="1873" t="str">
        <f>C2</f>
        <v>万元</v>
      </c>
      <c r="I46" s="1874" t="s">
        <v>1519</v>
      </c>
      <c r="J46" s="1875"/>
      <c r="K46" s="1876"/>
      <c r="L46" s="1877">
        <f ca="1">IF(M47="住宅",0,IF(L48&gt;J51,L60,J60))</f>
        <v>9312</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139375</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9312</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205656</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-98526</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5" t="s">
        <v>1546</v>
      </c>
      <c r="L53" s="3246"/>
      <c r="O53" s="1885" t="s">
        <v>1046</v>
      </c>
      <c r="P53" s="1886" t="s">
        <v>1547</v>
      </c>
      <c r="Q53" s="1887">
        <f ca="1">Q47+Q48</f>
        <v>148687</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158355</v>
      </c>
      <c r="D56" s="1915"/>
      <c r="E56" s="1916"/>
      <c r="F56" s="1908"/>
      <c r="I56" s="1917" t="s">
        <v>1552</v>
      </c>
      <c r="J56" s="1918" t="s">
        <v>3067</v>
      </c>
      <c r="K56" s="1888" t="s">
        <v>1553</v>
      </c>
      <c r="L56" s="1891" t="str">
        <f ca="1">IF(L48&lt;J51,"——",L48-J51)</f>
        <v>——</v>
      </c>
      <c r="O56" s="1885" t="s">
        <v>1040</v>
      </c>
      <c r="P56" s="1886" t="s">
        <v>1526</v>
      </c>
      <c r="Q56" s="1887">
        <f ca="1">C40+J29</f>
        <v>139375</v>
      </c>
      <c r="R56" s="1887" t="s">
        <v>1527</v>
      </c>
    </row>
    <row r="57" spans="1:18" s="1843" customFormat="1" ht="24.75" thickBot="1">
      <c r="A57" s="1919"/>
      <c r="B57" s="1171" t="s">
        <v>1476</v>
      </c>
      <c r="C57" s="281">
        <f ca="1">C29</f>
        <v>205656</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20598</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17275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82262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9312</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17275</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139375</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3085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238</v>
      </c>
      <c r="D65" s="1185" t="s">
        <v>1452</v>
      </c>
      <c r="E65" s="1171" t="s">
        <v>1453</v>
      </c>
      <c r="F65" s="375">
        <f t="shared" ca="1" si="0"/>
        <v>1.5E-3</v>
      </c>
      <c r="I65" s="1930" t="s">
        <v>1577</v>
      </c>
      <c r="J65" s="1931">
        <v>40</v>
      </c>
      <c r="K65" s="1931">
        <v>30</v>
      </c>
      <c r="L65" s="1931">
        <v>50</v>
      </c>
      <c r="M65" s="1933">
        <v>0.02</v>
      </c>
      <c r="O65" s="1885" t="s">
        <v>1040</v>
      </c>
      <c r="P65" s="1886" t="s">
        <v>1578</v>
      </c>
      <c r="Q65" s="1887">
        <f ca="1">C40+J29</f>
        <v>139375</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-20598</v>
      </c>
      <c r="D67" s="1184" t="s">
        <v>1462</v>
      </c>
      <c r="E67" s="1189"/>
      <c r="F67" s="1190"/>
      <c r="O67" s="1895" t="s">
        <v>1042</v>
      </c>
      <c r="P67" s="1886" t="s">
        <v>1560</v>
      </c>
      <c r="Q67" s="1934">
        <f ca="1">L51</f>
        <v>-98526</v>
      </c>
      <c r="R67" s="1887" t="s">
        <v>1580</v>
      </c>
    </row>
    <row r="68" spans="1:18" s="1843" customFormat="1" ht="16.5" thickBot="1">
      <c r="A68" s="1168" t="s">
        <v>1032</v>
      </c>
      <c r="B68" s="1169" t="s">
        <v>1483</v>
      </c>
      <c r="C68" s="345">
        <f ca="1">ROUND(C67*(1-((1+F70)/(1+F68))^F69)/(F68-F70),0)</f>
        <v>-418734</v>
      </c>
      <c r="D68" s="1186" t="s">
        <v>1467</v>
      </c>
      <c r="E68" s="1171" t="s">
        <v>1468</v>
      </c>
      <c r="F68" s="356">
        <f ca="1">F40</f>
        <v>0.05</v>
      </c>
      <c r="O68" s="1895" t="s">
        <v>1043</v>
      </c>
      <c r="P68" s="1935" t="s">
        <v>1581</v>
      </c>
      <c r="Q68" s="1887">
        <f ca="1">ROUND(Q69-Q70*Q71,0)</f>
        <v>-6604</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6856</v>
      </c>
      <c r="R69" s="1887" t="s">
        <v>1527</v>
      </c>
    </row>
    <row r="70" spans="1:18" s="1843" customFormat="1" ht="13.5" thickBot="1">
      <c r="A70" s="1175"/>
      <c r="B70" s="1176"/>
      <c r="C70" s="354"/>
      <c r="D70" s="1187"/>
      <c r="E70" s="1171" t="s">
        <v>1475</v>
      </c>
      <c r="F70" s="1276">
        <f ca="1">F42</f>
        <v>3.5000000000000003E-2</v>
      </c>
      <c r="O70" s="1895" t="s">
        <v>1049</v>
      </c>
      <c r="P70" s="1935" t="s">
        <v>1583</v>
      </c>
      <c r="Q70" s="1887">
        <f ca="1">C13</f>
        <v>158355</v>
      </c>
      <c r="R70" s="1887" t="s">
        <v>1527</v>
      </c>
    </row>
    <row r="71" spans="1:18" s="1843" customFormat="1" ht="13.5" thickBot="1">
      <c r="A71" s="1192" t="s">
        <v>1033</v>
      </c>
      <c r="B71" s="1193" t="s">
        <v>1485</v>
      </c>
      <c r="C71" s="381">
        <f ca="1">ROUND(C68/F71,0)</f>
        <v>-6721</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13460</v>
      </c>
      <c r="D75" s="1843"/>
      <c r="E75" s="1843"/>
      <c r="F75" s="1843"/>
      <c r="K75" s="1869"/>
      <c r="L75" s="1843"/>
      <c r="O75" s="1885" t="s">
        <v>1046</v>
      </c>
      <c r="P75" s="1886" t="s">
        <v>1547</v>
      </c>
      <c r="Q75" s="1887">
        <f ca="1">Q65+Q66</f>
        <v>139375</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-0.96300000000000008</v>
      </c>
    </row>
    <row r="80" spans="1:18">
      <c r="B80" s="385" t="s">
        <v>1509</v>
      </c>
      <c r="C80" s="317">
        <f ca="1">ROUND(C75/C39,3)</f>
        <v>1.9630000000000001</v>
      </c>
    </row>
    <row r="81" spans="2:3">
      <c r="B81" s="313" t="s">
        <v>1510</v>
      </c>
      <c r="C81" s="281"/>
    </row>
    <row r="82" spans="2:3">
      <c r="B82" s="316" t="s">
        <v>1511</v>
      </c>
      <c r="C82" s="318">
        <f ca="1">1-C83</f>
        <v>-0.1359999999999999</v>
      </c>
    </row>
    <row r="83" spans="2:3">
      <c r="B83" s="316" t="s">
        <v>1512</v>
      </c>
      <c r="C83" s="317">
        <f ca="1">ROUND(C13/C40,3)</f>
        <v>1.1359999999999999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641</v>
      </c>
      <c r="C2" s="2570" t="s">
        <v>2520</v>
      </c>
      <c r="D2" s="2571" t="s">
        <v>2521</v>
      </c>
      <c r="E2" s="2572">
        <f>SUM(E6:E13)</f>
        <v>270.51</v>
      </c>
    </row>
    <row r="3" spans="1:6" ht="15.75">
      <c r="A3" s="2568" t="s">
        <v>1393</v>
      </c>
      <c r="B3" s="2569">
        <f ca="1">ROUND(B2*10000/E2,0)</f>
        <v>23696</v>
      </c>
      <c r="C3" s="2570" t="s">
        <v>2528</v>
      </c>
      <c r="D3" s="2573"/>
      <c r="E3" s="2574"/>
    </row>
    <row r="4" spans="1:6" ht="15.75">
      <c r="A4" s="2575"/>
      <c r="B4" s="2573"/>
      <c r="C4" s="2573"/>
      <c r="D4" s="2573"/>
      <c r="E4" s="2574"/>
    </row>
    <row r="5" spans="1:6" ht="15">
      <c r="A5" s="2576" t="s">
        <v>2522</v>
      </c>
      <c r="B5" s="3267" t="s">
        <v>2523</v>
      </c>
      <c r="C5" s="3267"/>
      <c r="D5" s="2577"/>
      <c r="E5" s="2578" t="s">
        <v>2524</v>
      </c>
      <c r="F5" s="2579" t="s">
        <v>2525</v>
      </c>
    </row>
    <row r="6" spans="1:6">
      <c r="A6" s="2580" t="str">
        <f>'数据-取费表'!AN6</f>
        <v>收益法 (元)-办公</v>
      </c>
      <c r="B6" s="2579">
        <f ca="1">IF(F6="是",'数据-取费表'!AO6,0)</f>
        <v>626</v>
      </c>
      <c r="C6" s="2570" t="s">
        <v>2520</v>
      </c>
      <c r="D6" s="2573"/>
      <c r="E6" s="2581">
        <f>IF(OR(A6=0,F6="否"),0,'数据-取费表'!K6+'数据-取费表'!S6)</f>
        <v>208.21</v>
      </c>
      <c r="F6" s="2582" t="s">
        <v>2526</v>
      </c>
    </row>
    <row r="7" spans="1:6">
      <c r="A7" s="2580" t="str">
        <f>'数据-取费表'!AN7</f>
        <v>收益法 (元)-车位</v>
      </c>
      <c r="B7" s="2579">
        <f ca="1">IF(F7="是",'数据-取费表'!AO7,0)</f>
        <v>15</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4" t="s">
        <v>1076</v>
      </c>
      <c r="B1" s="3285"/>
      <c r="C1" s="3286"/>
      <c r="D1" s="3287">
        <f>SUM(I10,I15,I20,I21,I23)</f>
        <v>0</v>
      </c>
      <c r="E1" s="3287"/>
      <c r="F1" s="3287"/>
      <c r="G1" s="3287"/>
      <c r="H1" s="3287"/>
      <c r="I1" s="3288"/>
    </row>
    <row r="2" spans="1:9">
      <c r="A2" s="3274" t="s">
        <v>1077</v>
      </c>
      <c r="B2" s="3275" t="s">
        <v>1078</v>
      </c>
      <c r="C2" s="3275"/>
      <c r="D2" s="1302" t="s">
        <v>1079</v>
      </c>
      <c r="E2" s="1302" t="s">
        <v>1080</v>
      </c>
      <c r="F2" s="1302" t="s">
        <v>1081</v>
      </c>
      <c r="G2" s="1302" t="s">
        <v>1082</v>
      </c>
      <c r="H2" s="1302" t="s">
        <v>1083</v>
      </c>
      <c r="I2" s="1303" t="s">
        <v>1084</v>
      </c>
    </row>
    <row r="3" spans="1:9">
      <c r="A3" s="3274"/>
      <c r="B3" s="3275" t="s">
        <v>1085</v>
      </c>
      <c r="C3" s="3275"/>
      <c r="D3" s="1304"/>
      <c r="E3" s="1302"/>
      <c r="F3" s="1305"/>
      <c r="G3" s="1305"/>
      <c r="H3" s="1306"/>
      <c r="I3" s="1307">
        <f>ROUND(D3*E3*F3*G3*H3/10000,0)</f>
        <v>0</v>
      </c>
    </row>
    <row r="4" spans="1:9">
      <c r="A4" s="3274"/>
      <c r="B4" s="3275" t="s">
        <v>1086</v>
      </c>
      <c r="C4" s="3275"/>
      <c r="D4" s="1304"/>
      <c r="E4" s="1302"/>
      <c r="F4" s="1305"/>
      <c r="G4" s="1305"/>
      <c r="H4" s="1306"/>
      <c r="I4" s="1307">
        <f t="shared" ref="I4:I9" si="0">ROUND(D4*E4*F4*G4*H4/10000,0)</f>
        <v>0</v>
      </c>
    </row>
    <row r="5" spans="1:9">
      <c r="A5" s="3274"/>
      <c r="B5" s="3275" t="s">
        <v>1087</v>
      </c>
      <c r="C5" s="3275"/>
      <c r="D5" s="1304"/>
      <c r="E5" s="1302"/>
      <c r="F5" s="1305"/>
      <c r="G5" s="1305"/>
      <c r="H5" s="1306"/>
      <c r="I5" s="1307">
        <f t="shared" si="0"/>
        <v>0</v>
      </c>
    </row>
    <row r="6" spans="1:9">
      <c r="A6" s="3274"/>
      <c r="B6" s="3275" t="s">
        <v>1088</v>
      </c>
      <c r="C6" s="3275"/>
      <c r="D6" s="1304"/>
      <c r="E6" s="1302"/>
      <c r="F6" s="1305"/>
      <c r="G6" s="1305"/>
      <c r="H6" s="1306"/>
      <c r="I6" s="1307">
        <f t="shared" si="0"/>
        <v>0</v>
      </c>
    </row>
    <row r="7" spans="1:9">
      <c r="A7" s="3274"/>
      <c r="B7" s="3275" t="s">
        <v>1089</v>
      </c>
      <c r="C7" s="3275"/>
      <c r="D7" s="1304"/>
      <c r="E7" s="1302"/>
      <c r="F7" s="1305"/>
      <c r="G7" s="1305"/>
      <c r="H7" s="1306"/>
      <c r="I7" s="1307">
        <f t="shared" si="0"/>
        <v>0</v>
      </c>
    </row>
    <row r="8" spans="1:9">
      <c r="A8" s="3274"/>
      <c r="B8" s="3275" t="s">
        <v>1090</v>
      </c>
      <c r="C8" s="3275"/>
      <c r="D8" s="1304"/>
      <c r="E8" s="1302"/>
      <c r="F8" s="1305"/>
      <c r="G8" s="1305"/>
      <c r="H8" s="1306"/>
      <c r="I8" s="1307">
        <f t="shared" si="0"/>
        <v>0</v>
      </c>
    </row>
    <row r="9" spans="1:9">
      <c r="A9" s="3274"/>
      <c r="B9" s="3275" t="s">
        <v>1091</v>
      </c>
      <c r="C9" s="3275"/>
      <c r="D9" s="1304"/>
      <c r="E9" s="1302"/>
      <c r="F9" s="1305"/>
      <c r="G9" s="1305"/>
      <c r="H9" s="1306"/>
      <c r="I9" s="1307">
        <f t="shared" si="0"/>
        <v>0</v>
      </c>
    </row>
    <row r="10" spans="1:9">
      <c r="A10" s="3274"/>
      <c r="B10" s="3276" t="s">
        <v>1092</v>
      </c>
      <c r="C10" s="3276"/>
      <c r="D10" s="1308"/>
      <c r="E10" s="1308" t="e">
        <f>ROUND(D1*10000/D10/H9,0)</f>
        <v>#DIV/0!</v>
      </c>
      <c r="F10" s="1309"/>
      <c r="G10" s="1309"/>
      <c r="H10" s="1310"/>
      <c r="I10" s="1311">
        <f>SUM(I3:I9)</f>
        <v>0</v>
      </c>
    </row>
    <row r="11" spans="1:9" ht="14.25">
      <c r="A11" s="3274" t="s">
        <v>1093</v>
      </c>
      <c r="B11" s="3275" t="s">
        <v>1094</v>
      </c>
      <c r="C11" s="3275"/>
      <c r="D11" s="1304" t="s">
        <v>1095</v>
      </c>
      <c r="E11" s="1304" t="s">
        <v>1096</v>
      </c>
      <c r="F11" s="1305" t="s">
        <v>1097</v>
      </c>
      <c r="G11" s="1305" t="s">
        <v>1083</v>
      </c>
      <c r="H11" s="1312" t="s">
        <v>1098</v>
      </c>
      <c r="I11" s="1303" t="s">
        <v>1084</v>
      </c>
    </row>
    <row r="12" spans="1:9">
      <c r="A12" s="3274"/>
      <c r="B12" s="3275" t="s">
        <v>1099</v>
      </c>
      <c r="C12" s="3275"/>
      <c r="D12" s="1304"/>
      <c r="E12" s="1304"/>
      <c r="F12" s="1305"/>
      <c r="G12" s="1306"/>
      <c r="H12" s="1313"/>
      <c r="I12" s="1303">
        <f>ROUND(D12*E12*F12*G12/10000,0)</f>
        <v>0</v>
      </c>
    </row>
    <row r="13" spans="1:9">
      <c r="A13" s="3274"/>
      <c r="B13" s="3275" t="s">
        <v>1100</v>
      </c>
      <c r="C13" s="3275"/>
      <c r="D13" s="1304"/>
      <c r="E13" s="1304"/>
      <c r="F13" s="1305"/>
      <c r="G13" s="1306"/>
      <c r="H13" s="1313"/>
      <c r="I13" s="1303">
        <f>ROUND(D13*E13*F13*G13/10000,0)</f>
        <v>0</v>
      </c>
    </row>
    <row r="14" spans="1:9">
      <c r="A14" s="3274"/>
      <c r="B14" s="3275" t="s">
        <v>1101</v>
      </c>
      <c r="C14" s="3275"/>
      <c r="D14" s="1304"/>
      <c r="E14" s="1304"/>
      <c r="F14" s="1305"/>
      <c r="G14" s="1306"/>
      <c r="H14" s="1313"/>
      <c r="I14" s="1303">
        <f>ROUND(D14*E14*F14*G14/10000,0)</f>
        <v>0</v>
      </c>
    </row>
    <row r="15" spans="1:9">
      <c r="A15" s="3274"/>
      <c r="B15" s="3276" t="s">
        <v>1092</v>
      </c>
      <c r="C15" s="3276"/>
      <c r="D15" s="1308"/>
      <c r="E15" s="1308">
        <f>SUM(E12:E14)</f>
        <v>0</v>
      </c>
      <c r="F15" s="1309"/>
      <c r="G15" s="1306"/>
      <c r="H15" s="1313"/>
      <c r="I15" s="1314">
        <f>SUM(I12:I14)</f>
        <v>0</v>
      </c>
    </row>
    <row r="16" spans="1:9" ht="24">
      <c r="A16" s="3274" t="s">
        <v>1102</v>
      </c>
      <c r="B16" s="3275" t="s">
        <v>1103</v>
      </c>
      <c r="C16" s="3275"/>
      <c r="D16" s="1304" t="s">
        <v>1079</v>
      </c>
      <c r="E16" s="1315" t="s">
        <v>1104</v>
      </c>
      <c r="F16" s="1305" t="s">
        <v>1105</v>
      </c>
      <c r="G16" s="1306" t="s">
        <v>1083</v>
      </c>
      <c r="H16" s="1312" t="s">
        <v>1098</v>
      </c>
      <c r="I16" s="1303" t="s">
        <v>1084</v>
      </c>
    </row>
    <row r="17" spans="1:9" ht="14.25">
      <c r="A17" s="3274"/>
      <c r="B17" s="3275" t="s">
        <v>1106</v>
      </c>
      <c r="C17" s="3275"/>
      <c r="D17" s="1304"/>
      <c r="E17" s="1304"/>
      <c r="F17" s="1305"/>
      <c r="G17" s="1306"/>
      <c r="H17" s="1316"/>
      <c r="I17" s="1317">
        <f>ROUND(D17*E17*F17*G17/10000,0)</f>
        <v>0</v>
      </c>
    </row>
    <row r="18" spans="1:9" ht="14.25">
      <c r="A18" s="3274"/>
      <c r="B18" s="3275" t="s">
        <v>1107</v>
      </c>
      <c r="C18" s="3275"/>
      <c r="D18" s="1304"/>
      <c r="E18" s="1304"/>
      <c r="F18" s="1305"/>
      <c r="G18" s="1306"/>
      <c r="H18" s="1316"/>
      <c r="I18" s="1317">
        <f>ROUND(D18*E18*F18*G18/10000,0)</f>
        <v>0</v>
      </c>
    </row>
    <row r="19" spans="1:9" ht="14.25">
      <c r="A19" s="3274"/>
      <c r="B19" s="3275" t="s">
        <v>1108</v>
      </c>
      <c r="C19" s="3275"/>
      <c r="D19" s="1304"/>
      <c r="E19" s="1304"/>
      <c r="F19" s="1305"/>
      <c r="G19" s="1306"/>
      <c r="H19" s="1316"/>
      <c r="I19" s="1317">
        <f>ROUND(D19*E19*F19*G19/10000,0)</f>
        <v>0</v>
      </c>
    </row>
    <row r="20" spans="1:9">
      <c r="A20" s="3274"/>
      <c r="B20" s="3276" t="s">
        <v>1092</v>
      </c>
      <c r="C20" s="3276"/>
      <c r="D20" s="1308">
        <f>SUM(D17:D19)</f>
        <v>0</v>
      </c>
      <c r="E20" s="1308"/>
      <c r="F20" s="1309"/>
      <c r="G20" s="1306"/>
      <c r="H20" s="1313"/>
      <c r="I20" s="1314">
        <f>SUM(I17:I19)</f>
        <v>0</v>
      </c>
    </row>
    <row r="21" spans="1:9">
      <c r="A21" s="3274" t="s">
        <v>1109</v>
      </c>
      <c r="B21" s="3277"/>
      <c r="C21" s="3277"/>
      <c r="D21" s="3277"/>
      <c r="E21" s="3277"/>
      <c r="F21" s="3277"/>
      <c r="G21" s="3277"/>
      <c r="H21" s="1766">
        <v>0.1</v>
      </c>
      <c r="I21" s="1311">
        <f>ROUND(I10*H21,0)</f>
        <v>0</v>
      </c>
    </row>
    <row r="22" spans="1:9" ht="14.25">
      <c r="A22" s="3278" t="s">
        <v>1110</v>
      </c>
      <c r="B22" s="3279"/>
      <c r="C22" s="3280"/>
      <c r="D22" s="1318" t="s">
        <v>1111</v>
      </c>
      <c r="E22" s="1318" t="s">
        <v>1112</v>
      </c>
      <c r="F22" s="1319" t="s">
        <v>1113</v>
      </c>
      <c r="G22" s="1319" t="s">
        <v>1114</v>
      </c>
      <c r="H22" s="1312" t="s">
        <v>1115</v>
      </c>
      <c r="I22" s="1303" t="s">
        <v>1116</v>
      </c>
    </row>
    <row r="23" spans="1:9" ht="14.25" thickBot="1">
      <c r="A23" s="3281"/>
      <c r="B23" s="3282"/>
      <c r="C23" s="3283"/>
      <c r="D23" s="1320"/>
      <c r="E23" s="1320"/>
      <c r="F23" s="1320"/>
      <c r="G23" s="1321"/>
      <c r="H23" s="1322"/>
      <c r="I23" s="1323">
        <f>ROUND(E23*D23*F23*(1-G23)/10000,0)</f>
        <v>0</v>
      </c>
    </row>
    <row r="26" spans="1:9">
      <c r="A26" s="1324" t="s">
        <v>1117</v>
      </c>
      <c r="B26" s="1324"/>
      <c r="C26" s="1324"/>
      <c r="D26" s="1324"/>
      <c r="E26" s="3271">
        <f>C27-C30-C31-C32</f>
        <v>0</v>
      </c>
      <c r="F26" s="3271"/>
      <c r="G26" s="3271"/>
      <c r="H26" s="1738" t="s">
        <v>1340</v>
      </c>
    </row>
    <row r="27" spans="1:9">
      <c r="A27" s="1325">
        <v>1</v>
      </c>
      <c r="B27" s="1326" t="s">
        <v>1118</v>
      </c>
      <c r="C27" s="1326">
        <f>C28+C29</f>
        <v>0</v>
      </c>
      <c r="D27" s="1326"/>
      <c r="E27" s="3272"/>
      <c r="F27" s="3272"/>
      <c r="G27" s="3272"/>
    </row>
    <row r="28" spans="1:9">
      <c r="A28" s="1327" t="s">
        <v>1119</v>
      </c>
      <c r="B28" s="1326" t="s">
        <v>1120</v>
      </c>
      <c r="C28" s="1326"/>
      <c r="D28" s="1326"/>
      <c r="E28" s="3272"/>
      <c r="F28" s="3272"/>
      <c r="G28" s="327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3"/>
      <c r="F32" s="3273"/>
      <c r="G32" s="3273"/>
    </row>
    <row r="33" spans="1:7" hidden="1">
      <c r="A33" s="3268" t="s">
        <v>1129</v>
      </c>
      <c r="B33" s="3269"/>
      <c r="C33" s="3269"/>
      <c r="D33" s="3270"/>
      <c r="E33" s="3271"/>
      <c r="F33" s="3271"/>
      <c r="G33" s="3271"/>
    </row>
    <row r="34" spans="1:7" hidden="1">
      <c r="A34" s="1329">
        <v>1</v>
      </c>
      <c r="B34" s="1326" t="s">
        <v>1130</v>
      </c>
      <c r="C34" s="1326"/>
      <c r="D34" s="1326"/>
      <c r="E34" s="3272"/>
      <c r="F34" s="3272"/>
      <c r="G34" s="3272"/>
    </row>
    <row r="35" spans="1:7" hidden="1">
      <c r="A35" s="1329">
        <v>2</v>
      </c>
      <c r="B35" s="1326" t="s">
        <v>1131</v>
      </c>
      <c r="C35" s="1326"/>
      <c r="D35" s="1326"/>
      <c r="E35" s="3272"/>
      <c r="F35" s="3272"/>
      <c r="G35" s="3272"/>
    </row>
    <row r="36" spans="1:7" hidden="1">
      <c r="A36" s="1329">
        <v>3</v>
      </c>
      <c r="B36" s="1326" t="s">
        <v>1132</v>
      </c>
      <c r="C36" s="1326"/>
      <c r="D36" s="1326"/>
      <c r="E36" s="3272"/>
      <c r="F36" s="3272"/>
      <c r="G36" s="3272"/>
    </row>
    <row r="37" spans="1:7" hidden="1">
      <c r="A37" s="1329">
        <v>4</v>
      </c>
      <c r="B37" s="1326" t="s">
        <v>1133</v>
      </c>
      <c r="C37" s="1326"/>
      <c r="D37" s="1326"/>
      <c r="E37" s="3272"/>
      <c r="F37" s="3272"/>
      <c r="G37" s="3272"/>
    </row>
    <row r="38" spans="1:7" hidden="1">
      <c r="A38" s="3268" t="s">
        <v>1134</v>
      </c>
      <c r="B38" s="3269"/>
      <c r="C38" s="3269"/>
      <c r="D38" s="3270"/>
      <c r="E38" s="3271"/>
      <c r="F38" s="3271"/>
      <c r="G38" s="32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09" t="s">
        <v>2537</v>
      </c>
      <c r="D4" s="3210"/>
      <c r="E4" s="3211" t="s">
        <v>2538</v>
      </c>
      <c r="F4" s="3212"/>
      <c r="G4" s="3209" t="s">
        <v>2539</v>
      </c>
      <c r="H4" s="3210"/>
      <c r="I4" s="3209" t="s">
        <v>2540</v>
      </c>
      <c r="J4" s="3210"/>
      <c r="K4" s="2600" t="s">
        <v>2541</v>
      </c>
      <c r="L4" s="1132"/>
      <c r="M4" s="1133"/>
      <c r="N4" s="1133"/>
      <c r="O4" s="1133"/>
      <c r="P4" s="3260" t="s">
        <v>2542</v>
      </c>
      <c r="Q4" s="3261"/>
      <c r="R4" s="3264" t="s">
        <v>2538</v>
      </c>
      <c r="S4" s="3265"/>
      <c r="T4" s="3264" t="s">
        <v>2539</v>
      </c>
      <c r="U4" s="3265"/>
      <c r="V4" s="3226" t="s">
        <v>2540</v>
      </c>
      <c r="W4" s="3226"/>
      <c r="X4" s="1814"/>
      <c r="Y4" s="3264" t="s">
        <v>2542</v>
      </c>
      <c r="Z4" s="3265"/>
      <c r="AA4" s="3255" t="s">
        <v>2538</v>
      </c>
      <c r="AB4" s="3255" t="s">
        <v>2539</v>
      </c>
      <c r="AC4" s="3255" t="s">
        <v>2540</v>
      </c>
    </row>
    <row r="5" spans="1:29" ht="15">
      <c r="A5" s="403"/>
      <c r="B5" s="404"/>
      <c r="C5" s="3235" t="s">
        <v>2543</v>
      </c>
      <c r="D5" s="3236"/>
      <c r="E5" s="3289" t="s">
        <v>2544</v>
      </c>
      <c r="F5" s="3230"/>
      <c r="G5" s="3235" t="s">
        <v>2545</v>
      </c>
      <c r="H5" s="3236"/>
      <c r="I5" s="3235" t="s">
        <v>2546</v>
      </c>
      <c r="J5" s="3236"/>
      <c r="K5" s="2601"/>
      <c r="L5" s="1132"/>
      <c r="M5" s="1133"/>
      <c r="N5" s="1133"/>
      <c r="O5" s="1133"/>
      <c r="P5" s="3262"/>
      <c r="Q5" s="3216"/>
      <c r="R5" s="3221"/>
      <c r="S5" s="3222"/>
      <c r="T5" s="3221"/>
      <c r="U5" s="3222"/>
      <c r="V5" s="3226"/>
      <c r="W5" s="3226"/>
      <c r="X5" s="1814"/>
      <c r="Y5" s="3221"/>
      <c r="Z5" s="3222"/>
      <c r="AA5" s="3240"/>
      <c r="AB5" s="3240"/>
      <c r="AC5" s="3240"/>
    </row>
    <row r="6" spans="1:29" ht="15.75" thickBot="1">
      <c r="A6" s="405"/>
      <c r="B6" s="406"/>
      <c r="C6" s="3227" t="s">
        <v>2547</v>
      </c>
      <c r="D6" s="3228"/>
      <c r="E6" s="3237" t="s">
        <v>2547</v>
      </c>
      <c r="F6" s="3238"/>
      <c r="G6" s="3227" t="s">
        <v>2547</v>
      </c>
      <c r="H6" s="3228"/>
      <c r="I6" s="3227" t="s">
        <v>2547</v>
      </c>
      <c r="J6" s="3228"/>
      <c r="K6" s="2601" t="s">
        <v>2548</v>
      </c>
      <c r="L6" s="1132"/>
      <c r="M6" s="1133"/>
      <c r="N6" s="1133"/>
      <c r="O6" s="1133"/>
      <c r="P6" s="3263"/>
      <c r="Q6" s="3218"/>
      <c r="R6" s="3221"/>
      <c r="S6" s="3222"/>
      <c r="T6" s="3223"/>
      <c r="U6" s="3224"/>
      <c r="V6" s="3226"/>
      <c r="W6" s="3226"/>
      <c r="X6" s="1814"/>
      <c r="Y6" s="3223"/>
      <c r="Z6" s="3224"/>
      <c r="AA6" s="3241"/>
      <c r="AB6" s="3241"/>
      <c r="AC6" s="3241"/>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33" t="s">
        <v>2550</v>
      </c>
      <c r="Q7" s="3234"/>
      <c r="R7" s="769" t="s">
        <v>23</v>
      </c>
      <c r="S7" s="770">
        <f t="shared" ref="S7:S15" si="0">F7</f>
        <v>0</v>
      </c>
      <c r="T7" s="769" t="s">
        <v>23</v>
      </c>
      <c r="U7" s="770">
        <f t="shared" ref="U7:U15" si="1">H7</f>
        <v>0</v>
      </c>
      <c r="V7" s="769" t="s">
        <v>23</v>
      </c>
      <c r="W7" s="770">
        <f t="shared" ref="W7:W15" si="2">J7</f>
        <v>0</v>
      </c>
      <c r="X7" s="771"/>
      <c r="Y7" s="3233" t="s">
        <v>2550</v>
      </c>
      <c r="Z7" s="3232"/>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33" t="s">
        <v>2553</v>
      </c>
      <c r="Q8" s="3232"/>
      <c r="R8" s="769" t="s">
        <v>23</v>
      </c>
      <c r="S8" s="770">
        <f t="shared" si="0"/>
        <v>0</v>
      </c>
      <c r="T8" s="769" t="s">
        <v>23</v>
      </c>
      <c r="U8" s="770">
        <f t="shared" si="1"/>
        <v>0</v>
      </c>
      <c r="V8" s="769" t="s">
        <v>23</v>
      </c>
      <c r="W8" s="770">
        <f t="shared" si="2"/>
        <v>0</v>
      </c>
      <c r="X8" s="771"/>
      <c r="Y8" s="3233" t="s">
        <v>2553</v>
      </c>
      <c r="Z8" s="3232"/>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91"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1"/>
      <c r="Q11" s="1796" t="str">
        <f t="shared" si="6"/>
        <v>容积率</v>
      </c>
      <c r="R11" s="769" t="s">
        <v>21</v>
      </c>
      <c r="S11" s="770" t="e">
        <f t="shared" si="0"/>
        <v>#N/A</v>
      </c>
      <c r="T11" s="769" t="s">
        <v>21</v>
      </c>
      <c r="U11" s="770" t="e">
        <f t="shared" si="1"/>
        <v>#N/A</v>
      </c>
      <c r="V11" s="769" t="s">
        <v>21</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91"/>
      <c r="Q12" s="1796">
        <f t="shared" si="6"/>
        <v>111</v>
      </c>
      <c r="R12" s="769" t="s">
        <v>21</v>
      </c>
      <c r="S12" s="770">
        <f t="shared" si="0"/>
        <v>100</v>
      </c>
      <c r="T12" s="769" t="s">
        <v>21</v>
      </c>
      <c r="U12" s="770">
        <f t="shared" si="1"/>
        <v>100</v>
      </c>
      <c r="V12" s="769" t="s">
        <v>21</v>
      </c>
      <c r="W12" s="770">
        <f t="shared" si="2"/>
        <v>100</v>
      </c>
      <c r="X12" s="771"/>
      <c r="Y12" s="3046"/>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91"/>
      <c r="Q13" s="1796">
        <f t="shared" si="6"/>
        <v>111</v>
      </c>
      <c r="R13" s="769" t="s">
        <v>21</v>
      </c>
      <c r="S13" s="770">
        <f t="shared" si="0"/>
        <v>100</v>
      </c>
      <c r="T13" s="769" t="s">
        <v>21</v>
      </c>
      <c r="U13" s="770">
        <f t="shared" si="1"/>
        <v>100</v>
      </c>
      <c r="V13" s="769" t="s">
        <v>21</v>
      </c>
      <c r="W13" s="770">
        <f t="shared" si="2"/>
        <v>100</v>
      </c>
      <c r="X13" s="771"/>
      <c r="Y13" s="3046"/>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91"/>
      <c r="Q14" s="1796">
        <f t="shared" si="6"/>
        <v>111</v>
      </c>
      <c r="R14" s="769" t="s">
        <v>21</v>
      </c>
      <c r="S14" s="770">
        <f t="shared" si="0"/>
        <v>100</v>
      </c>
      <c r="T14" s="769" t="s">
        <v>21</v>
      </c>
      <c r="U14" s="770">
        <f t="shared" si="1"/>
        <v>100</v>
      </c>
      <c r="V14" s="769" t="s">
        <v>21</v>
      </c>
      <c r="W14" s="770">
        <f t="shared" si="2"/>
        <v>100</v>
      </c>
      <c r="X14" s="771"/>
      <c r="Y14" s="3046"/>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7" t="s">
        <v>2561</v>
      </c>
      <c r="Q15" s="1811" t="str">
        <f t="shared" si="6"/>
        <v>居住社区成熟度</v>
      </c>
      <c r="R15" s="773" t="s">
        <v>21</v>
      </c>
      <c r="S15" s="774">
        <f t="shared" si="0"/>
        <v>100</v>
      </c>
      <c r="T15" s="773" t="s">
        <v>21</v>
      </c>
      <c r="U15" s="774">
        <f t="shared" si="1"/>
        <v>100</v>
      </c>
      <c r="V15" s="773" t="s">
        <v>21</v>
      </c>
      <c r="W15" s="774">
        <f t="shared" si="2"/>
        <v>100</v>
      </c>
      <c r="X15" s="1814"/>
      <c r="Y15" s="3199"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198"/>
      <c r="Q16" s="1811"/>
      <c r="R16" s="773"/>
      <c r="S16" s="774"/>
      <c r="T16" s="773"/>
      <c r="U16" s="774"/>
      <c r="V16" s="773"/>
      <c r="W16" s="774"/>
      <c r="X16" s="1814"/>
      <c r="Y16" s="3200"/>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8"/>
      <c r="Q17" s="1811" t="str">
        <f>B17</f>
        <v>交通便捷度</v>
      </c>
      <c r="R17" s="773" t="s">
        <v>21</v>
      </c>
      <c r="S17" s="774">
        <f>F17</f>
        <v>100</v>
      </c>
      <c r="T17" s="773" t="s">
        <v>21</v>
      </c>
      <c r="U17" s="774">
        <f>H17</f>
        <v>100</v>
      </c>
      <c r="V17" s="773" t="s">
        <v>21</v>
      </c>
      <c r="W17" s="774">
        <f>J17</f>
        <v>100</v>
      </c>
      <c r="X17" s="1814"/>
      <c r="Y17" s="3200"/>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198"/>
      <c r="Q18" s="1811"/>
      <c r="R18" s="773"/>
      <c r="S18" s="774"/>
      <c r="T18" s="773"/>
      <c r="U18" s="774"/>
      <c r="V18" s="773"/>
      <c r="W18" s="774"/>
      <c r="X18" s="1814"/>
      <c r="Y18" s="3200"/>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8"/>
      <c r="Q19" s="1811" t="str">
        <f>B19</f>
        <v>公共配套设施</v>
      </c>
      <c r="R19" s="773" t="s">
        <v>21</v>
      </c>
      <c r="S19" s="774">
        <f>F19</f>
        <v>100</v>
      </c>
      <c r="T19" s="773" t="s">
        <v>21</v>
      </c>
      <c r="U19" s="774">
        <f>H19</f>
        <v>100</v>
      </c>
      <c r="V19" s="773" t="s">
        <v>21</v>
      </c>
      <c r="W19" s="774">
        <f>J19</f>
        <v>100</v>
      </c>
      <c r="X19" s="1814"/>
      <c r="Y19" s="3200"/>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198"/>
      <c r="Q20" s="1811"/>
      <c r="R20" s="773"/>
      <c r="S20" s="774"/>
      <c r="T20" s="773"/>
      <c r="U20" s="774"/>
      <c r="V20" s="773"/>
      <c r="W20" s="774"/>
      <c r="X20" s="1814"/>
      <c r="Y20" s="3200"/>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8"/>
      <c r="Q21" s="1811" t="str">
        <f>B21</f>
        <v>基础设施水平</v>
      </c>
      <c r="R21" s="773" t="s">
        <v>17</v>
      </c>
      <c r="S21" s="774">
        <f>F21</f>
        <v>100</v>
      </c>
      <c r="T21" s="773" t="s">
        <v>17</v>
      </c>
      <c r="U21" s="774">
        <f>H21</f>
        <v>100</v>
      </c>
      <c r="V21" s="773" t="s">
        <v>17</v>
      </c>
      <c r="W21" s="774">
        <f>J21</f>
        <v>100</v>
      </c>
      <c r="X21" s="1814"/>
      <c r="Y21" s="3200"/>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198"/>
      <c r="Q22" s="1811"/>
      <c r="R22" s="773"/>
      <c r="S22" s="774"/>
      <c r="T22" s="773"/>
      <c r="U22" s="774"/>
      <c r="V22" s="773"/>
      <c r="W22" s="774"/>
      <c r="X22" s="1814"/>
      <c r="Y22" s="3200"/>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8"/>
      <c r="Q23" s="1811" t="str">
        <f>B23</f>
        <v>自然及人文环境</v>
      </c>
      <c r="R23" s="773" t="s">
        <v>21</v>
      </c>
      <c r="S23" s="774">
        <f>F23</f>
        <v>100</v>
      </c>
      <c r="T23" s="773" t="s">
        <v>21</v>
      </c>
      <c r="U23" s="774">
        <f>H23</f>
        <v>100</v>
      </c>
      <c r="V23" s="773" t="s">
        <v>21</v>
      </c>
      <c r="W23" s="774">
        <f>J23</f>
        <v>100</v>
      </c>
      <c r="X23" s="1814"/>
      <c r="Y23" s="3200"/>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198"/>
      <c r="Q24" s="1811"/>
      <c r="R24" s="773"/>
      <c r="S24" s="774"/>
      <c r="T24" s="773"/>
      <c r="U24" s="774"/>
      <c r="V24" s="773"/>
      <c r="W24" s="774"/>
      <c r="X24" s="1814"/>
      <c r="Y24" s="3200"/>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19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0"/>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198"/>
      <c r="Q26" s="1811" t="str">
        <f t="shared" si="11"/>
        <v>朝向</v>
      </c>
      <c r="R26" s="773" t="s">
        <v>21</v>
      </c>
      <c r="S26" s="774">
        <f t="shared" si="12"/>
        <v>100</v>
      </c>
      <c r="T26" s="773" t="s">
        <v>21</v>
      </c>
      <c r="U26" s="774">
        <f t="shared" si="13"/>
        <v>100</v>
      </c>
      <c r="V26" s="773" t="s">
        <v>21</v>
      </c>
      <c r="W26" s="774">
        <f t="shared" si="14"/>
        <v>100</v>
      </c>
      <c r="X26" s="1814"/>
      <c r="Y26" s="3200"/>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198"/>
      <c r="Q27" s="1796">
        <f t="shared" si="11"/>
        <v>111</v>
      </c>
      <c r="R27" s="769" t="s">
        <v>21</v>
      </c>
      <c r="S27" s="770">
        <f t="shared" si="12"/>
        <v>100</v>
      </c>
      <c r="T27" s="769" t="s">
        <v>21</v>
      </c>
      <c r="U27" s="770">
        <f t="shared" si="13"/>
        <v>100</v>
      </c>
      <c r="V27" s="769" t="s">
        <v>21</v>
      </c>
      <c r="W27" s="770">
        <f t="shared" si="14"/>
        <v>100</v>
      </c>
      <c r="X27" s="771"/>
      <c r="Y27" s="3200"/>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198"/>
      <c r="Q28" s="1811">
        <f t="shared" si="11"/>
        <v>111</v>
      </c>
      <c r="R28" s="773" t="s">
        <v>21</v>
      </c>
      <c r="S28" s="774">
        <f t="shared" si="12"/>
        <v>100</v>
      </c>
      <c r="T28" s="773" t="s">
        <v>21</v>
      </c>
      <c r="U28" s="774">
        <f t="shared" si="13"/>
        <v>100</v>
      </c>
      <c r="V28" s="773" t="s">
        <v>21</v>
      </c>
      <c r="W28" s="774">
        <f t="shared" si="14"/>
        <v>100</v>
      </c>
      <c r="X28" s="1814"/>
      <c r="Y28" s="3200"/>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198"/>
      <c r="Q29" s="1811">
        <f t="shared" si="11"/>
        <v>111</v>
      </c>
      <c r="R29" s="773" t="s">
        <v>21</v>
      </c>
      <c r="S29" s="774">
        <f t="shared" si="12"/>
        <v>100</v>
      </c>
      <c r="T29" s="773" t="s">
        <v>21</v>
      </c>
      <c r="U29" s="774">
        <f t="shared" si="13"/>
        <v>100</v>
      </c>
      <c r="V29" s="773" t="s">
        <v>21</v>
      </c>
      <c r="W29" s="774">
        <f t="shared" si="14"/>
        <v>100</v>
      </c>
      <c r="X29" s="1814"/>
      <c r="Y29" s="3200"/>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198"/>
      <c r="Q30" s="1811">
        <f t="shared" si="11"/>
        <v>111</v>
      </c>
      <c r="R30" s="773" t="s">
        <v>21</v>
      </c>
      <c r="S30" s="774">
        <f t="shared" si="12"/>
        <v>100</v>
      </c>
      <c r="T30" s="773" t="s">
        <v>21</v>
      </c>
      <c r="U30" s="774">
        <f t="shared" si="13"/>
        <v>100</v>
      </c>
      <c r="V30" s="773" t="s">
        <v>21</v>
      </c>
      <c r="W30" s="774">
        <f t="shared" si="14"/>
        <v>100</v>
      </c>
      <c r="X30" s="1814"/>
      <c r="Y30" s="3200"/>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198"/>
      <c r="Q31" s="1811">
        <f t="shared" si="11"/>
        <v>111</v>
      </c>
      <c r="R31" s="773" t="s">
        <v>21</v>
      </c>
      <c r="S31" s="774">
        <f t="shared" si="12"/>
        <v>100</v>
      </c>
      <c r="T31" s="773" t="s">
        <v>21</v>
      </c>
      <c r="U31" s="774">
        <f t="shared" si="13"/>
        <v>100</v>
      </c>
      <c r="V31" s="773" t="s">
        <v>21</v>
      </c>
      <c r="W31" s="774">
        <f t="shared" si="14"/>
        <v>100</v>
      </c>
      <c r="X31" s="1814"/>
      <c r="Y31" s="3200"/>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1" t="s">
        <v>2566</v>
      </c>
      <c r="Q32" s="1811" t="str">
        <f t="shared" si="11"/>
        <v>建筑类型</v>
      </c>
      <c r="R32" s="773" t="s">
        <v>21</v>
      </c>
      <c r="S32" s="774">
        <f t="shared" si="12"/>
        <v>100</v>
      </c>
      <c r="T32" s="773" t="s">
        <v>21</v>
      </c>
      <c r="U32" s="774">
        <f t="shared" si="13"/>
        <v>100</v>
      </c>
      <c r="V32" s="773" t="s">
        <v>21</v>
      </c>
      <c r="W32" s="774">
        <f t="shared" si="14"/>
        <v>100</v>
      </c>
      <c r="X32" s="1814"/>
      <c r="Y32" s="3204"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2"/>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2"/>
      <c r="Q34" s="1811" t="str">
        <f t="shared" si="11"/>
        <v>建筑结构</v>
      </c>
      <c r="R34" s="773" t="s">
        <v>21</v>
      </c>
      <c r="S34" s="774">
        <f t="shared" si="12"/>
        <v>100</v>
      </c>
      <c r="T34" s="773" t="s">
        <v>21</v>
      </c>
      <c r="U34" s="774">
        <f t="shared" si="13"/>
        <v>100</v>
      </c>
      <c r="V34" s="773" t="s">
        <v>21</v>
      </c>
      <c r="W34" s="774">
        <f t="shared" si="14"/>
        <v>100</v>
      </c>
      <c r="X34" s="1814"/>
      <c r="Y34" s="3204"/>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2"/>
      <c r="Q35" s="1811" t="str">
        <f t="shared" si="11"/>
        <v>建筑品质</v>
      </c>
      <c r="R35" s="773" t="s">
        <v>21</v>
      </c>
      <c r="S35" s="774">
        <f t="shared" si="12"/>
        <v>100</v>
      </c>
      <c r="T35" s="773" t="s">
        <v>21</v>
      </c>
      <c r="U35" s="774">
        <f t="shared" si="13"/>
        <v>100</v>
      </c>
      <c r="V35" s="773" t="s">
        <v>21</v>
      </c>
      <c r="W35" s="774">
        <f t="shared" si="14"/>
        <v>100</v>
      </c>
      <c r="X35" s="1814"/>
      <c r="Y35" s="3204"/>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2"/>
      <c r="Q36" s="1811" t="str">
        <f t="shared" si="11"/>
        <v>公共部分装修</v>
      </c>
      <c r="R36" s="773" t="s">
        <v>21</v>
      </c>
      <c r="S36" s="774">
        <f t="shared" si="12"/>
        <v>100</v>
      </c>
      <c r="T36" s="773" t="s">
        <v>21</v>
      </c>
      <c r="U36" s="774">
        <f t="shared" si="13"/>
        <v>100</v>
      </c>
      <c r="V36" s="773" t="s">
        <v>21</v>
      </c>
      <c r="W36" s="774">
        <f t="shared" si="14"/>
        <v>100</v>
      </c>
      <c r="X36" s="1814"/>
      <c r="Y36" s="3204"/>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2"/>
      <c r="Q37" s="1796" t="str">
        <f t="shared" si="11"/>
        <v>成新度</v>
      </c>
      <c r="R37" s="769" t="s">
        <v>21</v>
      </c>
      <c r="S37" s="770" t="e">
        <f t="shared" si="12"/>
        <v>#N/A</v>
      </c>
      <c r="T37" s="769" t="s">
        <v>21</v>
      </c>
      <c r="U37" s="770" t="e">
        <f t="shared" si="13"/>
        <v>#N/A</v>
      </c>
      <c r="V37" s="769" t="s">
        <v>21</v>
      </c>
      <c r="W37" s="770" t="e">
        <f t="shared" si="14"/>
        <v>#N/A</v>
      </c>
      <c r="X37" s="771"/>
      <c r="Y37" s="3204"/>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2" t="s">
        <v>2566</v>
      </c>
      <c r="Q38" s="1811" t="str">
        <f t="shared" si="11"/>
        <v>物业管理</v>
      </c>
      <c r="R38" s="773" t="s">
        <v>21</v>
      </c>
      <c r="S38" s="774">
        <f t="shared" si="12"/>
        <v>100</v>
      </c>
      <c r="T38" s="773" t="s">
        <v>21</v>
      </c>
      <c r="U38" s="774">
        <f t="shared" si="13"/>
        <v>100</v>
      </c>
      <c r="V38" s="773" t="s">
        <v>21</v>
      </c>
      <c r="W38" s="774">
        <f t="shared" si="14"/>
        <v>100</v>
      </c>
      <c r="X38" s="1814"/>
      <c r="Y38" s="3204"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2"/>
      <c r="Q39" s="1811" t="str">
        <f t="shared" si="11"/>
        <v>市政基础设施</v>
      </c>
      <c r="R39" s="773" t="s">
        <v>21</v>
      </c>
      <c r="S39" s="774">
        <f t="shared" si="12"/>
        <v>100</v>
      </c>
      <c r="T39" s="773" t="s">
        <v>21</v>
      </c>
      <c r="U39" s="774">
        <f t="shared" si="13"/>
        <v>100</v>
      </c>
      <c r="V39" s="773" t="s">
        <v>21</v>
      </c>
      <c r="W39" s="774">
        <f t="shared" si="14"/>
        <v>100</v>
      </c>
      <c r="X39" s="1814"/>
      <c r="Y39" s="3204"/>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2"/>
      <c r="Q40" s="1811" t="str">
        <f t="shared" si="11"/>
        <v>房型</v>
      </c>
      <c r="R40" s="773" t="s">
        <v>21</v>
      </c>
      <c r="S40" s="774">
        <f t="shared" si="12"/>
        <v>100</v>
      </c>
      <c r="T40" s="773" t="s">
        <v>21</v>
      </c>
      <c r="U40" s="774">
        <f t="shared" si="13"/>
        <v>100</v>
      </c>
      <c r="V40" s="773" t="s">
        <v>21</v>
      </c>
      <c r="W40" s="774">
        <f t="shared" si="14"/>
        <v>100</v>
      </c>
      <c r="X40" s="1814"/>
      <c r="Y40" s="3204"/>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2"/>
      <c r="Q42" s="1811" t="str">
        <f t="shared" si="11"/>
        <v>内部装修</v>
      </c>
      <c r="R42" s="773" t="s">
        <v>21</v>
      </c>
      <c r="S42" s="774">
        <f t="shared" si="12"/>
        <v>100</v>
      </c>
      <c r="T42" s="773" t="s">
        <v>21</v>
      </c>
      <c r="U42" s="774">
        <f t="shared" si="13"/>
        <v>100</v>
      </c>
      <c r="V42" s="773" t="s">
        <v>21</v>
      </c>
      <c r="W42" s="774">
        <f t="shared" si="14"/>
        <v>100</v>
      </c>
      <c r="X42" s="1814"/>
      <c r="Y42" s="3204"/>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2"/>
      <c r="Q43" s="1811" t="str">
        <f t="shared" si="11"/>
        <v>内部装修维护情况</v>
      </c>
      <c r="R43" s="773" t="s">
        <v>21</v>
      </c>
      <c r="S43" s="774">
        <f t="shared" si="12"/>
        <v>100</v>
      </c>
      <c r="T43" s="773" t="s">
        <v>21</v>
      </c>
      <c r="U43" s="774">
        <f t="shared" si="13"/>
        <v>100</v>
      </c>
      <c r="V43" s="773" t="s">
        <v>21</v>
      </c>
      <c r="W43" s="774">
        <f t="shared" si="14"/>
        <v>100</v>
      </c>
      <c r="X43" s="1814"/>
      <c r="Y43" s="3204"/>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2"/>
      <c r="Q44" s="1796">
        <f t="shared" si="11"/>
        <v>111</v>
      </c>
      <c r="R44" s="769" t="s">
        <v>21</v>
      </c>
      <c r="S44" s="770">
        <f t="shared" si="12"/>
        <v>100</v>
      </c>
      <c r="T44" s="769" t="s">
        <v>21</v>
      </c>
      <c r="U44" s="770">
        <f t="shared" si="13"/>
        <v>100</v>
      </c>
      <c r="V44" s="769" t="s">
        <v>21</v>
      </c>
      <c r="W44" s="770">
        <f t="shared" si="14"/>
        <v>100</v>
      </c>
      <c r="X44" s="771"/>
      <c r="Y44" s="3204"/>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2"/>
      <c r="Q45" s="1811">
        <f t="shared" si="11"/>
        <v>111</v>
      </c>
      <c r="R45" s="773" t="s">
        <v>21</v>
      </c>
      <c r="S45" s="774">
        <f t="shared" si="12"/>
        <v>100</v>
      </c>
      <c r="T45" s="773" t="s">
        <v>21</v>
      </c>
      <c r="U45" s="774">
        <f t="shared" si="13"/>
        <v>100</v>
      </c>
      <c r="V45" s="773" t="s">
        <v>21</v>
      </c>
      <c r="W45" s="774">
        <f t="shared" si="14"/>
        <v>100</v>
      </c>
      <c r="X45" s="1814"/>
      <c r="Y45" s="3204"/>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03"/>
      <c r="Q46" s="1811">
        <f t="shared" si="11"/>
        <v>111</v>
      </c>
      <c r="R46" s="773" t="s">
        <v>20</v>
      </c>
      <c r="S46" s="774">
        <f t="shared" si="12"/>
        <v>100</v>
      </c>
      <c r="T46" s="773" t="s">
        <v>20</v>
      </c>
      <c r="U46" s="774">
        <f t="shared" si="13"/>
        <v>100</v>
      </c>
      <c r="V46" s="773" t="s">
        <v>20</v>
      </c>
      <c r="W46" s="774">
        <f t="shared" si="14"/>
        <v>100</v>
      </c>
      <c r="X46" s="1814"/>
      <c r="Y46" s="3205"/>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192" t="str">
        <f>A47</f>
        <v>成交单价（元/平方米）</v>
      </c>
      <c r="Q47" s="3192"/>
      <c r="R47" s="3193">
        <f>E47</f>
        <v>0</v>
      </c>
      <c r="S47" s="3193"/>
      <c r="T47" s="3193">
        <f>G47</f>
        <v>0</v>
      </c>
      <c r="U47" s="3193"/>
      <c r="V47" s="3193">
        <f>I47</f>
        <v>0</v>
      </c>
      <c r="W47" s="3193"/>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51" t="str">
        <f>A49</f>
        <v>估价对象XX用房的比较价值（楼面单价，元/平方米）</v>
      </c>
      <c r="Q49" s="3252"/>
      <c r="R49" s="3253" t="e">
        <f>IF(F1="售价",ROUND(AVERAGE(R48:V48),0),ROUND(AVERAGE(R48:V48),1))</f>
        <v>#DIV/0!</v>
      </c>
      <c r="S49" s="3253"/>
      <c r="T49" s="3253"/>
      <c r="U49" s="3253"/>
      <c r="V49" s="3253"/>
      <c r="W49" s="32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09" t="s">
        <v>2647</v>
      </c>
      <c r="D4" s="3210"/>
      <c r="E4" s="3211" t="s">
        <v>2648</v>
      </c>
      <c r="F4" s="3212"/>
      <c r="G4" s="3209" t="s">
        <v>2649</v>
      </c>
      <c r="H4" s="3210"/>
      <c r="I4" s="3209" t="s">
        <v>2650</v>
      </c>
      <c r="J4" s="3210"/>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26" t="s">
        <v>2649</v>
      </c>
      <c r="AC4" s="3255" t="s">
        <v>2650</v>
      </c>
    </row>
    <row r="5" spans="1:29" ht="15">
      <c r="A5" s="403"/>
      <c r="B5" s="404"/>
      <c r="C5" s="3235" t="s">
        <v>2543</v>
      </c>
      <c r="D5" s="3236"/>
      <c r="E5" s="3289" t="s">
        <v>2544</v>
      </c>
      <c r="F5" s="3230"/>
      <c r="G5" s="3235" t="s">
        <v>2545</v>
      </c>
      <c r="H5" s="3236"/>
      <c r="I5" s="3235" t="s">
        <v>2546</v>
      </c>
      <c r="J5" s="3236"/>
      <c r="K5" s="609"/>
      <c r="L5" s="1132"/>
      <c r="M5" s="1133"/>
      <c r="N5" s="1133"/>
      <c r="O5" s="1133"/>
      <c r="P5" s="3262"/>
      <c r="Q5" s="3216"/>
      <c r="R5" s="3221"/>
      <c r="S5" s="3222"/>
      <c r="T5" s="3221"/>
      <c r="U5" s="3222"/>
      <c r="V5" s="3226"/>
      <c r="W5" s="3226"/>
      <c r="X5" s="1814"/>
      <c r="Y5" s="3221"/>
      <c r="Z5" s="3222"/>
      <c r="AA5" s="3240"/>
      <c r="AB5" s="3226"/>
      <c r="AC5" s="3240"/>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1814"/>
      <c r="Y6" s="3223"/>
      <c r="Z6" s="3224"/>
      <c r="AA6" s="3241"/>
      <c r="AB6" s="3226"/>
      <c r="AC6" s="3241"/>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3" t="s">
        <v>2550</v>
      </c>
      <c r="Q7" s="3234"/>
      <c r="R7" s="769" t="s">
        <v>17</v>
      </c>
      <c r="S7" s="770">
        <f t="shared" ref="S7:S15" si="0">F7</f>
        <v>0</v>
      </c>
      <c r="T7" s="769" t="s">
        <v>17</v>
      </c>
      <c r="U7" s="770">
        <f t="shared" ref="U7:U15" si="1">H7</f>
        <v>0</v>
      </c>
      <c r="V7" s="769" t="s">
        <v>17</v>
      </c>
      <c r="W7" s="770">
        <f t="shared" ref="W7:W15" si="2">J7</f>
        <v>0</v>
      </c>
      <c r="X7" s="771"/>
      <c r="Y7" s="3233" t="s">
        <v>2550</v>
      </c>
      <c r="Z7" s="3232"/>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3" t="s">
        <v>2553</v>
      </c>
      <c r="Q8" s="3232"/>
      <c r="R8" s="769" t="s">
        <v>17</v>
      </c>
      <c r="S8" s="770">
        <f t="shared" si="0"/>
        <v>0</v>
      </c>
      <c r="T8" s="769" t="s">
        <v>17</v>
      </c>
      <c r="U8" s="770">
        <f t="shared" si="1"/>
        <v>0</v>
      </c>
      <c r="V8" s="769" t="s">
        <v>17</v>
      </c>
      <c r="W8" s="770">
        <f t="shared" si="2"/>
        <v>0</v>
      </c>
      <c r="X8" s="771"/>
      <c r="Y8" s="3233" t="s">
        <v>2553</v>
      </c>
      <c r="Z8" s="3232"/>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1"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1"/>
      <c r="Q11" s="1796"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1"/>
      <c r="Q14" s="1796">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7" t="s">
        <v>2561</v>
      </c>
      <c r="Q15" s="1811" t="str">
        <f t="shared" si="6"/>
        <v>商业繁华度</v>
      </c>
      <c r="R15" s="773" t="s">
        <v>17</v>
      </c>
      <c r="S15" s="774">
        <f t="shared" si="0"/>
        <v>100</v>
      </c>
      <c r="T15" s="773" t="s">
        <v>17</v>
      </c>
      <c r="U15" s="774">
        <f t="shared" si="1"/>
        <v>100</v>
      </c>
      <c r="V15" s="773" t="s">
        <v>17</v>
      </c>
      <c r="W15" s="774">
        <f t="shared" si="2"/>
        <v>100</v>
      </c>
      <c r="X15" s="1814"/>
      <c r="Y15" s="3199"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198"/>
      <c r="Q16" s="1811"/>
      <c r="R16" s="773"/>
      <c r="S16" s="774"/>
      <c r="T16" s="773"/>
      <c r="U16" s="774"/>
      <c r="V16" s="773"/>
      <c r="W16" s="774"/>
      <c r="X16" s="1814"/>
      <c r="Y16" s="3200"/>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8"/>
      <c r="Q17" s="1811" t="str">
        <f>B17</f>
        <v>交通便捷度</v>
      </c>
      <c r="R17" s="773" t="s">
        <v>17</v>
      </c>
      <c r="S17" s="774">
        <f>F17</f>
        <v>100</v>
      </c>
      <c r="T17" s="773" t="s">
        <v>17</v>
      </c>
      <c r="U17" s="774">
        <f>H17</f>
        <v>100</v>
      </c>
      <c r="V17" s="773" t="s">
        <v>17</v>
      </c>
      <c r="W17" s="774">
        <f>J17</f>
        <v>100</v>
      </c>
      <c r="X17" s="1814"/>
      <c r="Y17" s="3200"/>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198"/>
      <c r="Q18" s="1811"/>
      <c r="R18" s="773"/>
      <c r="S18" s="774"/>
      <c r="T18" s="773"/>
      <c r="U18" s="774"/>
      <c r="V18" s="773"/>
      <c r="W18" s="774"/>
      <c r="X18" s="1814"/>
      <c r="Y18" s="3200"/>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8"/>
      <c r="Q19" s="1811" t="str">
        <f>B19</f>
        <v>公共配套设施</v>
      </c>
      <c r="R19" s="773" t="s">
        <v>17</v>
      </c>
      <c r="S19" s="774">
        <f>F19</f>
        <v>100</v>
      </c>
      <c r="T19" s="773" t="s">
        <v>17</v>
      </c>
      <c r="U19" s="774">
        <f>H19</f>
        <v>100</v>
      </c>
      <c r="V19" s="773" t="s">
        <v>17</v>
      </c>
      <c r="W19" s="774">
        <f>J19</f>
        <v>100</v>
      </c>
      <c r="X19" s="1814"/>
      <c r="Y19" s="3200"/>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198"/>
      <c r="Q20" s="1811"/>
      <c r="R20" s="773"/>
      <c r="S20" s="774"/>
      <c r="T20" s="773"/>
      <c r="U20" s="774"/>
      <c r="V20" s="773"/>
      <c r="W20" s="774"/>
      <c r="X20" s="1814"/>
      <c r="Y20" s="3200"/>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8"/>
      <c r="Q21" s="1811" t="str">
        <f>B21</f>
        <v>基础设施水平</v>
      </c>
      <c r="R21" s="773" t="s">
        <v>17</v>
      </c>
      <c r="S21" s="774">
        <f>F21</f>
        <v>100</v>
      </c>
      <c r="T21" s="773" t="s">
        <v>17</v>
      </c>
      <c r="U21" s="774">
        <f>H21</f>
        <v>100</v>
      </c>
      <c r="V21" s="773" t="s">
        <v>17</v>
      </c>
      <c r="W21" s="774">
        <f>J21</f>
        <v>100</v>
      </c>
      <c r="X21" s="1814"/>
      <c r="Y21" s="3200"/>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198"/>
      <c r="Q22" s="1811"/>
      <c r="R22" s="773"/>
      <c r="S22" s="774"/>
      <c r="T22" s="773"/>
      <c r="U22" s="774"/>
      <c r="V22" s="773"/>
      <c r="W22" s="774"/>
      <c r="X22" s="1814"/>
      <c r="Y22" s="3200"/>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8"/>
      <c r="Q23" s="1811" t="str">
        <f>B23</f>
        <v>自然及人文环境</v>
      </c>
      <c r="R23" s="773" t="s">
        <v>17</v>
      </c>
      <c r="S23" s="774">
        <f>F23</f>
        <v>100</v>
      </c>
      <c r="T23" s="773" t="s">
        <v>17</v>
      </c>
      <c r="U23" s="774">
        <f>H23</f>
        <v>100</v>
      </c>
      <c r="V23" s="773" t="s">
        <v>17</v>
      </c>
      <c r="W23" s="774">
        <f>J23</f>
        <v>100</v>
      </c>
      <c r="X23" s="1814"/>
      <c r="Y23" s="3200"/>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198"/>
      <c r="Q24" s="1811"/>
      <c r="R24" s="773"/>
      <c r="S24" s="774"/>
      <c r="T24" s="773"/>
      <c r="U24" s="774"/>
      <c r="V24" s="773"/>
      <c r="W24" s="774"/>
      <c r="X24" s="1814"/>
      <c r="Y24" s="3200"/>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8"/>
      <c r="Q25" s="1811" t="str">
        <f t="shared" ref="Q25:Q46" si="11">B25</f>
        <v>临街状况</v>
      </c>
      <c r="R25" s="773" t="s">
        <v>17</v>
      </c>
      <c r="S25" s="774">
        <f>F25</f>
        <v>100</v>
      </c>
      <c r="T25" s="773" t="s">
        <v>17</v>
      </c>
      <c r="U25" s="774">
        <f>H25</f>
        <v>100</v>
      </c>
      <c r="V25" s="773" t="s">
        <v>17</v>
      </c>
      <c r="W25" s="774">
        <f>J25</f>
        <v>100</v>
      </c>
      <c r="X25" s="1814"/>
      <c r="Y25" s="3200"/>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8"/>
      <c r="Q26" s="1811" t="str">
        <f t="shared" si="11"/>
        <v>平面位置/可视性</v>
      </c>
      <c r="R26" s="773" t="s">
        <v>17</v>
      </c>
      <c r="S26" s="774">
        <f>F26</f>
        <v>100</v>
      </c>
      <c r="T26" s="773" t="s">
        <v>17</v>
      </c>
      <c r="U26" s="774">
        <f>H26</f>
        <v>100</v>
      </c>
      <c r="V26" s="773" t="s">
        <v>17</v>
      </c>
      <c r="W26" s="774">
        <f>J26</f>
        <v>100</v>
      </c>
      <c r="X26" s="1814"/>
      <c r="Y26" s="3200"/>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198"/>
      <c r="Q27" s="1796" t="str">
        <f t="shared" si="11"/>
        <v>人流量</v>
      </c>
      <c r="R27" s="769" t="s">
        <v>17</v>
      </c>
      <c r="S27" s="770">
        <f>F27</f>
        <v>100</v>
      </c>
      <c r="T27" s="769" t="s">
        <v>17</v>
      </c>
      <c r="U27" s="770">
        <f>H27</f>
        <v>100</v>
      </c>
      <c r="V27" s="769" t="s">
        <v>17</v>
      </c>
      <c r="W27" s="770">
        <f>J27</f>
        <v>100</v>
      </c>
      <c r="X27" s="771"/>
      <c r="Y27" s="3200"/>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0"/>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8"/>
      <c r="Q29" s="1811">
        <f t="shared" si="11"/>
        <v>111</v>
      </c>
      <c r="R29" s="773" t="s">
        <v>17</v>
      </c>
      <c r="S29" s="774">
        <f t="shared" si="12"/>
        <v>100</v>
      </c>
      <c r="T29" s="773" t="s">
        <v>17</v>
      </c>
      <c r="U29" s="774">
        <f t="shared" si="13"/>
        <v>100</v>
      </c>
      <c r="V29" s="773" t="s">
        <v>17</v>
      </c>
      <c r="W29" s="774">
        <f t="shared" si="14"/>
        <v>100</v>
      </c>
      <c r="X29" s="1814"/>
      <c r="Y29" s="3200"/>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8"/>
      <c r="Q30" s="1811">
        <f t="shared" si="11"/>
        <v>111</v>
      </c>
      <c r="R30" s="773" t="s">
        <v>17</v>
      </c>
      <c r="S30" s="774">
        <f t="shared" si="12"/>
        <v>100</v>
      </c>
      <c r="T30" s="773" t="s">
        <v>17</v>
      </c>
      <c r="U30" s="774">
        <f t="shared" si="13"/>
        <v>100</v>
      </c>
      <c r="V30" s="773" t="s">
        <v>17</v>
      </c>
      <c r="W30" s="774">
        <f t="shared" si="14"/>
        <v>100</v>
      </c>
      <c r="X30" s="1814"/>
      <c r="Y30" s="3200"/>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8"/>
      <c r="Q31" s="1811">
        <f t="shared" si="11"/>
        <v>111</v>
      </c>
      <c r="R31" s="773" t="s">
        <v>17</v>
      </c>
      <c r="S31" s="774">
        <f t="shared" si="12"/>
        <v>100</v>
      </c>
      <c r="T31" s="773" t="s">
        <v>17</v>
      </c>
      <c r="U31" s="774">
        <f t="shared" si="13"/>
        <v>100</v>
      </c>
      <c r="V31" s="773" t="s">
        <v>17</v>
      </c>
      <c r="W31" s="774">
        <f t="shared" si="14"/>
        <v>100</v>
      </c>
      <c r="X31" s="1814"/>
      <c r="Y31" s="3200"/>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1" t="s">
        <v>2566</v>
      </c>
      <c r="Q32" s="1811" t="str">
        <f t="shared" si="11"/>
        <v>商业类型</v>
      </c>
      <c r="R32" s="773" t="s">
        <v>17</v>
      </c>
      <c r="S32" s="774">
        <f t="shared" si="12"/>
        <v>100</v>
      </c>
      <c r="T32" s="773" t="s">
        <v>17</v>
      </c>
      <c r="U32" s="774">
        <f t="shared" si="13"/>
        <v>100</v>
      </c>
      <c r="V32" s="773" t="s">
        <v>17</v>
      </c>
      <c r="W32" s="774">
        <f t="shared" si="14"/>
        <v>100</v>
      </c>
      <c r="X32" s="1814"/>
      <c r="Y32" s="3204"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2"/>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2"/>
      <c r="Q34" s="1811" t="str">
        <f t="shared" si="11"/>
        <v>建筑结构</v>
      </c>
      <c r="R34" s="773" t="s">
        <v>17</v>
      </c>
      <c r="S34" s="774">
        <f t="shared" si="12"/>
        <v>100</v>
      </c>
      <c r="T34" s="773" t="s">
        <v>17</v>
      </c>
      <c r="U34" s="774">
        <f t="shared" si="13"/>
        <v>100</v>
      </c>
      <c r="V34" s="773" t="s">
        <v>17</v>
      </c>
      <c r="W34" s="774">
        <f t="shared" si="14"/>
        <v>100</v>
      </c>
      <c r="X34" s="1814"/>
      <c r="Y34" s="3204"/>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2"/>
      <c r="Q35" s="1811" t="str">
        <f t="shared" si="11"/>
        <v>公共部分装修</v>
      </c>
      <c r="R35" s="773" t="s">
        <v>17</v>
      </c>
      <c r="S35" s="774">
        <f t="shared" si="12"/>
        <v>100</v>
      </c>
      <c r="T35" s="773" t="s">
        <v>17</v>
      </c>
      <c r="U35" s="774">
        <f t="shared" si="13"/>
        <v>100</v>
      </c>
      <c r="V35" s="773" t="s">
        <v>17</v>
      </c>
      <c r="W35" s="774">
        <f t="shared" si="14"/>
        <v>100</v>
      </c>
      <c r="X35" s="1814"/>
      <c r="Y35" s="3204"/>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2"/>
      <c r="Q36" s="1811" t="str">
        <f t="shared" si="11"/>
        <v>成新度</v>
      </c>
      <c r="R36" s="773" t="s">
        <v>17</v>
      </c>
      <c r="S36" s="774" t="e">
        <f t="shared" si="12"/>
        <v>#N/A</v>
      </c>
      <c r="T36" s="773" t="s">
        <v>17</v>
      </c>
      <c r="U36" s="774" t="e">
        <f t="shared" si="13"/>
        <v>#N/A</v>
      </c>
      <c r="V36" s="773" t="s">
        <v>17</v>
      </c>
      <c r="W36" s="774" t="e">
        <f t="shared" si="14"/>
        <v>#N/A</v>
      </c>
      <c r="X36" s="1814"/>
      <c r="Y36" s="3204"/>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2"/>
      <c r="Q37" s="1796" t="str">
        <f t="shared" si="11"/>
        <v>市政基础设施</v>
      </c>
      <c r="R37" s="769" t="s">
        <v>17</v>
      </c>
      <c r="S37" s="770">
        <f t="shared" si="12"/>
        <v>100</v>
      </c>
      <c r="T37" s="769" t="s">
        <v>17</v>
      </c>
      <c r="U37" s="770">
        <f t="shared" si="13"/>
        <v>100</v>
      </c>
      <c r="V37" s="769" t="s">
        <v>17</v>
      </c>
      <c r="W37" s="770">
        <f t="shared" si="14"/>
        <v>100</v>
      </c>
      <c r="X37" s="771"/>
      <c r="Y37" s="3204"/>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2" t="s">
        <v>2566</v>
      </c>
      <c r="Q38" s="1811" t="str">
        <f t="shared" si="11"/>
        <v>业态</v>
      </c>
      <c r="R38" s="773" t="s">
        <v>17</v>
      </c>
      <c r="S38" s="774">
        <f t="shared" si="12"/>
        <v>100</v>
      </c>
      <c r="T38" s="773" t="s">
        <v>17</v>
      </c>
      <c r="U38" s="774">
        <f t="shared" si="13"/>
        <v>100</v>
      </c>
      <c r="V38" s="773" t="s">
        <v>17</v>
      </c>
      <c r="W38" s="774">
        <f t="shared" si="14"/>
        <v>100</v>
      </c>
      <c r="X38" s="1814"/>
      <c r="Y38" s="3204"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2"/>
      <c r="Q39" s="1811" t="str">
        <f t="shared" si="11"/>
        <v>层高</v>
      </c>
      <c r="R39" s="773" t="s">
        <v>17</v>
      </c>
      <c r="S39" s="774">
        <f t="shared" si="12"/>
        <v>100</v>
      </c>
      <c r="T39" s="773" t="s">
        <v>17</v>
      </c>
      <c r="U39" s="774">
        <f t="shared" si="13"/>
        <v>100</v>
      </c>
      <c r="V39" s="773" t="s">
        <v>17</v>
      </c>
      <c r="W39" s="774">
        <f t="shared" si="14"/>
        <v>100</v>
      </c>
      <c r="X39" s="1814"/>
      <c r="Y39" s="3204"/>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2"/>
      <c r="Q40" s="1811" t="str">
        <f t="shared" si="11"/>
        <v>单套建筑面积</v>
      </c>
      <c r="R40" s="773" t="s">
        <v>17</v>
      </c>
      <c r="S40" s="774">
        <f t="shared" si="12"/>
        <v>100</v>
      </c>
      <c r="T40" s="773" t="s">
        <v>17</v>
      </c>
      <c r="U40" s="774">
        <f t="shared" si="13"/>
        <v>100</v>
      </c>
      <c r="V40" s="773" t="s">
        <v>17</v>
      </c>
      <c r="W40" s="774">
        <f t="shared" si="14"/>
        <v>100</v>
      </c>
      <c r="X40" s="1814"/>
      <c r="Y40" s="3204"/>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2"/>
      <c r="Q42" s="1811" t="str">
        <f t="shared" si="11"/>
        <v>内部装修</v>
      </c>
      <c r="R42" s="773" t="s">
        <v>17</v>
      </c>
      <c r="S42" s="774">
        <f t="shared" si="12"/>
        <v>100</v>
      </c>
      <c r="T42" s="773" t="s">
        <v>17</v>
      </c>
      <c r="U42" s="774">
        <f t="shared" si="13"/>
        <v>100</v>
      </c>
      <c r="V42" s="773" t="s">
        <v>17</v>
      </c>
      <c r="W42" s="774">
        <f t="shared" si="14"/>
        <v>100</v>
      </c>
      <c r="X42" s="1814"/>
      <c r="Y42" s="3204"/>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2"/>
      <c r="Q43" s="1811" t="str">
        <f t="shared" si="11"/>
        <v>内部装修维护情况</v>
      </c>
      <c r="R43" s="773" t="s">
        <v>17</v>
      </c>
      <c r="S43" s="774">
        <f t="shared" si="12"/>
        <v>100</v>
      </c>
      <c r="T43" s="773" t="s">
        <v>17</v>
      </c>
      <c r="U43" s="774">
        <f t="shared" si="13"/>
        <v>100</v>
      </c>
      <c r="V43" s="773" t="s">
        <v>17</v>
      </c>
      <c r="W43" s="774">
        <f t="shared" si="14"/>
        <v>100</v>
      </c>
      <c r="X43" s="1814"/>
      <c r="Y43" s="3204"/>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2"/>
      <c r="Q44" s="1796">
        <f t="shared" si="11"/>
        <v>111</v>
      </c>
      <c r="R44" s="769" t="s">
        <v>17</v>
      </c>
      <c r="S44" s="770">
        <f t="shared" si="12"/>
        <v>100</v>
      </c>
      <c r="T44" s="769" t="s">
        <v>17</v>
      </c>
      <c r="U44" s="770">
        <f t="shared" si="13"/>
        <v>100</v>
      </c>
      <c r="V44" s="769" t="s">
        <v>17</v>
      </c>
      <c r="W44" s="770">
        <f t="shared" si="14"/>
        <v>100</v>
      </c>
      <c r="X44" s="771"/>
      <c r="Y44" s="3204"/>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2"/>
      <c r="Q45" s="1811">
        <f t="shared" si="11"/>
        <v>111</v>
      </c>
      <c r="R45" s="773" t="s">
        <v>17</v>
      </c>
      <c r="S45" s="774">
        <f t="shared" si="12"/>
        <v>100</v>
      </c>
      <c r="T45" s="773" t="s">
        <v>17</v>
      </c>
      <c r="U45" s="774">
        <f t="shared" si="13"/>
        <v>100</v>
      </c>
      <c r="V45" s="773" t="s">
        <v>17</v>
      </c>
      <c r="W45" s="774">
        <f t="shared" si="14"/>
        <v>100</v>
      </c>
      <c r="X45" s="1814"/>
      <c r="Y45" s="3204"/>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3"/>
      <c r="Q46" s="1811">
        <f t="shared" si="11"/>
        <v>111</v>
      </c>
      <c r="R46" s="773" t="s">
        <v>17</v>
      </c>
      <c r="S46" s="774">
        <f t="shared" si="12"/>
        <v>100</v>
      </c>
      <c r="T46" s="773" t="s">
        <v>17</v>
      </c>
      <c r="U46" s="774">
        <f t="shared" si="13"/>
        <v>100</v>
      </c>
      <c r="V46" s="773" t="s">
        <v>17</v>
      </c>
      <c r="W46" s="774">
        <f t="shared" si="14"/>
        <v>100</v>
      </c>
      <c r="X46" s="1814"/>
      <c r="Y46" s="3205"/>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192" t="str">
        <f>A47</f>
        <v>成交单价（元/平方米）</v>
      </c>
      <c r="Q47" s="3192"/>
      <c r="R47" s="3226">
        <f>E47</f>
        <v>0</v>
      </c>
      <c r="S47" s="3226"/>
      <c r="T47" s="3226">
        <f>G47</f>
        <v>0</v>
      </c>
      <c r="U47" s="3226"/>
      <c r="V47" s="3226">
        <f>I47</f>
        <v>0</v>
      </c>
      <c r="W47" s="3226"/>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51" t="str">
        <f>A49</f>
        <v>估价对象XX用房的比较价值（楼面单价，元/平方米）</v>
      </c>
      <c r="Q49" s="3252"/>
      <c r="R49" s="3253" t="e">
        <f>IF(F1="售价",ROUND(AVERAGE(R48:V48),0),ROUND(AVERAGE(R48:V48),1))</f>
        <v>#DIV/0!</v>
      </c>
      <c r="S49" s="3253"/>
      <c r="T49" s="3253"/>
      <c r="U49" s="3253"/>
      <c r="V49" s="3253"/>
      <c r="W49" s="32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9" t="s">
        <v>2647</v>
      </c>
      <c r="D4" s="3210"/>
      <c r="E4" s="3211" t="s">
        <v>2648</v>
      </c>
      <c r="F4" s="3212"/>
      <c r="G4" s="3209" t="s">
        <v>2649</v>
      </c>
      <c r="H4" s="3210"/>
      <c r="I4" s="3209" t="s">
        <v>2650</v>
      </c>
      <c r="J4" s="3210"/>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40" t="s">
        <v>2649</v>
      </c>
      <c r="AC4" s="3255" t="s">
        <v>2650</v>
      </c>
    </row>
    <row r="5" spans="1:29" ht="15">
      <c r="A5" s="403"/>
      <c r="B5" s="404"/>
      <c r="C5" s="3235" t="s">
        <v>2543</v>
      </c>
      <c r="D5" s="3236"/>
      <c r="E5" s="3289" t="s">
        <v>2544</v>
      </c>
      <c r="F5" s="3230"/>
      <c r="G5" s="3235" t="s">
        <v>2545</v>
      </c>
      <c r="H5" s="3236"/>
      <c r="I5" s="3235" t="s">
        <v>2546</v>
      </c>
      <c r="J5" s="3236"/>
      <c r="K5" s="609"/>
      <c r="L5" s="1132"/>
      <c r="M5" s="1133"/>
      <c r="N5" s="1133"/>
      <c r="O5" s="1133"/>
      <c r="P5" s="3262"/>
      <c r="Q5" s="3216"/>
      <c r="R5" s="3221"/>
      <c r="S5" s="3222"/>
      <c r="T5" s="3221"/>
      <c r="U5" s="3222"/>
      <c r="V5" s="3226"/>
      <c r="W5" s="3226"/>
      <c r="X5" s="1814"/>
      <c r="Y5" s="3221"/>
      <c r="Z5" s="3222"/>
      <c r="AA5" s="3240"/>
      <c r="AB5" s="3240"/>
      <c r="AC5" s="3240"/>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1814"/>
      <c r="Y6" s="3223"/>
      <c r="Z6" s="3224"/>
      <c r="AA6" s="3241"/>
      <c r="AB6" s="3241"/>
      <c r="AC6" s="3241"/>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3" t="s">
        <v>2550</v>
      </c>
      <c r="Q7" s="3234"/>
      <c r="R7" s="769" t="s">
        <v>17</v>
      </c>
      <c r="S7" s="770">
        <f t="shared" ref="S7:S15" si="0">F7</f>
        <v>0</v>
      </c>
      <c r="T7" s="769" t="s">
        <v>17</v>
      </c>
      <c r="U7" s="770">
        <f t="shared" ref="U7:U15" si="1">H7</f>
        <v>0</v>
      </c>
      <c r="V7" s="769" t="s">
        <v>17</v>
      </c>
      <c r="W7" s="770">
        <f t="shared" ref="W7:W15" si="2">J7</f>
        <v>0</v>
      </c>
      <c r="X7" s="771"/>
      <c r="Y7" s="3233" t="s">
        <v>2550</v>
      </c>
      <c r="Z7" s="3232"/>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3" t="s">
        <v>2553</v>
      </c>
      <c r="Q8" s="3232"/>
      <c r="R8" s="769" t="s">
        <v>17</v>
      </c>
      <c r="S8" s="770">
        <f t="shared" si="0"/>
        <v>0</v>
      </c>
      <c r="T8" s="769" t="s">
        <v>17</v>
      </c>
      <c r="U8" s="770">
        <f t="shared" si="1"/>
        <v>0</v>
      </c>
      <c r="V8" s="769" t="s">
        <v>17</v>
      </c>
      <c r="W8" s="770">
        <f t="shared" si="2"/>
        <v>0</v>
      </c>
      <c r="X8" s="771"/>
      <c r="Y8" s="3233" t="s">
        <v>2553</v>
      </c>
      <c r="Z8" s="3232"/>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2"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2"/>
      <c r="Q10" s="1796"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2"/>
      <c r="Q11" s="1796"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92"/>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92"/>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92"/>
      <c r="Q14" s="1796">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9" t="s">
        <v>2561</v>
      </c>
      <c r="Q15" s="1811" t="str">
        <f t="shared" si="6"/>
        <v>产业集聚程度</v>
      </c>
      <c r="R15" s="773" t="s">
        <v>17</v>
      </c>
      <c r="S15" s="774">
        <f t="shared" si="0"/>
        <v>100</v>
      </c>
      <c r="T15" s="773" t="s">
        <v>17</v>
      </c>
      <c r="U15" s="774">
        <f t="shared" si="1"/>
        <v>100</v>
      </c>
      <c r="V15" s="773" t="s">
        <v>17</v>
      </c>
      <c r="W15" s="774">
        <f t="shared" si="2"/>
        <v>100</v>
      </c>
      <c r="X15" s="1814"/>
      <c r="Y15" s="3199"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00"/>
      <c r="Q16" s="1811"/>
      <c r="R16" s="773"/>
      <c r="S16" s="774"/>
      <c r="T16" s="773"/>
      <c r="U16" s="774"/>
      <c r="V16" s="773"/>
      <c r="W16" s="774"/>
      <c r="X16" s="1814"/>
      <c r="Y16" s="3200"/>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0"/>
      <c r="Q17" s="1811" t="str">
        <f>B17</f>
        <v>交通便捷度</v>
      </c>
      <c r="R17" s="773" t="s">
        <v>17</v>
      </c>
      <c r="S17" s="774">
        <f>F17</f>
        <v>100</v>
      </c>
      <c r="T17" s="773" t="s">
        <v>17</v>
      </c>
      <c r="U17" s="774">
        <f>H17</f>
        <v>100</v>
      </c>
      <c r="V17" s="773" t="s">
        <v>17</v>
      </c>
      <c r="W17" s="774">
        <f>J17</f>
        <v>100</v>
      </c>
      <c r="X17" s="1814"/>
      <c r="Y17" s="3200"/>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00"/>
      <c r="Q18" s="1811"/>
      <c r="R18" s="773"/>
      <c r="S18" s="774"/>
      <c r="T18" s="773"/>
      <c r="U18" s="774"/>
      <c r="V18" s="773"/>
      <c r="W18" s="774"/>
      <c r="X18" s="1814"/>
      <c r="Y18" s="3200"/>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0"/>
      <c r="Q19" s="1811" t="str">
        <f>B19</f>
        <v>公共配套设施</v>
      </c>
      <c r="R19" s="773" t="s">
        <v>17</v>
      </c>
      <c r="S19" s="774">
        <f>F19</f>
        <v>100</v>
      </c>
      <c r="T19" s="773" t="s">
        <v>17</v>
      </c>
      <c r="U19" s="774">
        <f>H19</f>
        <v>100</v>
      </c>
      <c r="V19" s="773" t="s">
        <v>17</v>
      </c>
      <c r="W19" s="774">
        <f>J19</f>
        <v>100</v>
      </c>
      <c r="X19" s="1814"/>
      <c r="Y19" s="3200"/>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00"/>
      <c r="Q20" s="1811"/>
      <c r="R20" s="773"/>
      <c r="S20" s="774"/>
      <c r="T20" s="773"/>
      <c r="U20" s="774"/>
      <c r="V20" s="773"/>
      <c r="W20" s="774"/>
      <c r="X20" s="1814"/>
      <c r="Y20" s="3200"/>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0"/>
      <c r="Q21" s="1811" t="str">
        <f>B21</f>
        <v>基础设施水平</v>
      </c>
      <c r="R21" s="773" t="s">
        <v>17</v>
      </c>
      <c r="S21" s="774">
        <f>F21</f>
        <v>100</v>
      </c>
      <c r="T21" s="773" t="s">
        <v>17</v>
      </c>
      <c r="U21" s="774">
        <f>H21</f>
        <v>100</v>
      </c>
      <c r="V21" s="773" t="s">
        <v>17</v>
      </c>
      <c r="W21" s="774">
        <f>J21</f>
        <v>100</v>
      </c>
      <c r="X21" s="1814"/>
      <c r="Y21" s="3200"/>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00"/>
      <c r="Q22" s="1811"/>
      <c r="R22" s="773"/>
      <c r="S22" s="774"/>
      <c r="T22" s="773"/>
      <c r="U22" s="774"/>
      <c r="V22" s="773"/>
      <c r="W22" s="774"/>
      <c r="X22" s="1814"/>
      <c r="Y22" s="3200"/>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0"/>
      <c r="Q23" s="1811" t="str">
        <f>B23</f>
        <v>环境质量</v>
      </c>
      <c r="R23" s="773" t="s">
        <v>17</v>
      </c>
      <c r="S23" s="774">
        <f>F23</f>
        <v>100</v>
      </c>
      <c r="T23" s="773" t="s">
        <v>17</v>
      </c>
      <c r="U23" s="774">
        <f>H23</f>
        <v>100</v>
      </c>
      <c r="V23" s="773" t="s">
        <v>17</v>
      </c>
      <c r="W23" s="774">
        <f>J23</f>
        <v>100</v>
      </c>
      <c r="X23" s="1814"/>
      <c r="Y23" s="3200"/>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00"/>
      <c r="Q24" s="1811"/>
      <c r="R24" s="773"/>
      <c r="S24" s="774"/>
      <c r="T24" s="773"/>
      <c r="U24" s="774"/>
      <c r="V24" s="773"/>
      <c r="W24" s="774"/>
      <c r="X24" s="1814"/>
      <c r="Y24" s="3200"/>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0"/>
      <c r="Q25" s="1811">
        <f>B25</f>
        <v>111</v>
      </c>
      <c r="R25" s="773" t="s">
        <v>17</v>
      </c>
      <c r="S25" s="774">
        <f>F25</f>
        <v>100</v>
      </c>
      <c r="T25" s="773" t="s">
        <v>17</v>
      </c>
      <c r="U25" s="774">
        <f>H25</f>
        <v>100</v>
      </c>
      <c r="V25" s="773" t="s">
        <v>17</v>
      </c>
      <c r="W25" s="774">
        <f>J25</f>
        <v>100</v>
      </c>
      <c r="X25" s="1814"/>
      <c r="Y25" s="3200"/>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0"/>
      <c r="Q26" s="1811">
        <f t="shared" ref="Q26:Q40" si="11">B26</f>
        <v>111</v>
      </c>
      <c r="R26" s="773" t="s">
        <v>17</v>
      </c>
      <c r="S26" s="774">
        <f>F26</f>
        <v>100</v>
      </c>
      <c r="T26" s="773" t="s">
        <v>17</v>
      </c>
      <c r="U26" s="774">
        <f>H26</f>
        <v>100</v>
      </c>
      <c r="V26" s="773" t="s">
        <v>17</v>
      </c>
      <c r="W26" s="774">
        <f>J26</f>
        <v>100</v>
      </c>
      <c r="X26" s="1814"/>
      <c r="Y26" s="3200"/>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0"/>
      <c r="Q27" s="1796">
        <f t="shared" si="11"/>
        <v>111</v>
      </c>
      <c r="R27" s="769" t="s">
        <v>17</v>
      </c>
      <c r="S27" s="770">
        <f>F27</f>
        <v>100</v>
      </c>
      <c r="T27" s="769" t="s">
        <v>17</v>
      </c>
      <c r="U27" s="770">
        <f>H27</f>
        <v>100</v>
      </c>
      <c r="V27" s="769" t="s">
        <v>17</v>
      </c>
      <c r="W27" s="770">
        <f>J27</f>
        <v>100</v>
      </c>
      <c r="X27" s="771"/>
      <c r="Y27" s="3200"/>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0"/>
      <c r="Q28" s="1811">
        <f t="shared" si="11"/>
        <v>111</v>
      </c>
      <c r="R28" s="773" t="s">
        <v>17</v>
      </c>
      <c r="S28" s="774">
        <f t="shared" ref="S28:S40" si="12">F28</f>
        <v>100</v>
      </c>
      <c r="T28" s="773" t="s">
        <v>17</v>
      </c>
      <c r="U28" s="774">
        <f t="shared" ref="U28:U40" si="13">H28</f>
        <v>100</v>
      </c>
      <c r="V28" s="773" t="s">
        <v>17</v>
      </c>
      <c r="W28" s="774">
        <f t="shared" ref="W28:W40" si="14">J28</f>
        <v>100</v>
      </c>
      <c r="X28" s="1814"/>
      <c r="Y28" s="3200"/>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54" t="s">
        <v>2566</v>
      </c>
      <c r="Q29" s="1811" t="str">
        <f t="shared" si="11"/>
        <v>建筑类型</v>
      </c>
      <c r="R29" s="773" t="s">
        <v>17</v>
      </c>
      <c r="S29" s="774">
        <f t="shared" si="12"/>
        <v>100</v>
      </c>
      <c r="T29" s="773" t="s">
        <v>17</v>
      </c>
      <c r="U29" s="774">
        <f t="shared" si="13"/>
        <v>100</v>
      </c>
      <c r="V29" s="773" t="s">
        <v>17</v>
      </c>
      <c r="W29" s="774">
        <f t="shared" si="14"/>
        <v>100</v>
      </c>
      <c r="X29" s="1814"/>
      <c r="Y29" s="3204"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4"/>
      <c r="Q31" s="1811" t="str">
        <f t="shared" si="11"/>
        <v>建筑结构</v>
      </c>
      <c r="R31" s="773" t="s">
        <v>17</v>
      </c>
      <c r="S31" s="774">
        <f t="shared" si="12"/>
        <v>100</v>
      </c>
      <c r="T31" s="773" t="s">
        <v>17</v>
      </c>
      <c r="U31" s="774">
        <f t="shared" si="13"/>
        <v>100</v>
      </c>
      <c r="V31" s="773" t="s">
        <v>17</v>
      </c>
      <c r="W31" s="774">
        <f t="shared" si="14"/>
        <v>100</v>
      </c>
      <c r="X31" s="1814"/>
      <c r="Y31" s="3204"/>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4"/>
      <c r="Q32" s="1811" t="str">
        <f t="shared" si="11"/>
        <v>公共部分装修</v>
      </c>
      <c r="R32" s="773" t="s">
        <v>17</v>
      </c>
      <c r="S32" s="774">
        <f t="shared" si="12"/>
        <v>100</v>
      </c>
      <c r="T32" s="773" t="s">
        <v>17</v>
      </c>
      <c r="U32" s="774">
        <f t="shared" si="13"/>
        <v>100</v>
      </c>
      <c r="V32" s="773" t="s">
        <v>17</v>
      </c>
      <c r="W32" s="774">
        <f t="shared" si="14"/>
        <v>100</v>
      </c>
      <c r="X32" s="1814"/>
      <c r="Y32" s="3204"/>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4"/>
      <c r="Q33" s="1811" t="str">
        <f t="shared" si="11"/>
        <v>成新度</v>
      </c>
      <c r="R33" s="773" t="s">
        <v>17</v>
      </c>
      <c r="S33" s="774" t="e">
        <f t="shared" si="12"/>
        <v>#N/A</v>
      </c>
      <c r="T33" s="773" t="s">
        <v>17</v>
      </c>
      <c r="U33" s="774" t="e">
        <f t="shared" si="13"/>
        <v>#N/A</v>
      </c>
      <c r="V33" s="773" t="s">
        <v>17</v>
      </c>
      <c r="W33" s="774" t="e">
        <f t="shared" si="14"/>
        <v>#N/A</v>
      </c>
      <c r="X33" s="1814"/>
      <c r="Y33" s="3204"/>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4"/>
      <c r="Q34" s="1796" t="str">
        <f t="shared" si="11"/>
        <v>物业管理</v>
      </c>
      <c r="R34" s="769" t="s">
        <v>17</v>
      </c>
      <c r="S34" s="770">
        <f t="shared" si="12"/>
        <v>100</v>
      </c>
      <c r="T34" s="769" t="s">
        <v>17</v>
      </c>
      <c r="U34" s="770">
        <f t="shared" si="13"/>
        <v>100</v>
      </c>
      <c r="V34" s="769" t="s">
        <v>17</v>
      </c>
      <c r="W34" s="770">
        <f t="shared" si="14"/>
        <v>100</v>
      </c>
      <c r="X34" s="771"/>
      <c r="Y34" s="3204"/>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4" t="s">
        <v>2566</v>
      </c>
      <c r="Q35" s="1811" t="str">
        <f t="shared" si="11"/>
        <v>市政基础设施</v>
      </c>
      <c r="R35" s="773" t="s">
        <v>17</v>
      </c>
      <c r="S35" s="774">
        <f t="shared" si="12"/>
        <v>100</v>
      </c>
      <c r="T35" s="773" t="s">
        <v>17</v>
      </c>
      <c r="U35" s="774">
        <f t="shared" si="13"/>
        <v>100</v>
      </c>
      <c r="V35" s="773" t="s">
        <v>17</v>
      </c>
      <c r="W35" s="774">
        <f t="shared" si="14"/>
        <v>100</v>
      </c>
      <c r="X35" s="1814"/>
      <c r="Y35" s="3204"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4"/>
      <c r="Q36" s="1811" t="str">
        <f t="shared" si="11"/>
        <v>内部装修</v>
      </c>
      <c r="R36" s="773" t="s">
        <v>17</v>
      </c>
      <c r="S36" s="774">
        <f t="shared" si="12"/>
        <v>100</v>
      </c>
      <c r="T36" s="773" t="s">
        <v>17</v>
      </c>
      <c r="U36" s="774">
        <f t="shared" si="13"/>
        <v>100</v>
      </c>
      <c r="V36" s="773" t="s">
        <v>17</v>
      </c>
      <c r="W36" s="774">
        <f t="shared" si="14"/>
        <v>100</v>
      </c>
      <c r="X36" s="1814"/>
      <c r="Y36" s="3204"/>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4"/>
      <c r="Q37" s="1811" t="str">
        <f t="shared" si="11"/>
        <v>内部装修状况</v>
      </c>
      <c r="R37" s="773" t="s">
        <v>17</v>
      </c>
      <c r="S37" s="774">
        <f t="shared" si="12"/>
        <v>100</v>
      </c>
      <c r="T37" s="773" t="s">
        <v>17</v>
      </c>
      <c r="U37" s="774">
        <f t="shared" si="13"/>
        <v>100</v>
      </c>
      <c r="V37" s="773" t="s">
        <v>17</v>
      </c>
      <c r="W37" s="774">
        <f t="shared" si="14"/>
        <v>100</v>
      </c>
      <c r="X37" s="1814"/>
      <c r="Y37" s="3204"/>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4"/>
      <c r="Q39" s="1811">
        <f t="shared" si="11"/>
        <v>111</v>
      </c>
      <c r="R39" s="773" t="s">
        <v>17</v>
      </c>
      <c r="S39" s="774">
        <f t="shared" si="12"/>
        <v>100</v>
      </c>
      <c r="T39" s="773" t="s">
        <v>17</v>
      </c>
      <c r="U39" s="774">
        <f t="shared" si="13"/>
        <v>100</v>
      </c>
      <c r="V39" s="773" t="s">
        <v>17</v>
      </c>
      <c r="W39" s="774">
        <f t="shared" si="14"/>
        <v>100</v>
      </c>
      <c r="X39" s="1814"/>
      <c r="Y39" s="3204"/>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5"/>
      <c r="Q40" s="1811">
        <f t="shared" si="11"/>
        <v>111</v>
      </c>
      <c r="R40" s="773" t="s">
        <v>17</v>
      </c>
      <c r="S40" s="774">
        <f t="shared" si="12"/>
        <v>100</v>
      </c>
      <c r="T40" s="773" t="s">
        <v>17</v>
      </c>
      <c r="U40" s="774">
        <f t="shared" si="13"/>
        <v>100</v>
      </c>
      <c r="V40" s="773" t="s">
        <v>17</v>
      </c>
      <c r="W40" s="774">
        <f t="shared" si="14"/>
        <v>100</v>
      </c>
      <c r="X40" s="1814"/>
      <c r="Y40" s="3205"/>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192" t="str">
        <f>A41</f>
        <v>成交单价（元/平方米）</v>
      </c>
      <c r="Q41" s="3192"/>
      <c r="R41" s="3193">
        <f>E41</f>
        <v>0</v>
      </c>
      <c r="S41" s="3193"/>
      <c r="T41" s="3193">
        <f>G41</f>
        <v>0</v>
      </c>
      <c r="U41" s="3193"/>
      <c r="V41" s="3193">
        <f>I41</f>
        <v>0</v>
      </c>
      <c r="W41" s="3193"/>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51" t="str">
        <f>A43</f>
        <v>估价对象XX用房的比较价值（楼面单价，元/平方米）</v>
      </c>
      <c r="Q43" s="3252"/>
      <c r="R43" s="3253" t="e">
        <f>IF(F1="售价",ROUND(AVERAGE(R42:V42),0),ROUND(AVERAGE(R42:V42),1))</f>
        <v>#DIV/0!</v>
      </c>
      <c r="S43" s="3253"/>
      <c r="T43" s="3253"/>
      <c r="U43" s="3253"/>
      <c r="V43" s="3253"/>
      <c r="W43" s="325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4" zoomScale="93" zoomScaleNormal="93" workbookViewId="0">
      <selection activeCell="J46" sqref="J4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09" t="s">
        <v>2647</v>
      </c>
      <c r="D4" s="3210"/>
      <c r="E4" s="3256" t="s">
        <v>2648</v>
      </c>
      <c r="F4" s="3257"/>
      <c r="G4" s="3258" t="s">
        <v>2649</v>
      </c>
      <c r="H4" s="3259"/>
      <c r="I4" s="3258" t="s">
        <v>2650</v>
      </c>
      <c r="J4" s="3259"/>
      <c r="K4" s="609" t="s">
        <v>2541</v>
      </c>
      <c r="L4" s="1132"/>
      <c r="M4" s="1133"/>
      <c r="N4" s="1133"/>
      <c r="O4" s="1133"/>
      <c r="P4" s="3260" t="s">
        <v>2652</v>
      </c>
      <c r="Q4" s="3261"/>
      <c r="R4" s="3264" t="s">
        <v>2648</v>
      </c>
      <c r="S4" s="3265"/>
      <c r="T4" s="3264" t="s">
        <v>2649</v>
      </c>
      <c r="U4" s="3265"/>
      <c r="V4" s="3226" t="s">
        <v>2650</v>
      </c>
      <c r="W4" s="3226"/>
      <c r="X4" s="2994"/>
      <c r="Y4" s="3264" t="s">
        <v>2652</v>
      </c>
      <c r="Z4" s="3265"/>
      <c r="AA4" s="3255" t="s">
        <v>2648</v>
      </c>
      <c r="AB4" s="3240" t="s">
        <v>2649</v>
      </c>
      <c r="AC4" s="3255" t="s">
        <v>2650</v>
      </c>
    </row>
    <row r="5" spans="1:29" ht="15">
      <c r="A5" s="403"/>
      <c r="B5" s="404"/>
      <c r="C5" s="3235" t="s">
        <v>2543</v>
      </c>
      <c r="D5" s="3236"/>
      <c r="E5" s="3229"/>
      <c r="F5" s="3230"/>
      <c r="G5" s="3266"/>
      <c r="H5" s="3236"/>
      <c r="I5" s="3266"/>
      <c r="J5" s="3236"/>
      <c r="K5" s="609"/>
      <c r="L5" s="1132"/>
      <c r="M5" s="1133"/>
      <c r="N5" s="1133"/>
      <c r="O5" s="1133"/>
      <c r="P5" s="3262"/>
      <c r="Q5" s="3216"/>
      <c r="R5" s="3221"/>
      <c r="S5" s="3222"/>
      <c r="T5" s="3221"/>
      <c r="U5" s="3222"/>
      <c r="V5" s="3226"/>
      <c r="W5" s="3226"/>
      <c r="X5" s="2994"/>
      <c r="Y5" s="3221"/>
      <c r="Z5" s="3222"/>
      <c r="AA5" s="3240"/>
      <c r="AB5" s="3240"/>
      <c r="AC5" s="3240"/>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2994"/>
      <c r="Y6" s="3223"/>
      <c r="Z6" s="3224"/>
      <c r="AA6" s="3241"/>
      <c r="AB6" s="3241"/>
      <c r="AC6" s="3241"/>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3" t="s">
        <v>2550</v>
      </c>
      <c r="Q7" s="3234"/>
      <c r="R7" s="769" t="s">
        <v>17</v>
      </c>
      <c r="S7" s="770">
        <f t="shared" ref="S7:S14" si="0">F7</f>
        <v>100</v>
      </c>
      <c r="T7" s="769" t="s">
        <v>17</v>
      </c>
      <c r="U7" s="770">
        <f t="shared" ref="U7:U14" si="1">H7</f>
        <v>100</v>
      </c>
      <c r="V7" s="769" t="s">
        <v>17</v>
      </c>
      <c r="W7" s="770">
        <f t="shared" ref="W7:W14" si="2">J7</f>
        <v>100</v>
      </c>
      <c r="X7" s="771"/>
      <c r="Y7" s="3233" t="s">
        <v>2550</v>
      </c>
      <c r="Z7" s="3232"/>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3" t="s">
        <v>2553</v>
      </c>
      <c r="Q8" s="3232"/>
      <c r="R8" s="769" t="s">
        <v>17</v>
      </c>
      <c r="S8" s="770">
        <f t="shared" si="0"/>
        <v>100</v>
      </c>
      <c r="T8" s="769" t="s">
        <v>17</v>
      </c>
      <c r="U8" s="770">
        <f t="shared" si="1"/>
        <v>100</v>
      </c>
      <c r="V8" s="769" t="s">
        <v>17</v>
      </c>
      <c r="W8" s="770">
        <f t="shared" si="2"/>
        <v>100</v>
      </c>
      <c r="X8" s="771"/>
      <c r="Y8" s="3233" t="s">
        <v>2553</v>
      </c>
      <c r="Z8" s="3232"/>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2" t="s">
        <v>2556</v>
      </c>
      <c r="Q9" s="2985" t="str">
        <f t="shared" ref="Q9:Q14" si="6">B9</f>
        <v>用途</v>
      </c>
      <c r="R9" s="769" t="s">
        <v>17</v>
      </c>
      <c r="S9" s="770">
        <f t="shared" si="0"/>
        <v>100</v>
      </c>
      <c r="T9" s="769" t="s">
        <v>17</v>
      </c>
      <c r="U9" s="770">
        <f t="shared" si="1"/>
        <v>100</v>
      </c>
      <c r="V9" s="769" t="s">
        <v>17</v>
      </c>
      <c r="W9" s="770">
        <f t="shared" si="2"/>
        <v>100</v>
      </c>
      <c r="X9" s="771"/>
      <c r="Y9" s="3046"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192"/>
      <c r="Q10" s="2985" t="str">
        <f t="shared" si="6"/>
        <v>土地使用年限（年）</v>
      </c>
      <c r="R10" s="769" t="s">
        <v>17</v>
      </c>
      <c r="S10" s="770">
        <f t="shared" si="0"/>
        <v>100</v>
      </c>
      <c r="T10" s="769" t="s">
        <v>17</v>
      </c>
      <c r="U10" s="770">
        <f t="shared" si="1"/>
        <v>100</v>
      </c>
      <c r="V10" s="769" t="s">
        <v>17</v>
      </c>
      <c r="W10" s="770">
        <f t="shared" si="2"/>
        <v>100</v>
      </c>
      <c r="X10" s="771"/>
      <c r="Y10" s="3046"/>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2"/>
      <c r="Q11" s="2985">
        <f t="shared" si="6"/>
        <v>111</v>
      </c>
      <c r="R11" s="769" t="s">
        <v>17</v>
      </c>
      <c r="S11" s="770">
        <f t="shared" si="0"/>
        <v>100</v>
      </c>
      <c r="T11" s="769" t="s">
        <v>17</v>
      </c>
      <c r="U11" s="770">
        <f t="shared" si="1"/>
        <v>100</v>
      </c>
      <c r="V11" s="769" t="s">
        <v>17</v>
      </c>
      <c r="W11" s="770">
        <f t="shared" si="2"/>
        <v>100</v>
      </c>
      <c r="X11" s="771"/>
      <c r="Y11" s="3046"/>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2"/>
      <c r="Q12" s="2985">
        <f t="shared" si="6"/>
        <v>111</v>
      </c>
      <c r="R12" s="769" t="s">
        <v>17</v>
      </c>
      <c r="S12" s="770">
        <f t="shared" si="0"/>
        <v>100</v>
      </c>
      <c r="T12" s="769" t="s">
        <v>17</v>
      </c>
      <c r="U12" s="770">
        <f t="shared" si="1"/>
        <v>100</v>
      </c>
      <c r="V12" s="769" t="s">
        <v>17</v>
      </c>
      <c r="W12" s="770">
        <f t="shared" si="2"/>
        <v>100</v>
      </c>
      <c r="X12" s="771"/>
      <c r="Y12" s="3046"/>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2"/>
      <c r="Q13" s="2985">
        <f t="shared" si="6"/>
        <v>111</v>
      </c>
      <c r="R13" s="769" t="s">
        <v>17</v>
      </c>
      <c r="S13" s="770">
        <f t="shared" si="0"/>
        <v>100</v>
      </c>
      <c r="T13" s="769" t="s">
        <v>17</v>
      </c>
      <c r="U13" s="770">
        <f t="shared" si="1"/>
        <v>100</v>
      </c>
      <c r="V13" s="769" t="s">
        <v>17</v>
      </c>
      <c r="W13" s="770">
        <f t="shared" si="2"/>
        <v>100</v>
      </c>
      <c r="X13" s="771"/>
      <c r="Y13" s="3046"/>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199" t="s">
        <v>2561</v>
      </c>
      <c r="Q14" s="2989" t="str">
        <f t="shared" si="6"/>
        <v>交通便捷度</v>
      </c>
      <c r="R14" s="773" t="s">
        <v>17</v>
      </c>
      <c r="S14" s="774">
        <f t="shared" si="0"/>
        <v>100</v>
      </c>
      <c r="T14" s="773" t="s">
        <v>17</v>
      </c>
      <c r="U14" s="774">
        <f t="shared" si="1"/>
        <v>100</v>
      </c>
      <c r="V14" s="773" t="s">
        <v>17</v>
      </c>
      <c r="W14" s="774">
        <f t="shared" si="2"/>
        <v>100</v>
      </c>
      <c r="X14" s="2994"/>
      <c r="Y14" s="3199"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00"/>
      <c r="Q15" s="2989"/>
      <c r="R15" s="773"/>
      <c r="S15" s="774"/>
      <c r="T15" s="773"/>
      <c r="U15" s="774"/>
      <c r="V15" s="773"/>
      <c r="W15" s="774"/>
      <c r="X15" s="2994"/>
      <c r="Y15" s="3200"/>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0"/>
      <c r="Q16" s="2989" t="str">
        <f>B16</f>
        <v>公共配套设施</v>
      </c>
      <c r="R16" s="773" t="s">
        <v>17</v>
      </c>
      <c r="S16" s="774">
        <f>F16</f>
        <v>100</v>
      </c>
      <c r="T16" s="773" t="s">
        <v>17</v>
      </c>
      <c r="U16" s="774">
        <f>H16</f>
        <v>100</v>
      </c>
      <c r="V16" s="773" t="s">
        <v>17</v>
      </c>
      <c r="W16" s="774">
        <f>J16</f>
        <v>100</v>
      </c>
      <c r="X16" s="2994"/>
      <c r="Y16" s="3200"/>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0"/>
      <c r="Q17" s="2989"/>
      <c r="R17" s="773"/>
      <c r="S17" s="774"/>
      <c r="T17" s="773"/>
      <c r="U17" s="774"/>
      <c r="V17" s="773"/>
      <c r="W17" s="774"/>
      <c r="X17" s="2994"/>
      <c r="Y17" s="3200"/>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0"/>
      <c r="Q18" s="2989" t="str">
        <f>B18</f>
        <v>基础设施水平</v>
      </c>
      <c r="R18" s="773" t="s">
        <v>17</v>
      </c>
      <c r="S18" s="774">
        <f>F18</f>
        <v>100</v>
      </c>
      <c r="T18" s="773" t="s">
        <v>17</v>
      </c>
      <c r="U18" s="774">
        <f>H18</f>
        <v>100</v>
      </c>
      <c r="V18" s="773" t="s">
        <v>17</v>
      </c>
      <c r="W18" s="774">
        <f>J18</f>
        <v>100</v>
      </c>
      <c r="X18" s="2994"/>
      <c r="Y18" s="3200"/>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0"/>
      <c r="Q19" s="2989"/>
      <c r="R19" s="773"/>
      <c r="S19" s="774"/>
      <c r="T19" s="773"/>
      <c r="U19" s="774"/>
      <c r="V19" s="773"/>
      <c r="W19" s="774"/>
      <c r="X19" s="2994"/>
      <c r="Y19" s="3200"/>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00"/>
      <c r="Q20" s="2989" t="str">
        <f>B20</f>
        <v>自然及人文环境</v>
      </c>
      <c r="R20" s="773" t="s">
        <v>17</v>
      </c>
      <c r="S20" s="774">
        <f>F20</f>
        <v>100</v>
      </c>
      <c r="T20" s="773" t="s">
        <v>17</v>
      </c>
      <c r="U20" s="774">
        <f>H20</f>
        <v>100</v>
      </c>
      <c r="V20" s="773" t="s">
        <v>17</v>
      </c>
      <c r="W20" s="774">
        <f>J20</f>
        <v>100</v>
      </c>
      <c r="X20" s="2994"/>
      <c r="Y20" s="3200"/>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00"/>
      <c r="Q21" s="2989"/>
      <c r="R21" s="773"/>
      <c r="S21" s="774"/>
      <c r="T21" s="773"/>
      <c r="U21" s="774"/>
      <c r="V21" s="773"/>
      <c r="W21" s="774"/>
      <c r="X21" s="2994"/>
      <c r="Y21" s="3200"/>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00"/>
      <c r="Q22" s="2989" t="str">
        <f>B22</f>
        <v>楼层</v>
      </c>
      <c r="R22" s="773" t="s">
        <v>17</v>
      </c>
      <c r="S22" s="774">
        <f>F22</f>
        <v>100</v>
      </c>
      <c r="T22" s="773" t="s">
        <v>17</v>
      </c>
      <c r="U22" s="774">
        <f>H22</f>
        <v>100</v>
      </c>
      <c r="V22" s="773" t="s">
        <v>17</v>
      </c>
      <c r="W22" s="774">
        <f>J22</f>
        <v>100</v>
      </c>
      <c r="X22" s="2994"/>
      <c r="Y22" s="3200"/>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0"/>
      <c r="Q23" s="2989">
        <f>B23</f>
        <v>111</v>
      </c>
      <c r="R23" s="773" t="s">
        <v>17</v>
      </c>
      <c r="S23" s="774">
        <f>F23</f>
        <v>100</v>
      </c>
      <c r="T23" s="773" t="s">
        <v>17</v>
      </c>
      <c r="U23" s="774">
        <f>H23</f>
        <v>100</v>
      </c>
      <c r="V23" s="773" t="s">
        <v>17</v>
      </c>
      <c r="W23" s="774">
        <f>J23</f>
        <v>100</v>
      </c>
      <c r="X23" s="2994"/>
      <c r="Y23" s="3200"/>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0"/>
      <c r="Q24" s="2989">
        <f t="shared" ref="Q24:Q36" si="11">B24</f>
        <v>111</v>
      </c>
      <c r="R24" s="773" t="s">
        <v>17</v>
      </c>
      <c r="S24" s="774">
        <f>F24</f>
        <v>100</v>
      </c>
      <c r="T24" s="773" t="s">
        <v>17</v>
      </c>
      <c r="U24" s="774">
        <f>H24</f>
        <v>100</v>
      </c>
      <c r="V24" s="773" t="s">
        <v>17</v>
      </c>
      <c r="W24" s="774">
        <f>J24</f>
        <v>100</v>
      </c>
      <c r="X24" s="2994"/>
      <c r="Y24" s="3200"/>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0"/>
      <c r="Q25" s="2985">
        <f t="shared" si="11"/>
        <v>111</v>
      </c>
      <c r="R25" s="769" t="s">
        <v>17</v>
      </c>
      <c r="S25" s="770">
        <f>F25</f>
        <v>100</v>
      </c>
      <c r="T25" s="769" t="s">
        <v>17</v>
      </c>
      <c r="U25" s="770">
        <f>H25</f>
        <v>100</v>
      </c>
      <c r="V25" s="769" t="s">
        <v>17</v>
      </c>
      <c r="W25" s="770">
        <f>J25</f>
        <v>100</v>
      </c>
      <c r="X25" s="771"/>
      <c r="Y25" s="3200"/>
      <c r="Z25" s="2986">
        <f>Q25</f>
        <v>111</v>
      </c>
      <c r="AA25" s="2990">
        <f>D25/F25</f>
        <v>1</v>
      </c>
      <c r="AB25" s="2990">
        <f>D25/H25</f>
        <v>1</v>
      </c>
      <c r="AC25" s="2990">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4" t="s">
        <v>2566</v>
      </c>
      <c r="Q26" s="2989" t="str">
        <f t="shared" si="11"/>
        <v>配套类型</v>
      </c>
      <c r="R26" s="773" t="s">
        <v>17</v>
      </c>
      <c r="S26" s="774">
        <f t="shared" ref="S26:S36" si="12">F26</f>
        <v>105</v>
      </c>
      <c r="T26" s="773" t="s">
        <v>17</v>
      </c>
      <c r="U26" s="774">
        <f t="shared" ref="U26:U36" si="13">H26</f>
        <v>105</v>
      </c>
      <c r="V26" s="773" t="s">
        <v>17</v>
      </c>
      <c r="W26" s="774">
        <f t="shared" ref="W26:W36" si="14">J26</f>
        <v>105</v>
      </c>
      <c r="X26" s="2994"/>
      <c r="Y26" s="3204" t="s">
        <v>2566</v>
      </c>
      <c r="Z26" s="2992" t="str">
        <f t="shared" ref="Z26:Z36" si="15">Q26</f>
        <v>配套类型</v>
      </c>
      <c r="AA26" s="2990">
        <f t="shared" si="3"/>
        <v>0.95238095238095233</v>
      </c>
      <c r="AB26" s="2990">
        <f t="shared" si="4"/>
        <v>0.95238095238095233</v>
      </c>
      <c r="AC26" s="2990">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4"/>
      <c r="Q28" s="2989" t="str">
        <f t="shared" si="11"/>
        <v>公共部分装修</v>
      </c>
      <c r="R28" s="773" t="s">
        <v>17</v>
      </c>
      <c r="S28" s="774">
        <f t="shared" si="12"/>
        <v>100</v>
      </c>
      <c r="T28" s="773" t="s">
        <v>17</v>
      </c>
      <c r="U28" s="774">
        <f t="shared" si="13"/>
        <v>100</v>
      </c>
      <c r="V28" s="773" t="s">
        <v>17</v>
      </c>
      <c r="W28" s="774">
        <f t="shared" si="14"/>
        <v>100</v>
      </c>
      <c r="X28" s="2994"/>
      <c r="Y28" s="3204"/>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4"/>
      <c r="Q29" s="2989" t="str">
        <f t="shared" si="11"/>
        <v>成新率</v>
      </c>
      <c r="R29" s="773" t="s">
        <v>17</v>
      </c>
      <c r="S29" s="774">
        <f t="shared" si="12"/>
        <v>100</v>
      </c>
      <c r="T29" s="773" t="s">
        <v>17</v>
      </c>
      <c r="U29" s="774">
        <f t="shared" si="13"/>
        <v>100</v>
      </c>
      <c r="V29" s="773" t="s">
        <v>17</v>
      </c>
      <c r="W29" s="774">
        <f t="shared" si="14"/>
        <v>100</v>
      </c>
      <c r="X29" s="2994"/>
      <c r="Y29" s="3204"/>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4"/>
      <c r="Q30" s="2989" t="str">
        <f t="shared" si="11"/>
        <v>物业等级</v>
      </c>
      <c r="R30" s="773" t="s">
        <v>17</v>
      </c>
      <c r="S30" s="774">
        <f t="shared" si="12"/>
        <v>100</v>
      </c>
      <c r="T30" s="773" t="s">
        <v>17</v>
      </c>
      <c r="U30" s="774">
        <f t="shared" si="13"/>
        <v>100</v>
      </c>
      <c r="V30" s="773" t="s">
        <v>17</v>
      </c>
      <c r="W30" s="774">
        <f t="shared" si="14"/>
        <v>100</v>
      </c>
      <c r="X30" s="2994"/>
      <c r="Y30" s="3204"/>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04"/>
      <c r="Q31" s="2985" t="str">
        <f t="shared" si="11"/>
        <v>停车位面积</v>
      </c>
      <c r="R31" s="769" t="s">
        <v>17</v>
      </c>
      <c r="S31" s="770">
        <f t="shared" si="12"/>
        <v>100</v>
      </c>
      <c r="T31" s="769" t="s">
        <v>17</v>
      </c>
      <c r="U31" s="770">
        <f t="shared" si="13"/>
        <v>100</v>
      </c>
      <c r="V31" s="769" t="s">
        <v>17</v>
      </c>
      <c r="W31" s="770">
        <f t="shared" si="14"/>
        <v>100</v>
      </c>
      <c r="X31" s="771"/>
      <c r="Y31" s="3204"/>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4" t="s">
        <v>2566</v>
      </c>
      <c r="Q32" s="2989" t="str">
        <f t="shared" si="11"/>
        <v>车位类型</v>
      </c>
      <c r="R32" s="773" t="s">
        <v>17</v>
      </c>
      <c r="S32" s="774">
        <f t="shared" si="12"/>
        <v>100</v>
      </c>
      <c r="T32" s="773" t="s">
        <v>17</v>
      </c>
      <c r="U32" s="774">
        <f t="shared" si="13"/>
        <v>100</v>
      </c>
      <c r="V32" s="773" t="s">
        <v>17</v>
      </c>
      <c r="W32" s="774">
        <f t="shared" si="14"/>
        <v>100</v>
      </c>
      <c r="X32" s="2994"/>
      <c r="Y32" s="3204"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4"/>
      <c r="Q33" s="2989" t="str">
        <f t="shared" si="11"/>
        <v>是否直接入户</v>
      </c>
      <c r="R33" s="773" t="s">
        <v>17</v>
      </c>
      <c r="S33" s="774">
        <f t="shared" si="12"/>
        <v>100</v>
      </c>
      <c r="T33" s="773" t="s">
        <v>17</v>
      </c>
      <c r="U33" s="774">
        <f t="shared" si="13"/>
        <v>100</v>
      </c>
      <c r="V33" s="773" t="s">
        <v>17</v>
      </c>
      <c r="W33" s="774">
        <f t="shared" si="14"/>
        <v>100</v>
      </c>
      <c r="X33" s="2994"/>
      <c r="Y33" s="3204"/>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4"/>
      <c r="Q34" s="2989">
        <f t="shared" si="11"/>
        <v>111</v>
      </c>
      <c r="R34" s="773" t="s">
        <v>17</v>
      </c>
      <c r="S34" s="774">
        <f t="shared" si="12"/>
        <v>100</v>
      </c>
      <c r="T34" s="773" t="s">
        <v>17</v>
      </c>
      <c r="U34" s="774">
        <f t="shared" si="13"/>
        <v>100</v>
      </c>
      <c r="V34" s="773" t="s">
        <v>17</v>
      </c>
      <c r="W34" s="774">
        <f t="shared" si="14"/>
        <v>100</v>
      </c>
      <c r="X34" s="2994"/>
      <c r="Y34" s="3204"/>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4"/>
      <c r="Q36" s="2989">
        <f t="shared" si="11"/>
        <v>111</v>
      </c>
      <c r="R36" s="773" t="s">
        <v>17</v>
      </c>
      <c r="S36" s="774">
        <f t="shared" si="12"/>
        <v>100</v>
      </c>
      <c r="T36" s="773" t="s">
        <v>17</v>
      </c>
      <c r="U36" s="774">
        <f t="shared" si="13"/>
        <v>100</v>
      </c>
      <c r="V36" s="773" t="s">
        <v>17</v>
      </c>
      <c r="W36" s="774">
        <f t="shared" si="14"/>
        <v>100</v>
      </c>
      <c r="X36" s="2994"/>
      <c r="Y36" s="3204"/>
      <c r="Z36" s="2992">
        <f t="shared" si="15"/>
        <v>111</v>
      </c>
      <c r="AA36" s="2990">
        <f t="shared" si="3"/>
        <v>1</v>
      </c>
      <c r="AB36" s="2990">
        <f t="shared" si="4"/>
        <v>1</v>
      </c>
      <c r="AC36" s="2990">
        <f t="shared" si="5"/>
        <v>1</v>
      </c>
    </row>
    <row r="37" spans="1:29" ht="15">
      <c r="A37" s="478" t="s">
        <v>2721</v>
      </c>
      <c r="B37" s="2699" t="s">
        <v>3146</v>
      </c>
      <c r="C37" s="1408" t="s">
        <v>1</v>
      </c>
      <c r="D37" s="1409"/>
      <c r="E37" s="1410">
        <v>1200</v>
      </c>
      <c r="F37" s="1411"/>
      <c r="G37" s="1412">
        <v>1100</v>
      </c>
      <c r="H37" s="1413"/>
      <c r="I37" s="1410">
        <v>1200</v>
      </c>
      <c r="J37" s="1413"/>
      <c r="K37" s="618"/>
      <c r="L37" s="1145"/>
      <c r="M37" s="1146"/>
      <c r="N37" s="1133"/>
      <c r="O37" s="1146"/>
      <c r="P37" s="3192" t="str">
        <f>A37</f>
        <v>成交单价</v>
      </c>
      <c r="Q37" s="3192"/>
      <c r="R37" s="3193">
        <f>E37</f>
        <v>1200</v>
      </c>
      <c r="S37" s="3193"/>
      <c r="T37" s="3193">
        <f>G37</f>
        <v>1100</v>
      </c>
      <c r="U37" s="3193"/>
      <c r="V37" s="3193">
        <f>I37</f>
        <v>1200</v>
      </c>
      <c r="W37" s="3193"/>
      <c r="X37" s="758"/>
      <c r="Y37" s="780"/>
      <c r="Z37" s="758"/>
      <c r="AA37" s="758"/>
      <c r="AB37" s="758"/>
      <c r="AC37" s="758"/>
    </row>
    <row r="38" spans="1:29" ht="15.75" thickBot="1">
      <c r="A38" s="485" t="s">
        <v>2723</v>
      </c>
      <c r="B38" s="486" t="str">
        <f>B37</f>
        <v>元/车位</v>
      </c>
      <c r="C38" s="1414">
        <f>R39</f>
        <v>1111.0999999999999</v>
      </c>
      <c r="D38" s="1415"/>
      <c r="E38" s="1416">
        <f>R38</f>
        <v>1142.9000000000001</v>
      </c>
      <c r="F38" s="1416"/>
      <c r="G38" s="1414">
        <f>T38</f>
        <v>1047.5999999999999</v>
      </c>
      <c r="H38" s="1415"/>
      <c r="I38" s="1416">
        <f>V38</f>
        <v>1142.9000000000001</v>
      </c>
      <c r="J38" s="1415"/>
      <c r="K38" s="619"/>
      <c r="L38" s="1145"/>
      <c r="M38" s="1146"/>
      <c r="N38" s="1146"/>
      <c r="O38" s="1146"/>
      <c r="P38" s="3192" t="str">
        <f>A38</f>
        <v>比较价值（元/平方米）</v>
      </c>
      <c r="Q38" s="3192"/>
      <c r="R38" s="3193">
        <f>IF(F1="售价",ROUND(PRODUCT(R37,AA7:AA36),0),ROUND(PRODUCT(R37,AA7:AA36),1))</f>
        <v>1142.9000000000001</v>
      </c>
      <c r="S38" s="3193"/>
      <c r="T38" s="3193">
        <f>IF(F1="售价",ROUND(PRODUCT(T37,AB7:AB36),0),ROUND(PRODUCT(T37,AB7:AB36),1))</f>
        <v>1047.5999999999999</v>
      </c>
      <c r="U38" s="3193"/>
      <c r="V38" s="3193">
        <f>IF(F1="售价",ROUND(PRODUCT(V37,AC7:AC36),0),ROUND(PRODUCT(V37,AC7:AC36),1))</f>
        <v>1142.9000000000001</v>
      </c>
      <c r="W38" s="3193"/>
      <c r="X38" s="758"/>
      <c r="Y38" s="758"/>
      <c r="Z38" s="758"/>
      <c r="AA38" s="758"/>
      <c r="AB38" s="758"/>
      <c r="AC38" s="758"/>
    </row>
    <row r="39" spans="1:29" ht="15.75" thickBot="1">
      <c r="A39" s="491" t="s">
        <v>2724</v>
      </c>
      <c r="B39" s="492"/>
      <c r="C39" s="1418">
        <f>R39</f>
        <v>1111.0999999999999</v>
      </c>
      <c r="D39" s="1418"/>
      <c r="E39" s="1418"/>
      <c r="F39" s="1418"/>
      <c r="G39" s="1418"/>
      <c r="H39" s="1418"/>
      <c r="I39" s="1418"/>
      <c r="J39" s="1418"/>
      <c r="K39" s="620"/>
      <c r="L39" s="1145"/>
      <c r="M39" s="1146"/>
      <c r="N39" s="1146"/>
      <c r="O39" s="1146"/>
      <c r="P39" s="3251" t="str">
        <f>A39</f>
        <v>估价对象XX用房的比较价值（楼面单价，元/平方米）</v>
      </c>
      <c r="Q39" s="3252"/>
      <c r="R39" s="3253">
        <f>IF(F1="售价",ROUND(AVERAGE(R38:V38),0),ROUND(AVERAGE(R38:V38),1))</f>
        <v>1111.0999999999999</v>
      </c>
      <c r="S39" s="3253"/>
      <c r="T39" s="3253"/>
      <c r="U39" s="3253"/>
      <c r="V39" s="3253"/>
      <c r="W39" s="325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4.996062647650712E-2</v>
      </c>
      <c r="F42" s="499" t="str">
        <f>IF(OR(E42&gt;=0.3,E42&lt;=-0.3),"超过30%","")</f>
        <v/>
      </c>
      <c r="G42" s="498">
        <f>IF(G37&lt;G38,G38/G37-1,G37/G38-1)</f>
        <v>5.0019091256204851E-2</v>
      </c>
      <c r="H42" s="499" t="str">
        <f>IF(OR(G42&gt;=0.3,G42&lt;=-0.3),"超过30%","")</f>
        <v/>
      </c>
      <c r="I42" s="498">
        <f>IF(I37&lt;I38,I38/I37-1,I37/I38-1)</f>
        <v>4.996062647650712E-2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9.0969835815196909E-2</v>
      </c>
      <c r="F43" s="499" t="str">
        <f>IF(OR(E43&gt;=0.2,E43&lt;=-0.2),"超过20%","")</f>
        <v/>
      </c>
      <c r="G43" s="498">
        <f>IF(G38&lt;I38,I38/G38-1,G38/I38-1)</f>
        <v>9.0969835815196909E-2</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9.0909090909090828E-2</v>
      </c>
      <c r="F44" s="499" t="str">
        <f>IF(OR(E44&gt;=0.3,E44&lt;=-0.3),"超过30%","")</f>
        <v/>
      </c>
      <c r="G44" s="498">
        <f>IF(G37&lt;I37,I37/G37-1,G37/I37-1)</f>
        <v>9.0909090909090828E-2</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T46" sqref="T46"/>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8" t="s">
        <v>3009</v>
      </c>
      <c r="D1" s="3249"/>
      <c r="E1" s="3249"/>
      <c r="F1" s="3249"/>
      <c r="G1" s="3249"/>
      <c r="H1" s="3249"/>
      <c r="I1" s="3249"/>
      <c r="J1" s="3249"/>
      <c r="K1" s="3249"/>
      <c r="L1" s="3249"/>
      <c r="M1" s="3249"/>
      <c r="N1" s="3249"/>
      <c r="O1" s="3249"/>
      <c r="P1" s="3249"/>
      <c r="Q1" s="3249"/>
      <c r="R1" s="3249"/>
      <c r="S1" s="3250"/>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3692</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83" t="s">
        <v>33</v>
      </c>
      <c r="D22" s="3184"/>
      <c r="E22" s="3184"/>
      <c r="F22" s="3184"/>
      <c r="G22" s="3184"/>
      <c r="H22" s="3184"/>
      <c r="I22" s="3184"/>
      <c r="J22" s="3184"/>
      <c r="K22" s="3184"/>
      <c r="L22" s="3184"/>
      <c r="M22" s="3184"/>
      <c r="N22" s="3184"/>
      <c r="O22" s="3184"/>
      <c r="P22" s="3184"/>
      <c r="Q22" s="3247"/>
      <c r="R22" s="715">
        <f ca="1">ROUND(S22*10000/B22,0)</f>
        <v>3692</v>
      </c>
      <c r="S22" s="2975">
        <f ca="1">SUM(S24:S10000)</f>
        <v>345</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'结果表-车位'!G20</f>
        <v>3615</v>
      </c>
      <c r="S24" s="718">
        <f t="shared" ref="S24:S87" ca="1" si="7">ROUND(R24*B24/10000,0)</f>
        <v>23</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3615</v>
      </c>
      <c r="S25" s="360">
        <f t="shared" ca="1" si="7"/>
        <v>23</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3615</v>
      </c>
      <c r="S26" s="360">
        <f t="shared" ca="1" si="7"/>
        <v>23</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3615</v>
      </c>
      <c r="S27" s="360">
        <f t="shared" ca="1" si="7"/>
        <v>23</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3615</v>
      </c>
      <c r="S28" s="360">
        <f t="shared" ca="1" si="7"/>
        <v>23</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3615</v>
      </c>
      <c r="S29" s="360">
        <f t="shared" ca="1" si="7"/>
        <v>23</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3615</v>
      </c>
      <c r="S30" s="360">
        <f t="shared" ca="1" si="7"/>
        <v>23</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3615</v>
      </c>
      <c r="S31" s="360">
        <f t="shared" ca="1" si="7"/>
        <v>23</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3615</v>
      </c>
      <c r="S32" s="360">
        <f t="shared" ca="1" si="7"/>
        <v>23</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3615</v>
      </c>
      <c r="S33" s="360">
        <f t="shared" ca="1" si="7"/>
        <v>23</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3615</v>
      </c>
      <c r="S34" s="360">
        <f t="shared" ca="1" si="7"/>
        <v>23</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3615</v>
      </c>
      <c r="S35" s="360">
        <f t="shared" ca="1" si="7"/>
        <v>23</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3615</v>
      </c>
      <c r="S36" s="360">
        <f t="shared" ca="1" si="7"/>
        <v>23</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3615</v>
      </c>
      <c r="S37" s="360">
        <f t="shared" ca="1" si="7"/>
        <v>23</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3615</v>
      </c>
      <c r="S38" s="360">
        <f t="shared" ca="1" si="7"/>
        <v>23</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28" sqref="M28"/>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9" t="s">
        <v>2647</v>
      </c>
      <c r="D4" s="3210"/>
      <c r="E4" s="3211" t="s">
        <v>2648</v>
      </c>
      <c r="F4" s="3212"/>
      <c r="G4" s="3209" t="s">
        <v>2649</v>
      </c>
      <c r="H4" s="3210"/>
      <c r="I4" s="3209" t="s">
        <v>2650</v>
      </c>
      <c r="J4" s="3210"/>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40" t="s">
        <v>2649</v>
      </c>
      <c r="AC4" s="3255" t="s">
        <v>2650</v>
      </c>
    </row>
    <row r="5" spans="1:29" ht="15">
      <c r="A5" s="403"/>
      <c r="B5" s="404"/>
      <c r="C5" s="3235" t="s">
        <v>2543</v>
      </c>
      <c r="D5" s="3236"/>
      <c r="E5" s="3289" t="s">
        <v>2544</v>
      </c>
      <c r="F5" s="3230"/>
      <c r="G5" s="3235" t="s">
        <v>2545</v>
      </c>
      <c r="H5" s="3236"/>
      <c r="I5" s="3235" t="s">
        <v>2546</v>
      </c>
      <c r="J5" s="3236"/>
      <c r="K5" s="609"/>
      <c r="L5" s="1132"/>
      <c r="M5" s="1133"/>
      <c r="N5" s="1133"/>
      <c r="O5" s="1133"/>
      <c r="P5" s="3262"/>
      <c r="Q5" s="3216"/>
      <c r="R5" s="3221"/>
      <c r="S5" s="3222"/>
      <c r="T5" s="3221"/>
      <c r="U5" s="3222"/>
      <c r="V5" s="3226"/>
      <c r="W5" s="3226"/>
      <c r="X5" s="1814"/>
      <c r="Y5" s="3221"/>
      <c r="Z5" s="3222"/>
      <c r="AA5" s="3240"/>
      <c r="AB5" s="3240"/>
      <c r="AC5" s="3240"/>
    </row>
    <row r="6" spans="1:29"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1814"/>
      <c r="Y6" s="3223"/>
      <c r="Z6" s="3224"/>
      <c r="AA6" s="3241"/>
      <c r="AB6" s="3241"/>
      <c r="AC6" s="3241"/>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33" t="s">
        <v>2550</v>
      </c>
      <c r="Q7" s="3234"/>
      <c r="R7" s="769" t="s">
        <v>17</v>
      </c>
      <c r="S7" s="770">
        <f t="shared" ref="S7:S14" si="0">F7</f>
        <v>0</v>
      </c>
      <c r="T7" s="769" t="s">
        <v>17</v>
      </c>
      <c r="U7" s="770">
        <f t="shared" ref="U7:U14" si="1">H7</f>
        <v>0</v>
      </c>
      <c r="V7" s="769" t="s">
        <v>17</v>
      </c>
      <c r="W7" s="770">
        <f t="shared" ref="W7:W14" si="2">J7</f>
        <v>0</v>
      </c>
      <c r="X7" s="771"/>
      <c r="Y7" s="3233" t="s">
        <v>2550</v>
      </c>
      <c r="Z7" s="3232"/>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3" t="s">
        <v>2553</v>
      </c>
      <c r="Q8" s="3232"/>
      <c r="R8" s="769" t="s">
        <v>17</v>
      </c>
      <c r="S8" s="770">
        <f t="shared" si="0"/>
        <v>0</v>
      </c>
      <c r="T8" s="769" t="s">
        <v>17</v>
      </c>
      <c r="U8" s="770">
        <f t="shared" si="1"/>
        <v>0</v>
      </c>
      <c r="V8" s="769" t="s">
        <v>17</v>
      </c>
      <c r="W8" s="770">
        <f t="shared" si="2"/>
        <v>0</v>
      </c>
      <c r="X8" s="771"/>
      <c r="Y8" s="3233" t="s">
        <v>2553</v>
      </c>
      <c r="Z8" s="3232"/>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2" t="s">
        <v>2556</v>
      </c>
      <c r="Q9" s="1796" t="str">
        <f t="shared" ref="Q9:Q14" si="6">B9</f>
        <v>用途</v>
      </c>
      <c r="R9" s="769" t="s">
        <v>17</v>
      </c>
      <c r="S9" s="770">
        <f t="shared" si="0"/>
        <v>100</v>
      </c>
      <c r="T9" s="769" t="s">
        <v>17</v>
      </c>
      <c r="U9" s="770">
        <f t="shared" si="1"/>
        <v>100</v>
      </c>
      <c r="V9" s="769" t="s">
        <v>17</v>
      </c>
      <c r="W9" s="770">
        <f t="shared" si="2"/>
        <v>100</v>
      </c>
      <c r="X9" s="771"/>
      <c r="Y9" s="3046"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2"/>
      <c r="Q10" s="1796" t="str">
        <f t="shared" si="6"/>
        <v>土地使用年限（年）</v>
      </c>
      <c r="R10" s="769" t="s">
        <v>17</v>
      </c>
      <c r="S10" s="770">
        <f t="shared" si="0"/>
        <v>100</v>
      </c>
      <c r="T10" s="769" t="s">
        <v>17</v>
      </c>
      <c r="U10" s="770">
        <f t="shared" si="1"/>
        <v>100</v>
      </c>
      <c r="V10" s="769" t="s">
        <v>17</v>
      </c>
      <c r="W10" s="770">
        <f t="shared" si="2"/>
        <v>100</v>
      </c>
      <c r="X10" s="771"/>
      <c r="Y10" s="3046"/>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2"/>
      <c r="Q11" s="1796">
        <f t="shared" si="6"/>
        <v>111</v>
      </c>
      <c r="R11" s="769" t="s">
        <v>17</v>
      </c>
      <c r="S11" s="770">
        <f t="shared" si="0"/>
        <v>100</v>
      </c>
      <c r="T11" s="769" t="s">
        <v>17</v>
      </c>
      <c r="U11" s="770">
        <f t="shared" si="1"/>
        <v>100</v>
      </c>
      <c r="V11" s="769" t="s">
        <v>17</v>
      </c>
      <c r="W11" s="770">
        <f t="shared" si="2"/>
        <v>100</v>
      </c>
      <c r="X11" s="771"/>
      <c r="Y11" s="3046"/>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2"/>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92"/>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9" t="s">
        <v>2561</v>
      </c>
      <c r="Q14" s="1811" t="str">
        <f t="shared" si="6"/>
        <v>交通便捷度</v>
      </c>
      <c r="R14" s="773" t="s">
        <v>17</v>
      </c>
      <c r="S14" s="774">
        <f t="shared" si="0"/>
        <v>100</v>
      </c>
      <c r="T14" s="773" t="s">
        <v>17</v>
      </c>
      <c r="U14" s="774">
        <f t="shared" si="1"/>
        <v>100</v>
      </c>
      <c r="V14" s="773" t="s">
        <v>17</v>
      </c>
      <c r="W14" s="774">
        <f t="shared" si="2"/>
        <v>100</v>
      </c>
      <c r="X14" s="1814"/>
      <c r="Y14" s="3199"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00"/>
      <c r="Q15" s="1811"/>
      <c r="R15" s="773"/>
      <c r="S15" s="774"/>
      <c r="T15" s="773"/>
      <c r="U15" s="774"/>
      <c r="V15" s="773"/>
      <c r="W15" s="774"/>
      <c r="X15" s="1814"/>
      <c r="Y15" s="3200"/>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0"/>
      <c r="Q16" s="1811" t="str">
        <f>B16</f>
        <v>公共配套设施</v>
      </c>
      <c r="R16" s="773" t="s">
        <v>17</v>
      </c>
      <c r="S16" s="774">
        <f>F16</f>
        <v>100</v>
      </c>
      <c r="T16" s="773" t="s">
        <v>17</v>
      </c>
      <c r="U16" s="774">
        <f>H16</f>
        <v>100</v>
      </c>
      <c r="V16" s="773" t="s">
        <v>17</v>
      </c>
      <c r="W16" s="774">
        <f>J16</f>
        <v>100</v>
      </c>
      <c r="X16" s="1814"/>
      <c r="Y16" s="3200"/>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00"/>
      <c r="Q17" s="1811"/>
      <c r="R17" s="773"/>
      <c r="S17" s="774"/>
      <c r="T17" s="773"/>
      <c r="U17" s="774"/>
      <c r="V17" s="773"/>
      <c r="W17" s="774"/>
      <c r="X17" s="1814"/>
      <c r="Y17" s="3200"/>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0"/>
      <c r="Q18" s="1811" t="str">
        <f>B18</f>
        <v>基础设施水平</v>
      </c>
      <c r="R18" s="773" t="s">
        <v>17</v>
      </c>
      <c r="S18" s="774">
        <f>F18</f>
        <v>100</v>
      </c>
      <c r="T18" s="773" t="s">
        <v>17</v>
      </c>
      <c r="U18" s="774">
        <f>H18</f>
        <v>100</v>
      </c>
      <c r="V18" s="773" t="s">
        <v>17</v>
      </c>
      <c r="W18" s="774">
        <f>J18</f>
        <v>100</v>
      </c>
      <c r="X18" s="1814"/>
      <c r="Y18" s="3200"/>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00"/>
      <c r="Q19" s="1811"/>
      <c r="R19" s="773"/>
      <c r="S19" s="774"/>
      <c r="T19" s="773"/>
      <c r="U19" s="774"/>
      <c r="V19" s="773"/>
      <c r="W19" s="774"/>
      <c r="X19" s="1814"/>
      <c r="Y19" s="3200"/>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0"/>
      <c r="Q20" s="1811" t="str">
        <f>B20</f>
        <v>自然及人文环境</v>
      </c>
      <c r="R20" s="773" t="s">
        <v>17</v>
      </c>
      <c r="S20" s="774">
        <f>F20</f>
        <v>100</v>
      </c>
      <c r="T20" s="773" t="s">
        <v>17</v>
      </c>
      <c r="U20" s="774">
        <f>H20</f>
        <v>100</v>
      </c>
      <c r="V20" s="773" t="s">
        <v>17</v>
      </c>
      <c r="W20" s="774">
        <f>J20</f>
        <v>100</v>
      </c>
      <c r="X20" s="1814"/>
      <c r="Y20" s="3200"/>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00"/>
      <c r="Q21" s="1811"/>
      <c r="R21" s="773"/>
      <c r="S21" s="774"/>
      <c r="T21" s="773"/>
      <c r="U21" s="774"/>
      <c r="V21" s="773"/>
      <c r="W21" s="774"/>
      <c r="X21" s="1814"/>
      <c r="Y21" s="3200"/>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0"/>
      <c r="Q22" s="1811" t="str">
        <f>B22</f>
        <v>楼层</v>
      </c>
      <c r="R22" s="773" t="s">
        <v>17</v>
      </c>
      <c r="S22" s="774">
        <f>F22</f>
        <v>100</v>
      </c>
      <c r="T22" s="773" t="s">
        <v>17</v>
      </c>
      <c r="U22" s="774">
        <f>H22</f>
        <v>100</v>
      </c>
      <c r="V22" s="773" t="s">
        <v>17</v>
      </c>
      <c r="W22" s="774">
        <f>J22</f>
        <v>100</v>
      </c>
      <c r="X22" s="1814"/>
      <c r="Y22" s="3200"/>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0"/>
      <c r="Q23" s="1811">
        <f>B23</f>
        <v>111</v>
      </c>
      <c r="R23" s="773" t="s">
        <v>17</v>
      </c>
      <c r="S23" s="774">
        <f>F23</f>
        <v>100</v>
      </c>
      <c r="T23" s="773" t="s">
        <v>17</v>
      </c>
      <c r="U23" s="774">
        <f>H23</f>
        <v>100</v>
      </c>
      <c r="V23" s="773" t="s">
        <v>17</v>
      </c>
      <c r="W23" s="774">
        <f>J23</f>
        <v>100</v>
      </c>
      <c r="X23" s="1814"/>
      <c r="Y23" s="3200"/>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0"/>
      <c r="Q24" s="1811">
        <f t="shared" ref="Q24:Q34" si="11">B24</f>
        <v>111</v>
      </c>
      <c r="R24" s="773" t="s">
        <v>17</v>
      </c>
      <c r="S24" s="774">
        <f>F24</f>
        <v>100</v>
      </c>
      <c r="T24" s="773" t="s">
        <v>17</v>
      </c>
      <c r="U24" s="774">
        <f>H24</f>
        <v>100</v>
      </c>
      <c r="V24" s="773" t="s">
        <v>17</v>
      </c>
      <c r="W24" s="774">
        <f>J24</f>
        <v>100</v>
      </c>
      <c r="X24" s="1814"/>
      <c r="Y24" s="3200"/>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0"/>
      <c r="Q25" s="1796">
        <f t="shared" si="11"/>
        <v>111</v>
      </c>
      <c r="R25" s="769" t="s">
        <v>17</v>
      </c>
      <c r="S25" s="770">
        <f>F25</f>
        <v>100</v>
      </c>
      <c r="T25" s="769" t="s">
        <v>17</v>
      </c>
      <c r="U25" s="770">
        <f>H25</f>
        <v>100</v>
      </c>
      <c r="V25" s="769" t="s">
        <v>17</v>
      </c>
      <c r="W25" s="770">
        <f>J25</f>
        <v>100</v>
      </c>
      <c r="X25" s="771"/>
      <c r="Y25" s="3200"/>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54"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4"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4"/>
      <c r="Q28" s="1811" t="str">
        <f t="shared" si="11"/>
        <v>物业等级</v>
      </c>
      <c r="R28" s="773" t="s">
        <v>17</v>
      </c>
      <c r="S28" s="774">
        <f t="shared" si="12"/>
        <v>100</v>
      </c>
      <c r="T28" s="773" t="s">
        <v>17</v>
      </c>
      <c r="U28" s="774">
        <f t="shared" si="13"/>
        <v>100</v>
      </c>
      <c r="V28" s="773" t="s">
        <v>17</v>
      </c>
      <c r="W28" s="774">
        <f t="shared" si="14"/>
        <v>100</v>
      </c>
      <c r="X28" s="1814"/>
      <c r="Y28" s="3204"/>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4"/>
      <c r="Q29" s="1811" t="str">
        <f t="shared" si="11"/>
        <v>有无电梯</v>
      </c>
      <c r="R29" s="773" t="s">
        <v>17</v>
      </c>
      <c r="S29" s="774">
        <f t="shared" si="12"/>
        <v>100</v>
      </c>
      <c r="T29" s="773" t="s">
        <v>17</v>
      </c>
      <c r="U29" s="774">
        <f t="shared" si="13"/>
        <v>100</v>
      </c>
      <c r="V29" s="773" t="s">
        <v>17</v>
      </c>
      <c r="W29" s="774">
        <f t="shared" si="14"/>
        <v>100</v>
      </c>
      <c r="X29" s="1814"/>
      <c r="Y29" s="3204"/>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4"/>
      <c r="Q30" s="1811" t="str">
        <f t="shared" si="11"/>
        <v>建筑面积</v>
      </c>
      <c r="R30" s="773" t="s">
        <v>17</v>
      </c>
      <c r="S30" s="774" t="e">
        <f t="shared" si="12"/>
        <v>#N/A</v>
      </c>
      <c r="T30" s="773" t="s">
        <v>17</v>
      </c>
      <c r="U30" s="774" t="e">
        <f t="shared" si="13"/>
        <v>#N/A</v>
      </c>
      <c r="V30" s="773" t="s">
        <v>17</v>
      </c>
      <c r="W30" s="774" t="e">
        <f t="shared" si="14"/>
        <v>#N/A</v>
      </c>
      <c r="X30" s="1814"/>
      <c r="Y30" s="3204"/>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4"/>
      <c r="Q31" s="1796" t="str">
        <f t="shared" si="11"/>
        <v>是否封闭</v>
      </c>
      <c r="R31" s="769" t="s">
        <v>17</v>
      </c>
      <c r="S31" s="770">
        <f t="shared" si="12"/>
        <v>100</v>
      </c>
      <c r="T31" s="769" t="s">
        <v>17</v>
      </c>
      <c r="U31" s="770">
        <f t="shared" si="13"/>
        <v>100</v>
      </c>
      <c r="V31" s="769" t="s">
        <v>17</v>
      </c>
      <c r="W31" s="770">
        <f t="shared" si="14"/>
        <v>100</v>
      </c>
      <c r="X31" s="771"/>
      <c r="Y31" s="3204"/>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4" t="s">
        <v>2566</v>
      </c>
      <c r="Q32" s="1811">
        <f t="shared" si="11"/>
        <v>111</v>
      </c>
      <c r="R32" s="773" t="s">
        <v>17</v>
      </c>
      <c r="S32" s="774">
        <f t="shared" si="12"/>
        <v>100</v>
      </c>
      <c r="T32" s="773" t="s">
        <v>17</v>
      </c>
      <c r="U32" s="774">
        <f t="shared" si="13"/>
        <v>100</v>
      </c>
      <c r="V32" s="773" t="s">
        <v>17</v>
      </c>
      <c r="W32" s="774">
        <f t="shared" si="14"/>
        <v>100</v>
      </c>
      <c r="X32" s="1814"/>
      <c r="Y32" s="3204"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4"/>
      <c r="Q33" s="1811">
        <f t="shared" si="11"/>
        <v>111</v>
      </c>
      <c r="R33" s="773" t="s">
        <v>17</v>
      </c>
      <c r="S33" s="774">
        <f t="shared" si="12"/>
        <v>100</v>
      </c>
      <c r="T33" s="773" t="s">
        <v>17</v>
      </c>
      <c r="U33" s="774">
        <f t="shared" si="13"/>
        <v>100</v>
      </c>
      <c r="V33" s="773" t="s">
        <v>17</v>
      </c>
      <c r="W33" s="774">
        <f t="shared" si="14"/>
        <v>100</v>
      </c>
      <c r="X33" s="1814"/>
      <c r="Y33" s="3204"/>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4"/>
      <c r="Q34" s="1811">
        <f t="shared" si="11"/>
        <v>111</v>
      </c>
      <c r="R34" s="773" t="s">
        <v>17</v>
      </c>
      <c r="S34" s="774">
        <f t="shared" si="12"/>
        <v>100</v>
      </c>
      <c r="T34" s="773" t="s">
        <v>17</v>
      </c>
      <c r="U34" s="774">
        <f t="shared" si="13"/>
        <v>100</v>
      </c>
      <c r="V34" s="773" t="s">
        <v>17</v>
      </c>
      <c r="W34" s="774">
        <f t="shared" si="14"/>
        <v>100</v>
      </c>
      <c r="X34" s="1814"/>
      <c r="Y34" s="3204"/>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192" t="str">
        <f>A35</f>
        <v>成交单价（元/平方米）</v>
      </c>
      <c r="Q35" s="3192"/>
      <c r="R35" s="3193">
        <f>E35</f>
        <v>0</v>
      </c>
      <c r="S35" s="3193"/>
      <c r="T35" s="3193">
        <f>G35</f>
        <v>0</v>
      </c>
      <c r="U35" s="3193"/>
      <c r="V35" s="3193">
        <f>I35</f>
        <v>0</v>
      </c>
      <c r="W35" s="3193"/>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51" t="str">
        <f>A37</f>
        <v>估价对象XX用房的比较价值（楼面单价，元/平方米）</v>
      </c>
      <c r="Q37" s="3252"/>
      <c r="R37" s="3253" t="e">
        <f>IF(F1="售价",ROUND(AVERAGE(R36:V36),0),ROUND(AVERAGE(R36:V36),1))</f>
        <v>#DIV/0!</v>
      </c>
      <c r="S37" s="3253"/>
      <c r="T37" s="3253"/>
      <c r="U37" s="3253"/>
      <c r="V37" s="3253"/>
      <c r="W37" s="325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2"/>
      <c r="B4" s="3006" t="s">
        <v>1628</v>
      </c>
      <c r="C4" s="3006"/>
      <c r="D4" s="3006"/>
      <c r="E4" s="1962"/>
    </row>
    <row r="5" spans="1:5" ht="16.5" thickTop="1">
      <c r="A5" s="1960"/>
      <c r="B5" s="3004" t="s">
        <v>1620</v>
      </c>
      <c r="C5" s="1963" t="s">
        <v>1621</v>
      </c>
      <c r="D5" s="1042">
        <f ca="1">'结果表-办公'!H101</f>
        <v>679</v>
      </c>
      <c r="E5" s="1960"/>
    </row>
    <row r="6" spans="1:5" ht="15.75">
      <c r="A6" s="1960"/>
      <c r="B6" s="3004"/>
      <c r="C6" s="1963" t="s">
        <v>1622</v>
      </c>
      <c r="D6" s="1042" t="str">
        <f ca="1">NUMBERSTRING(INT(D5*10000),2)&amp;"元整"</f>
        <v>陆佰柒拾玖万元整</v>
      </c>
      <c r="E6" s="1960"/>
    </row>
    <row r="7" spans="1:5" ht="15.75">
      <c r="A7" s="1960"/>
      <c r="B7" s="3009"/>
      <c r="C7" s="1964" t="s">
        <v>1623</v>
      </c>
      <c r="D7" s="1043">
        <f ca="1">'结果表-办公'!H102</f>
        <v>32611</v>
      </c>
      <c r="E7" s="1960"/>
    </row>
    <row r="8" spans="1:5" ht="15.75">
      <c r="A8" s="1960"/>
      <c r="B8" s="3010" t="str">
        <f>'结果表-办公'!E103</f>
        <v>2.估价师知悉的法定优先受偿款</v>
      </c>
      <c r="C8" s="1965" t="s">
        <v>1624</v>
      </c>
      <c r="D8" s="1043">
        <f>'结果表-办公'!H103</f>
        <v>0</v>
      </c>
      <c r="E8" s="1960"/>
    </row>
    <row r="9" spans="1:5" ht="15.75">
      <c r="A9" s="1960"/>
      <c r="B9" s="3012"/>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3" t="str">
        <f>'结果表-办公'!E107</f>
        <v>3.房地产抵押价值</v>
      </c>
      <c r="C13" s="1968" t="s">
        <v>1621</v>
      </c>
      <c r="D13" s="1045">
        <f ca="1">'结果表-办公'!H107</f>
        <v>679</v>
      </c>
      <c r="E13" s="1960"/>
    </row>
    <row r="14" spans="1:5" ht="15.75">
      <c r="A14" s="1960"/>
      <c r="B14" s="3004"/>
      <c r="C14" s="1963" t="s">
        <v>1622</v>
      </c>
      <c r="D14" s="1042" t="str">
        <f ca="1">NUMBERSTRING(INT(D13*10000),2)&amp;"元整"</f>
        <v>陆佰柒拾玖万元整</v>
      </c>
      <c r="E14" s="1960"/>
    </row>
    <row r="15" spans="1:5" ht="15">
      <c r="A15" s="1960"/>
      <c r="B15" s="3009"/>
      <c r="C15" s="1964" t="s">
        <v>1632</v>
      </c>
      <c r="D15" s="1054">
        <f ca="1">'结果表-办公'!H108</f>
        <v>25101</v>
      </c>
      <c r="E15" s="1960"/>
    </row>
    <row r="16" spans="1:5" ht="15">
      <c r="A16" s="1960"/>
      <c r="B16" s="3010" t="str">
        <f>'结果表-办公'!E109</f>
        <v>——</v>
      </c>
      <c r="C16" s="1968" t="s">
        <v>1633</v>
      </c>
      <c r="D16" s="1969" t="str">
        <f>'结果表-办公'!H109</f>
        <v>——</v>
      </c>
      <c r="E16" s="1960"/>
    </row>
    <row r="17" spans="1:5" ht="15.75">
      <c r="A17" s="1960"/>
      <c r="B17" s="3011"/>
      <c r="C17" s="1963" t="s">
        <v>1634</v>
      </c>
      <c r="D17" s="1042" t="e">
        <f>NUMBERSTRING(INT(D16*10000),2)&amp;"元整"</f>
        <v>#VALUE!</v>
      </c>
      <c r="E17" s="1960"/>
    </row>
    <row r="18" spans="1:5" ht="15">
      <c r="A18" s="1960"/>
      <c r="B18" s="3012"/>
      <c r="C18" s="1964" t="s">
        <v>1623</v>
      </c>
      <c r="D18" s="1054" t="str">
        <f>'结果表-办公'!H110</f>
        <v>——</v>
      </c>
      <c r="E18" s="1960"/>
    </row>
    <row r="19" spans="1:5" ht="15.75">
      <c r="A19" s="1960"/>
      <c r="B19" s="3003" t="str">
        <f>'结果表-办公'!E111</f>
        <v>——</v>
      </c>
      <c r="C19" s="1968" t="s">
        <v>1621</v>
      </c>
      <c r="D19" s="1043" t="str">
        <f>'结果表-办公'!H111</f>
        <v>——</v>
      </c>
      <c r="E19" s="1960"/>
    </row>
    <row r="20" spans="1:5" ht="15.75">
      <c r="A20" s="1960"/>
      <c r="B20" s="3004"/>
      <c r="C20" s="1963" t="s">
        <v>1634</v>
      </c>
      <c r="D20" s="1042" t="e">
        <f>NUMBERSTRING(INT(D19*10000),2)&amp;"元整"</f>
        <v>#VALUE!</v>
      </c>
      <c r="E20" s="1960"/>
    </row>
    <row r="21" spans="1:5" ht="15.75" thickBot="1">
      <c r="A21" s="1960"/>
      <c r="B21" s="3005"/>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9" t="s">
        <v>2647</v>
      </c>
      <c r="D4" s="3210"/>
      <c r="E4" s="3211" t="s">
        <v>2648</v>
      </c>
      <c r="F4" s="3212"/>
      <c r="G4" s="3209" t="s">
        <v>2649</v>
      </c>
      <c r="H4" s="3210"/>
      <c r="I4" s="3209" t="s">
        <v>2650</v>
      </c>
      <c r="J4" s="3210"/>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40" t="s">
        <v>2649</v>
      </c>
      <c r="AC4" s="3255" t="s">
        <v>2650</v>
      </c>
    </row>
    <row r="5" spans="1:30" ht="15">
      <c r="A5" s="403"/>
      <c r="B5" s="404"/>
      <c r="C5" s="3235" t="s">
        <v>2543</v>
      </c>
      <c r="D5" s="3236"/>
      <c r="E5" s="3289" t="s">
        <v>2544</v>
      </c>
      <c r="F5" s="3230"/>
      <c r="G5" s="3235" t="s">
        <v>2545</v>
      </c>
      <c r="H5" s="3236"/>
      <c r="I5" s="3235" t="s">
        <v>2546</v>
      </c>
      <c r="J5" s="3236"/>
      <c r="K5" s="609"/>
      <c r="L5" s="1132"/>
      <c r="M5" s="1133"/>
      <c r="N5" s="1133"/>
      <c r="O5" s="1133"/>
      <c r="P5" s="3262"/>
      <c r="Q5" s="3216"/>
      <c r="R5" s="3221"/>
      <c r="S5" s="3222"/>
      <c r="T5" s="3221"/>
      <c r="U5" s="3222"/>
      <c r="V5" s="3226"/>
      <c r="W5" s="3226"/>
      <c r="X5" s="1814"/>
      <c r="Y5" s="3221"/>
      <c r="Z5" s="3222"/>
      <c r="AA5" s="3240"/>
      <c r="AB5" s="3240"/>
      <c r="AC5" s="3240"/>
    </row>
    <row r="6" spans="1:30" ht="15.75" thickBot="1">
      <c r="A6" s="405"/>
      <c r="B6" s="406"/>
      <c r="C6" s="3227" t="s">
        <v>2547</v>
      </c>
      <c r="D6" s="3228"/>
      <c r="E6" s="3237" t="s">
        <v>2547</v>
      </c>
      <c r="F6" s="3238"/>
      <c r="G6" s="3227" t="s">
        <v>2547</v>
      </c>
      <c r="H6" s="3228"/>
      <c r="I6" s="3227" t="s">
        <v>2547</v>
      </c>
      <c r="J6" s="3228"/>
      <c r="K6" s="609" t="s">
        <v>2548</v>
      </c>
      <c r="L6" s="1132"/>
      <c r="M6" s="1133"/>
      <c r="N6" s="1133"/>
      <c r="O6" s="1133"/>
      <c r="P6" s="3263"/>
      <c r="Q6" s="3218"/>
      <c r="R6" s="3221"/>
      <c r="S6" s="3222"/>
      <c r="T6" s="3223"/>
      <c r="U6" s="3224"/>
      <c r="V6" s="3226"/>
      <c r="W6" s="3226"/>
      <c r="X6" s="1814"/>
      <c r="Y6" s="3223"/>
      <c r="Z6" s="3224"/>
      <c r="AA6" s="3241"/>
      <c r="AB6" s="3241"/>
      <c r="AC6" s="3241"/>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33" t="s">
        <v>2550</v>
      </c>
      <c r="Q7" s="3234"/>
      <c r="R7" s="769" t="s">
        <v>17</v>
      </c>
      <c r="S7" s="770">
        <f t="shared" ref="S7:S15" si="0">F7</f>
        <v>0</v>
      </c>
      <c r="T7" s="769" t="s">
        <v>17</v>
      </c>
      <c r="U7" s="770">
        <f t="shared" ref="U7:U15" si="1">H7</f>
        <v>0</v>
      </c>
      <c r="V7" s="769" t="s">
        <v>17</v>
      </c>
      <c r="W7" s="770">
        <f t="shared" ref="W7:W15" si="2">J7</f>
        <v>0</v>
      </c>
      <c r="X7" s="771"/>
      <c r="Y7" s="3233" t="s">
        <v>2550</v>
      </c>
      <c r="Z7" s="3232"/>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3" t="s">
        <v>2553</v>
      </c>
      <c r="Q8" s="3232"/>
      <c r="R8" s="769" t="s">
        <v>17</v>
      </c>
      <c r="S8" s="770">
        <f t="shared" si="0"/>
        <v>0</v>
      </c>
      <c r="T8" s="769" t="s">
        <v>17</v>
      </c>
      <c r="U8" s="770">
        <f t="shared" si="1"/>
        <v>0</v>
      </c>
      <c r="V8" s="769" t="s">
        <v>17</v>
      </c>
      <c r="W8" s="770">
        <f t="shared" si="2"/>
        <v>0</v>
      </c>
      <c r="X8" s="771"/>
      <c r="Y8" s="3233" t="s">
        <v>2553</v>
      </c>
      <c r="Z8" s="3232"/>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92"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192"/>
      <c r="Q10" s="1796" t="str">
        <f t="shared" si="6"/>
        <v>土地使用年限（年）</v>
      </c>
      <c r="R10" s="769" t="s">
        <v>17</v>
      </c>
      <c r="S10" s="770">
        <f t="shared" si="0"/>
        <v>130</v>
      </c>
      <c r="T10" s="769" t="s">
        <v>17</v>
      </c>
      <c r="U10" s="770">
        <f t="shared" si="1"/>
        <v>130</v>
      </c>
      <c r="V10" s="769" t="s">
        <v>17</v>
      </c>
      <c r="W10" s="770">
        <f t="shared" si="2"/>
        <v>130</v>
      </c>
      <c r="X10" s="771"/>
      <c r="Y10" s="3046"/>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92"/>
      <c r="Q11" s="1796"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2"/>
      <c r="Q12" s="1796" t="str">
        <f t="shared" si="6"/>
        <v>配建</v>
      </c>
      <c r="R12" s="769" t="s">
        <v>17</v>
      </c>
      <c r="S12" s="770">
        <f t="shared" si="0"/>
        <v>100</v>
      </c>
      <c r="T12" s="769" t="s">
        <v>17</v>
      </c>
      <c r="U12" s="770">
        <f t="shared" si="1"/>
        <v>100</v>
      </c>
      <c r="V12" s="769" t="s">
        <v>17</v>
      </c>
      <c r="W12" s="770">
        <f t="shared" si="2"/>
        <v>100</v>
      </c>
      <c r="X12" s="771"/>
      <c r="Y12" s="3046"/>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2"/>
      <c r="Q13" s="1796">
        <f t="shared" si="6"/>
        <v>111</v>
      </c>
      <c r="R13" s="769" t="s">
        <v>17</v>
      </c>
      <c r="S13" s="770">
        <f t="shared" si="0"/>
        <v>100</v>
      </c>
      <c r="T13" s="769" t="s">
        <v>17</v>
      </c>
      <c r="U13" s="770">
        <f t="shared" si="1"/>
        <v>100</v>
      </c>
      <c r="V13" s="769" t="s">
        <v>17</v>
      </c>
      <c r="W13" s="770">
        <f t="shared" si="2"/>
        <v>100</v>
      </c>
      <c r="X13" s="771"/>
      <c r="Y13" s="3046"/>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2"/>
      <c r="Q14" s="1796">
        <f t="shared" si="6"/>
        <v>111</v>
      </c>
      <c r="R14" s="769" t="s">
        <v>17</v>
      </c>
      <c r="S14" s="770">
        <f t="shared" si="0"/>
        <v>100</v>
      </c>
      <c r="T14" s="769" t="s">
        <v>17</v>
      </c>
      <c r="U14" s="770">
        <f t="shared" si="1"/>
        <v>100</v>
      </c>
      <c r="V14" s="769" t="s">
        <v>17</v>
      </c>
      <c r="W14" s="770">
        <f t="shared" si="2"/>
        <v>100</v>
      </c>
      <c r="X14" s="771"/>
      <c r="Y14" s="3046"/>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9" t="s">
        <v>2561</v>
      </c>
      <c r="Q15" s="1811" t="str">
        <f t="shared" si="6"/>
        <v>居住社区成熟度</v>
      </c>
      <c r="R15" s="773" t="s">
        <v>17</v>
      </c>
      <c r="S15" s="774">
        <f t="shared" si="0"/>
        <v>100</v>
      </c>
      <c r="T15" s="773" t="s">
        <v>17</v>
      </c>
      <c r="U15" s="774">
        <f t="shared" si="1"/>
        <v>100</v>
      </c>
      <c r="V15" s="773" t="s">
        <v>17</v>
      </c>
      <c r="W15" s="774">
        <f t="shared" si="2"/>
        <v>100</v>
      </c>
      <c r="X15" s="1814"/>
      <c r="Y15" s="3199"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00"/>
      <c r="Q16" s="1811"/>
      <c r="R16" s="773"/>
      <c r="S16" s="774"/>
      <c r="T16" s="773"/>
      <c r="U16" s="774"/>
      <c r="V16" s="773"/>
      <c r="W16" s="774"/>
      <c r="X16" s="1814"/>
      <c r="Y16" s="3200"/>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0"/>
      <c r="Q17" s="1811" t="str">
        <f>B17</f>
        <v>商业繁华度</v>
      </c>
      <c r="R17" s="773" t="s">
        <v>17</v>
      </c>
      <c r="S17" s="774">
        <f>F17</f>
        <v>100</v>
      </c>
      <c r="T17" s="773" t="s">
        <v>17</v>
      </c>
      <c r="U17" s="774">
        <f>H17</f>
        <v>100</v>
      </c>
      <c r="V17" s="773" t="s">
        <v>17</v>
      </c>
      <c r="W17" s="774">
        <f>J17</f>
        <v>100</v>
      </c>
      <c r="X17" s="1814"/>
      <c r="Y17" s="3200"/>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00"/>
      <c r="Q18" s="1811"/>
      <c r="R18" s="773"/>
      <c r="S18" s="774"/>
      <c r="T18" s="773"/>
      <c r="U18" s="774"/>
      <c r="V18" s="773"/>
      <c r="W18" s="774"/>
      <c r="X18" s="1814"/>
      <c r="Y18" s="3200"/>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0"/>
      <c r="Q19" s="1811" t="str">
        <f>B19</f>
        <v>办公集聚程度</v>
      </c>
      <c r="R19" s="773" t="s">
        <v>17</v>
      </c>
      <c r="S19" s="774">
        <f>F19</f>
        <v>100</v>
      </c>
      <c r="T19" s="773" t="s">
        <v>17</v>
      </c>
      <c r="U19" s="774">
        <f>H19</f>
        <v>100</v>
      </c>
      <c r="V19" s="773" t="s">
        <v>17</v>
      </c>
      <c r="W19" s="774">
        <f>J19</f>
        <v>100</v>
      </c>
      <c r="X19" s="1814"/>
      <c r="Y19" s="3200"/>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00"/>
      <c r="Q20" s="1811"/>
      <c r="R20" s="773"/>
      <c r="S20" s="774"/>
      <c r="T20" s="773"/>
      <c r="U20" s="774"/>
      <c r="V20" s="773"/>
      <c r="W20" s="774"/>
      <c r="X20" s="1814"/>
      <c r="Y20" s="3200"/>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0"/>
      <c r="Q21" s="1811" t="str">
        <f>B21</f>
        <v>交通便捷度</v>
      </c>
      <c r="R21" s="773" t="s">
        <v>17</v>
      </c>
      <c r="S21" s="774">
        <f>F21</f>
        <v>100</v>
      </c>
      <c r="T21" s="773" t="s">
        <v>17</v>
      </c>
      <c r="U21" s="774">
        <f>H21</f>
        <v>100</v>
      </c>
      <c r="V21" s="773" t="s">
        <v>17</v>
      </c>
      <c r="W21" s="774">
        <f>J21</f>
        <v>100</v>
      </c>
      <c r="X21" s="1814"/>
      <c r="Y21" s="3200"/>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00"/>
      <c r="Q22" s="1811"/>
      <c r="R22" s="773"/>
      <c r="S22" s="774"/>
      <c r="T22" s="773"/>
      <c r="U22" s="774"/>
      <c r="V22" s="773"/>
      <c r="W22" s="774"/>
      <c r="X22" s="1814"/>
      <c r="Y22" s="3200"/>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0"/>
      <c r="Q23" s="1811" t="str">
        <f t="shared" ref="Q23:Q37" si="8">B23</f>
        <v>区域土地利用方向</v>
      </c>
      <c r="R23" s="773" t="s">
        <v>17</v>
      </c>
      <c r="S23" s="774">
        <f>F23</f>
        <v>100</v>
      </c>
      <c r="T23" s="773" t="s">
        <v>17</v>
      </c>
      <c r="U23" s="774">
        <f>H23</f>
        <v>100</v>
      </c>
      <c r="V23" s="773" t="s">
        <v>17</v>
      </c>
      <c r="W23" s="774">
        <f>J23</f>
        <v>100</v>
      </c>
      <c r="X23" s="1814"/>
      <c r="Y23" s="3200"/>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00"/>
      <c r="Q24" s="1811"/>
      <c r="R24" s="773"/>
      <c r="S24" s="774"/>
      <c r="T24" s="773"/>
      <c r="U24" s="774"/>
      <c r="V24" s="773"/>
      <c r="W24" s="774"/>
      <c r="X24" s="1814"/>
      <c r="Y24" s="3200"/>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0"/>
      <c r="Q25" s="1811" t="str">
        <f t="shared" si="8"/>
        <v>自然及人文环境状况</v>
      </c>
      <c r="R25" s="773" t="s">
        <v>17</v>
      </c>
      <c r="S25" s="774">
        <f>F25</f>
        <v>100</v>
      </c>
      <c r="T25" s="773" t="s">
        <v>17</v>
      </c>
      <c r="U25" s="774">
        <f>H25</f>
        <v>100</v>
      </c>
      <c r="V25" s="773" t="s">
        <v>17</v>
      </c>
      <c r="W25" s="774">
        <f>J25</f>
        <v>100</v>
      </c>
      <c r="X25" s="1814"/>
      <c r="Y25" s="3200"/>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00"/>
      <c r="Q26" s="1811"/>
      <c r="R26" s="773"/>
      <c r="S26" s="774"/>
      <c r="T26" s="773"/>
      <c r="U26" s="774"/>
      <c r="V26" s="773"/>
      <c r="W26" s="774"/>
      <c r="X26" s="1814"/>
      <c r="Y26" s="3200"/>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0"/>
      <c r="Q27" s="1796" t="str">
        <f t="shared" si="8"/>
        <v>公共配套设施</v>
      </c>
      <c r="R27" s="769" t="s">
        <v>17</v>
      </c>
      <c r="S27" s="770">
        <f>F27</f>
        <v>100</v>
      </c>
      <c r="T27" s="769" t="s">
        <v>17</v>
      </c>
      <c r="U27" s="770">
        <f>H27</f>
        <v>100</v>
      </c>
      <c r="V27" s="769" t="s">
        <v>17</v>
      </c>
      <c r="W27" s="770">
        <f>J27</f>
        <v>100</v>
      </c>
      <c r="X27" s="771"/>
      <c r="Y27" s="3200"/>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00"/>
      <c r="Q28" s="1796"/>
      <c r="R28" s="769"/>
      <c r="S28" s="770"/>
      <c r="T28" s="769"/>
      <c r="U28" s="770"/>
      <c r="V28" s="769"/>
      <c r="W28" s="770"/>
      <c r="X28" s="771"/>
      <c r="Y28" s="3200"/>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0"/>
      <c r="Q29" s="1796" t="str">
        <f t="shared" ref="Q29" si="9">B29</f>
        <v>基础设施水平</v>
      </c>
      <c r="R29" s="769" t="s">
        <v>17</v>
      </c>
      <c r="S29" s="770">
        <f>F29</f>
        <v>100</v>
      </c>
      <c r="T29" s="769" t="s">
        <v>17</v>
      </c>
      <c r="U29" s="770">
        <f>H29</f>
        <v>100</v>
      </c>
      <c r="V29" s="769" t="s">
        <v>17</v>
      </c>
      <c r="W29" s="770">
        <f>J29</f>
        <v>100</v>
      </c>
      <c r="X29" s="771"/>
      <c r="Y29" s="3200"/>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00"/>
      <c r="Q30" s="1796"/>
      <c r="R30" s="769"/>
      <c r="S30" s="770"/>
      <c r="T30" s="769"/>
      <c r="U30" s="770"/>
      <c r="V30" s="769"/>
      <c r="W30" s="770"/>
      <c r="X30" s="771"/>
      <c r="Y30" s="3200"/>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0"/>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0"/>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0"/>
      <c r="Q32" s="1811" t="str">
        <f t="shared" si="8"/>
        <v>毗邻道路的类型与等级</v>
      </c>
      <c r="R32" s="773" t="s">
        <v>17</v>
      </c>
      <c r="S32" s="774">
        <f t="shared" si="10"/>
        <v>100</v>
      </c>
      <c r="T32" s="773" t="s">
        <v>17</v>
      </c>
      <c r="U32" s="774">
        <f t="shared" si="11"/>
        <v>100</v>
      </c>
      <c r="V32" s="773" t="s">
        <v>17</v>
      </c>
      <c r="W32" s="774">
        <f t="shared" si="12"/>
        <v>100</v>
      </c>
      <c r="X32" s="1814"/>
      <c r="Y32" s="3200"/>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00"/>
      <c r="Q33" s="1811"/>
      <c r="R33" s="773"/>
      <c r="S33" s="774"/>
      <c r="T33" s="773"/>
      <c r="U33" s="774"/>
      <c r="V33" s="773"/>
      <c r="W33" s="774"/>
      <c r="X33" s="1814"/>
      <c r="Y33" s="3200"/>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0"/>
      <c r="Q34" s="1811" t="str">
        <f t="shared" si="8"/>
        <v>土地级别</v>
      </c>
      <c r="R34" s="773" t="s">
        <v>17</v>
      </c>
      <c r="S34" s="774">
        <f t="shared" si="10"/>
        <v>100</v>
      </c>
      <c r="T34" s="773" t="s">
        <v>17</v>
      </c>
      <c r="U34" s="774">
        <f t="shared" si="11"/>
        <v>100</v>
      </c>
      <c r="V34" s="773" t="s">
        <v>17</v>
      </c>
      <c r="W34" s="774">
        <f t="shared" si="12"/>
        <v>100</v>
      </c>
      <c r="X34" s="1814"/>
      <c r="Y34" s="3200"/>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0"/>
      <c r="Q35" s="1811">
        <f t="shared" si="8"/>
        <v>111</v>
      </c>
      <c r="R35" s="773" t="s">
        <v>17</v>
      </c>
      <c r="S35" s="774">
        <f t="shared" si="10"/>
        <v>100</v>
      </c>
      <c r="T35" s="773" t="s">
        <v>17</v>
      </c>
      <c r="U35" s="774">
        <f t="shared" si="11"/>
        <v>100</v>
      </c>
      <c r="V35" s="773" t="s">
        <v>17</v>
      </c>
      <c r="W35" s="774">
        <f t="shared" si="12"/>
        <v>100</v>
      </c>
      <c r="X35" s="1814"/>
      <c r="Y35" s="3200"/>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4" t="s">
        <v>2566</v>
      </c>
      <c r="Q36" s="1811">
        <f t="shared" si="8"/>
        <v>111</v>
      </c>
      <c r="R36" s="773" t="s">
        <v>17</v>
      </c>
      <c r="S36" s="774">
        <f t="shared" si="10"/>
        <v>100</v>
      </c>
      <c r="T36" s="773" t="s">
        <v>17</v>
      </c>
      <c r="U36" s="774">
        <f t="shared" si="11"/>
        <v>100</v>
      </c>
      <c r="V36" s="773" t="s">
        <v>17</v>
      </c>
      <c r="W36" s="774">
        <f t="shared" si="12"/>
        <v>100</v>
      </c>
      <c r="X36" s="1814"/>
      <c r="Y36" s="3204"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4"/>
      <c r="Q37" s="1811">
        <f t="shared" si="8"/>
        <v>111</v>
      </c>
      <c r="R37" s="776" t="s">
        <v>17</v>
      </c>
      <c r="S37" s="777">
        <f t="shared" si="10"/>
        <v>100</v>
      </c>
      <c r="T37" s="776" t="s">
        <v>17</v>
      </c>
      <c r="U37" s="777">
        <f t="shared" si="11"/>
        <v>100</v>
      </c>
      <c r="V37" s="776" t="s">
        <v>17</v>
      </c>
      <c r="W37" s="777">
        <f t="shared" si="12"/>
        <v>100</v>
      </c>
      <c r="X37" s="778"/>
      <c r="Y37" s="3204"/>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4"/>
      <c r="Q38" s="1811" t="str">
        <f>B38</f>
        <v>宗地面积</v>
      </c>
      <c r="R38" s="773" t="s">
        <v>17</v>
      </c>
      <c r="S38" s="774" t="e">
        <f t="shared" si="10"/>
        <v>#N/A</v>
      </c>
      <c r="T38" s="773" t="s">
        <v>17</v>
      </c>
      <c r="U38" s="774" t="e">
        <f t="shared" si="11"/>
        <v>#N/A</v>
      </c>
      <c r="V38" s="773" t="s">
        <v>17</v>
      </c>
      <c r="W38" s="774" t="e">
        <f t="shared" si="12"/>
        <v>#N/A</v>
      </c>
      <c r="X38" s="1814"/>
      <c r="Y38" s="3204"/>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04"/>
      <c r="Q39" s="1811" t="str">
        <f t="shared" ref="Q39:Q45" si="14">B39</f>
        <v>宗地形状</v>
      </c>
      <c r="R39" s="773" t="s">
        <v>17</v>
      </c>
      <c r="S39" s="774">
        <f t="shared" si="10"/>
        <v>100</v>
      </c>
      <c r="T39" s="773" t="s">
        <v>17</v>
      </c>
      <c r="U39" s="774">
        <f t="shared" si="11"/>
        <v>100</v>
      </c>
      <c r="V39" s="773" t="s">
        <v>17</v>
      </c>
      <c r="W39" s="774">
        <f t="shared" si="12"/>
        <v>100</v>
      </c>
      <c r="X39" s="1814"/>
      <c r="Y39" s="3204"/>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04"/>
      <c r="Q40" s="1811" t="str">
        <f t="shared" si="14"/>
        <v>临街宽度及深度</v>
      </c>
      <c r="R40" s="773" t="s">
        <v>17</v>
      </c>
      <c r="S40" s="774">
        <f t="shared" si="10"/>
        <v>100</v>
      </c>
      <c r="T40" s="773" t="s">
        <v>17</v>
      </c>
      <c r="U40" s="774">
        <f t="shared" si="11"/>
        <v>100</v>
      </c>
      <c r="V40" s="773" t="s">
        <v>17</v>
      </c>
      <c r="W40" s="774">
        <f t="shared" si="12"/>
        <v>100</v>
      </c>
      <c r="X40" s="1814"/>
      <c r="Y40" s="3204"/>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04"/>
      <c r="Q41" s="1811" t="str">
        <f t="shared" si="14"/>
        <v>宗地开发程度</v>
      </c>
      <c r="R41" s="769" t="s">
        <v>17</v>
      </c>
      <c r="S41" s="770">
        <f t="shared" si="10"/>
        <v>100</v>
      </c>
      <c r="T41" s="769" t="s">
        <v>17</v>
      </c>
      <c r="U41" s="770">
        <f t="shared" si="11"/>
        <v>100</v>
      </c>
      <c r="V41" s="769" t="s">
        <v>17</v>
      </c>
      <c r="W41" s="770">
        <f t="shared" si="12"/>
        <v>100</v>
      </c>
      <c r="X41" s="771"/>
      <c r="Y41" s="3204"/>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04" t="s">
        <v>2566</v>
      </c>
      <c r="Q42" s="1811" t="str">
        <f t="shared" si="14"/>
        <v>工程地质条件</v>
      </c>
      <c r="R42" s="773" t="s">
        <v>17</v>
      </c>
      <c r="S42" s="774">
        <f t="shared" si="10"/>
        <v>100</v>
      </c>
      <c r="T42" s="773" t="s">
        <v>17</v>
      </c>
      <c r="U42" s="774">
        <f t="shared" si="11"/>
        <v>100</v>
      </c>
      <c r="V42" s="773" t="s">
        <v>17</v>
      </c>
      <c r="W42" s="774">
        <f t="shared" si="12"/>
        <v>100</v>
      </c>
      <c r="X42" s="1814"/>
      <c r="Y42" s="3204"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4"/>
      <c r="Q43" s="1811">
        <f t="shared" si="14"/>
        <v>111</v>
      </c>
      <c r="R43" s="773" t="s">
        <v>17</v>
      </c>
      <c r="S43" s="774">
        <f t="shared" si="10"/>
        <v>100</v>
      </c>
      <c r="T43" s="773" t="s">
        <v>17</v>
      </c>
      <c r="U43" s="774">
        <f t="shared" si="11"/>
        <v>100</v>
      </c>
      <c r="V43" s="773" t="s">
        <v>17</v>
      </c>
      <c r="W43" s="774">
        <f t="shared" si="12"/>
        <v>100</v>
      </c>
      <c r="X43" s="1814"/>
      <c r="Y43" s="3204"/>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4"/>
      <c r="Q44" s="1811">
        <f t="shared" si="14"/>
        <v>111</v>
      </c>
      <c r="R44" s="773" t="s">
        <v>17</v>
      </c>
      <c r="S44" s="774">
        <f t="shared" si="10"/>
        <v>100</v>
      </c>
      <c r="T44" s="773" t="s">
        <v>17</v>
      </c>
      <c r="U44" s="774">
        <f t="shared" si="11"/>
        <v>100</v>
      </c>
      <c r="V44" s="773" t="s">
        <v>17</v>
      </c>
      <c r="W44" s="774">
        <f t="shared" si="12"/>
        <v>100</v>
      </c>
      <c r="X44" s="1814"/>
      <c r="Y44" s="3204"/>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4"/>
      <c r="Q45" s="1811">
        <f t="shared" si="14"/>
        <v>111</v>
      </c>
      <c r="R45" s="776" t="s">
        <v>17</v>
      </c>
      <c r="S45" s="777">
        <f t="shared" si="10"/>
        <v>100</v>
      </c>
      <c r="T45" s="776" t="s">
        <v>17</v>
      </c>
      <c r="U45" s="777">
        <f t="shared" si="11"/>
        <v>100</v>
      </c>
      <c r="V45" s="776" t="s">
        <v>17</v>
      </c>
      <c r="W45" s="777">
        <f t="shared" si="12"/>
        <v>100</v>
      </c>
      <c r="X45" s="778"/>
      <c r="Y45" s="3204"/>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192" t="str">
        <f>A46</f>
        <v>成交单价</v>
      </c>
      <c r="Q46" s="3192"/>
      <c r="R46" s="3226">
        <f>E46</f>
        <v>0</v>
      </c>
      <c r="S46" s="3226"/>
      <c r="T46" s="3226">
        <f>G46</f>
        <v>0</v>
      </c>
      <c r="U46" s="3226"/>
      <c r="V46" s="3226">
        <f>I46</f>
        <v>0</v>
      </c>
      <c r="W46" s="3226"/>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92" t="str">
        <f>A47</f>
        <v>比较价值（元/平方米）</v>
      </c>
      <c r="Q47" s="3192"/>
      <c r="R47" s="3290" t="e">
        <f>ROUND(PRODUCT(R46,AA7:AA45),0)</f>
        <v>#DIV/0!</v>
      </c>
      <c r="S47" s="3290"/>
      <c r="T47" s="3290" t="e">
        <f>ROUND(PRODUCT(T46,AB7:AB45),0)</f>
        <v>#DIV/0!</v>
      </c>
      <c r="U47" s="3290"/>
      <c r="V47" s="3290" t="e">
        <f>ROUND(PRODUCT(V46,AC7:AC45),0)</f>
        <v>#DIV/0!</v>
      </c>
      <c r="W47" s="3290"/>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51" t="str">
        <f>A48</f>
        <v>估价对象XX用房的比较价值（楼面单价，元/平方米）</v>
      </c>
      <c r="Q48" s="3252"/>
      <c r="R48" s="3291" t="e">
        <f>ROUND(AVERAGE(R47:V47),0)</f>
        <v>#DIV/0!</v>
      </c>
      <c r="S48" s="3291"/>
      <c r="T48" s="3291"/>
      <c r="U48" s="3291"/>
      <c r="V48" s="3291"/>
      <c r="W48" s="329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09" t="s">
        <v>2765</v>
      </c>
      <c r="H55" s="3292"/>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191"/>
      <c r="H56" s="3192"/>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3"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3"/>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3"/>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3"/>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9" t="s">
        <v>2647</v>
      </c>
      <c r="D4" s="3210"/>
      <c r="E4" s="3211" t="s">
        <v>2648</v>
      </c>
      <c r="F4" s="3212"/>
      <c r="G4" s="3209" t="s">
        <v>2649</v>
      </c>
      <c r="H4" s="3210"/>
      <c r="I4" s="3209" t="s">
        <v>2650</v>
      </c>
      <c r="J4" s="3210"/>
      <c r="K4" s="609" t="s">
        <v>2651</v>
      </c>
      <c r="L4" s="1132"/>
      <c r="M4" s="1133"/>
      <c r="N4" s="1133"/>
      <c r="O4" s="1133"/>
      <c r="P4" s="3260" t="s">
        <v>2652</v>
      </c>
      <c r="Q4" s="3261"/>
      <c r="R4" s="3264" t="s">
        <v>2648</v>
      </c>
      <c r="S4" s="3265"/>
      <c r="T4" s="3264" t="s">
        <v>2649</v>
      </c>
      <c r="U4" s="3265"/>
      <c r="V4" s="3226" t="s">
        <v>2650</v>
      </c>
      <c r="W4" s="3226"/>
      <c r="X4" s="1814"/>
      <c r="Y4" s="3264" t="s">
        <v>2652</v>
      </c>
      <c r="Z4" s="3265"/>
      <c r="AA4" s="3255" t="s">
        <v>2648</v>
      </c>
      <c r="AB4" s="3240" t="s">
        <v>2649</v>
      </c>
      <c r="AC4" s="3255" t="s">
        <v>2650</v>
      </c>
    </row>
    <row r="5" spans="1:29" ht="15">
      <c r="A5" s="403"/>
      <c r="B5" s="404"/>
      <c r="C5" s="3235" t="s">
        <v>2543</v>
      </c>
      <c r="D5" s="3236"/>
      <c r="E5" s="3289" t="s">
        <v>2544</v>
      </c>
      <c r="F5" s="3230"/>
      <c r="G5" s="3235" t="s">
        <v>2545</v>
      </c>
      <c r="H5" s="3236"/>
      <c r="I5" s="3235" t="s">
        <v>2546</v>
      </c>
      <c r="J5" s="3236"/>
      <c r="K5" s="609"/>
      <c r="L5" s="1132"/>
      <c r="M5" s="1133"/>
      <c r="N5" s="1133"/>
      <c r="O5" s="1133"/>
      <c r="P5" s="3262"/>
      <c r="Q5" s="3216"/>
      <c r="R5" s="3221"/>
      <c r="S5" s="3222"/>
      <c r="T5" s="3221"/>
      <c r="U5" s="3222"/>
      <c r="V5" s="3226"/>
      <c r="W5" s="3226"/>
      <c r="X5" s="1814"/>
      <c r="Y5" s="3221"/>
      <c r="Z5" s="3222"/>
      <c r="AA5" s="3240"/>
      <c r="AB5" s="3240"/>
      <c r="AC5" s="3240"/>
    </row>
    <row r="6" spans="1:29" ht="15.75" thickBot="1">
      <c r="A6" s="405"/>
      <c r="B6" s="406"/>
      <c r="C6" s="3294" t="s">
        <v>2798</v>
      </c>
      <c r="D6" s="3295"/>
      <c r="E6" s="3296" t="s">
        <v>2798</v>
      </c>
      <c r="F6" s="3297"/>
      <c r="G6" s="3294" t="s">
        <v>2798</v>
      </c>
      <c r="H6" s="3295"/>
      <c r="I6" s="3294" t="s">
        <v>2798</v>
      </c>
      <c r="J6" s="3295"/>
      <c r="K6" s="609" t="s">
        <v>2548</v>
      </c>
      <c r="L6" s="1132"/>
      <c r="M6" s="1133"/>
      <c r="N6" s="1133"/>
      <c r="O6" s="1133"/>
      <c r="P6" s="3263"/>
      <c r="Q6" s="3218"/>
      <c r="R6" s="3221"/>
      <c r="S6" s="3222"/>
      <c r="T6" s="3223"/>
      <c r="U6" s="3224"/>
      <c r="V6" s="3226"/>
      <c r="W6" s="3226"/>
      <c r="X6" s="1814"/>
      <c r="Y6" s="3223"/>
      <c r="Z6" s="3224"/>
      <c r="AA6" s="3241"/>
      <c r="AB6" s="3241"/>
      <c r="AC6" s="3241"/>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33" t="s">
        <v>2550</v>
      </c>
      <c r="Q7" s="3234"/>
      <c r="R7" s="769" t="s">
        <v>17</v>
      </c>
      <c r="S7" s="770">
        <f t="shared" ref="S7:S15" si="0">F7</f>
        <v>0</v>
      </c>
      <c r="T7" s="769" t="s">
        <v>17</v>
      </c>
      <c r="U7" s="770">
        <f t="shared" ref="U7:U15" si="1">H7</f>
        <v>0</v>
      </c>
      <c r="V7" s="769" t="s">
        <v>17</v>
      </c>
      <c r="W7" s="770">
        <f t="shared" ref="W7:W15" si="2">J7</f>
        <v>0</v>
      </c>
      <c r="X7" s="771"/>
      <c r="Y7" s="3233" t="s">
        <v>2550</v>
      </c>
      <c r="Z7" s="3232"/>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3" t="s">
        <v>2553</v>
      </c>
      <c r="Q8" s="3232"/>
      <c r="R8" s="769" t="s">
        <v>17</v>
      </c>
      <c r="S8" s="770">
        <f t="shared" si="0"/>
        <v>0</v>
      </c>
      <c r="T8" s="769" t="s">
        <v>17</v>
      </c>
      <c r="U8" s="770">
        <f t="shared" si="1"/>
        <v>0</v>
      </c>
      <c r="V8" s="769" t="s">
        <v>17</v>
      </c>
      <c r="W8" s="770">
        <f t="shared" si="2"/>
        <v>0</v>
      </c>
      <c r="X8" s="771"/>
      <c r="Y8" s="3233" t="s">
        <v>2553</v>
      </c>
      <c r="Z8" s="3232"/>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92" t="s">
        <v>2556</v>
      </c>
      <c r="Q9" s="1796" t="str">
        <f t="shared" ref="Q9:Q15" si="6">B9</f>
        <v>用途</v>
      </c>
      <c r="R9" s="769" t="s">
        <v>17</v>
      </c>
      <c r="S9" s="770">
        <f t="shared" si="0"/>
        <v>100</v>
      </c>
      <c r="T9" s="769" t="s">
        <v>17</v>
      </c>
      <c r="U9" s="770">
        <f t="shared" si="1"/>
        <v>100</v>
      </c>
      <c r="V9" s="769" t="s">
        <v>17</v>
      </c>
      <c r="W9" s="770">
        <f t="shared" si="2"/>
        <v>100</v>
      </c>
      <c r="X9" s="771"/>
      <c r="Y9" s="3046"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192"/>
      <c r="Q10" s="1796" t="str">
        <f t="shared" si="6"/>
        <v>土地使用年限（年）</v>
      </c>
      <c r="R10" s="769" t="s">
        <v>17</v>
      </c>
      <c r="S10" s="770">
        <f t="shared" si="0"/>
        <v>130</v>
      </c>
      <c r="T10" s="769" t="s">
        <v>17</v>
      </c>
      <c r="U10" s="770">
        <f t="shared" si="1"/>
        <v>130</v>
      </c>
      <c r="V10" s="769" t="s">
        <v>17</v>
      </c>
      <c r="W10" s="770">
        <f t="shared" si="2"/>
        <v>130</v>
      </c>
      <c r="X10" s="771"/>
      <c r="Y10" s="3046"/>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2"/>
      <c r="Q11" s="1796" t="str">
        <f t="shared" si="6"/>
        <v>容积率</v>
      </c>
      <c r="R11" s="769" t="s">
        <v>17</v>
      </c>
      <c r="S11" s="770" t="e">
        <f t="shared" si="0"/>
        <v>#N/A</v>
      </c>
      <c r="T11" s="769" t="s">
        <v>17</v>
      </c>
      <c r="U11" s="770" t="e">
        <f t="shared" si="1"/>
        <v>#N/A</v>
      </c>
      <c r="V11" s="769" t="s">
        <v>17</v>
      </c>
      <c r="W11" s="770" t="e">
        <f t="shared" si="2"/>
        <v>#N/A</v>
      </c>
      <c r="X11" s="771"/>
      <c r="Y11" s="3046"/>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2"/>
      <c r="Q12" s="1796">
        <f t="shared" si="6"/>
        <v>111</v>
      </c>
      <c r="R12" s="769" t="s">
        <v>17</v>
      </c>
      <c r="S12" s="770">
        <f t="shared" si="0"/>
        <v>100</v>
      </c>
      <c r="T12" s="769" t="s">
        <v>17</v>
      </c>
      <c r="U12" s="770">
        <f t="shared" si="1"/>
        <v>100</v>
      </c>
      <c r="V12" s="769" t="s">
        <v>17</v>
      </c>
      <c r="W12" s="770">
        <f t="shared" si="2"/>
        <v>100</v>
      </c>
      <c r="X12" s="771"/>
      <c r="Y12" s="3046"/>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2"/>
      <c r="Q13" s="1796">
        <f t="shared" si="6"/>
        <v>111</v>
      </c>
      <c r="R13" s="769" t="s">
        <v>17</v>
      </c>
      <c r="S13" s="770">
        <f t="shared" si="0"/>
        <v>100</v>
      </c>
      <c r="T13" s="769" t="s">
        <v>17</v>
      </c>
      <c r="U13" s="770">
        <f t="shared" si="1"/>
        <v>100</v>
      </c>
      <c r="V13" s="769" t="s">
        <v>17</v>
      </c>
      <c r="W13" s="770">
        <f t="shared" si="2"/>
        <v>100</v>
      </c>
      <c r="X13" s="771"/>
      <c r="Y13" s="3046"/>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2"/>
      <c r="Q14" s="1796">
        <f t="shared" si="6"/>
        <v>111</v>
      </c>
      <c r="R14" s="769" t="s">
        <v>17</v>
      </c>
      <c r="S14" s="770">
        <f t="shared" si="0"/>
        <v>100</v>
      </c>
      <c r="T14" s="769" t="s">
        <v>17</v>
      </c>
      <c r="U14" s="770">
        <f t="shared" si="1"/>
        <v>100</v>
      </c>
      <c r="V14" s="769" t="s">
        <v>17</v>
      </c>
      <c r="W14" s="770">
        <f t="shared" si="2"/>
        <v>100</v>
      </c>
      <c r="X14" s="771"/>
      <c r="Y14" s="3046"/>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9" t="s">
        <v>2561</v>
      </c>
      <c r="Q15" s="1811" t="str">
        <f t="shared" si="6"/>
        <v>产业集聚程度</v>
      </c>
      <c r="R15" s="773" t="s">
        <v>17</v>
      </c>
      <c r="S15" s="774">
        <f t="shared" si="0"/>
        <v>100</v>
      </c>
      <c r="T15" s="773" t="s">
        <v>17</v>
      </c>
      <c r="U15" s="774">
        <f t="shared" si="1"/>
        <v>100</v>
      </c>
      <c r="V15" s="773" t="s">
        <v>17</v>
      </c>
      <c r="W15" s="774">
        <f t="shared" si="2"/>
        <v>100</v>
      </c>
      <c r="X15" s="1814"/>
      <c r="Y15" s="3199"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00"/>
      <c r="Q16" s="1811"/>
      <c r="R16" s="773"/>
      <c r="S16" s="774"/>
      <c r="T16" s="773"/>
      <c r="U16" s="774"/>
      <c r="V16" s="773"/>
      <c r="W16" s="774"/>
      <c r="X16" s="1814"/>
      <c r="Y16" s="3200"/>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0"/>
      <c r="Q17" s="1811" t="str">
        <f>B17</f>
        <v>交通便捷度</v>
      </c>
      <c r="R17" s="773" t="s">
        <v>17</v>
      </c>
      <c r="S17" s="774">
        <f>F17</f>
        <v>100</v>
      </c>
      <c r="T17" s="773" t="s">
        <v>17</v>
      </c>
      <c r="U17" s="774">
        <f>H17</f>
        <v>100</v>
      </c>
      <c r="V17" s="773" t="s">
        <v>17</v>
      </c>
      <c r="W17" s="774">
        <f>J17</f>
        <v>100</v>
      </c>
      <c r="X17" s="1814"/>
      <c r="Y17" s="3200"/>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00"/>
      <c r="Q18" s="1811"/>
      <c r="R18" s="773"/>
      <c r="S18" s="774"/>
      <c r="T18" s="773"/>
      <c r="U18" s="774"/>
      <c r="V18" s="773"/>
      <c r="W18" s="774"/>
      <c r="X18" s="1814"/>
      <c r="Y18" s="3200"/>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0"/>
      <c r="Q19" s="1811" t="str">
        <f t="shared" ref="Q19:Q33" si="8">B19</f>
        <v>区域土地利用方向</v>
      </c>
      <c r="R19" s="773" t="s">
        <v>17</v>
      </c>
      <c r="S19" s="774">
        <f>F19</f>
        <v>100</v>
      </c>
      <c r="T19" s="773" t="s">
        <v>17</v>
      </c>
      <c r="U19" s="774">
        <f>H19</f>
        <v>100</v>
      </c>
      <c r="V19" s="773" t="s">
        <v>17</v>
      </c>
      <c r="W19" s="774">
        <f>J19</f>
        <v>100</v>
      </c>
      <c r="X19" s="1814"/>
      <c r="Y19" s="3200"/>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00"/>
      <c r="Q20" s="1811"/>
      <c r="R20" s="773"/>
      <c r="S20" s="774"/>
      <c r="T20" s="773"/>
      <c r="U20" s="774"/>
      <c r="V20" s="773"/>
      <c r="W20" s="774"/>
      <c r="X20" s="1814"/>
      <c r="Y20" s="3200"/>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0"/>
      <c r="Q21" s="1811" t="str">
        <f t="shared" si="8"/>
        <v>环境状况</v>
      </c>
      <c r="R21" s="773" t="s">
        <v>17</v>
      </c>
      <c r="S21" s="774">
        <f>F21</f>
        <v>100</v>
      </c>
      <c r="T21" s="773" t="s">
        <v>17</v>
      </c>
      <c r="U21" s="774">
        <f>H21</f>
        <v>100</v>
      </c>
      <c r="V21" s="773" t="s">
        <v>17</v>
      </c>
      <c r="W21" s="774">
        <f>J21</f>
        <v>100</v>
      </c>
      <c r="X21" s="1814"/>
      <c r="Y21" s="3200"/>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00"/>
      <c r="Q22" s="1811"/>
      <c r="R22" s="773"/>
      <c r="S22" s="774"/>
      <c r="T22" s="773"/>
      <c r="U22" s="774"/>
      <c r="V22" s="773"/>
      <c r="W22" s="774"/>
      <c r="X22" s="1814"/>
      <c r="Y22" s="3200"/>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0"/>
      <c r="Q23" s="1796" t="str">
        <f t="shared" si="8"/>
        <v>公共配套设施</v>
      </c>
      <c r="R23" s="769" t="s">
        <v>17</v>
      </c>
      <c r="S23" s="770">
        <f>F23</f>
        <v>100</v>
      </c>
      <c r="T23" s="769" t="s">
        <v>17</v>
      </c>
      <c r="U23" s="770">
        <f>H23</f>
        <v>100</v>
      </c>
      <c r="V23" s="769" t="s">
        <v>17</v>
      </c>
      <c r="W23" s="770">
        <f>J23</f>
        <v>100</v>
      </c>
      <c r="X23" s="771"/>
      <c r="Y23" s="3200"/>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00"/>
      <c r="Q24" s="1796"/>
      <c r="R24" s="769"/>
      <c r="S24" s="770"/>
      <c r="T24" s="769"/>
      <c r="U24" s="770"/>
      <c r="V24" s="769"/>
      <c r="W24" s="770"/>
      <c r="X24" s="771"/>
      <c r="Y24" s="3200"/>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0"/>
      <c r="Q25" s="1796" t="str">
        <f t="shared" ref="Q25" si="9">B25</f>
        <v>基础设施水平</v>
      </c>
      <c r="R25" s="769" t="s">
        <v>17</v>
      </c>
      <c r="S25" s="770">
        <f>F25</f>
        <v>100</v>
      </c>
      <c r="T25" s="769" t="s">
        <v>17</v>
      </c>
      <c r="U25" s="770">
        <f>H25</f>
        <v>100</v>
      </c>
      <c r="V25" s="769" t="s">
        <v>17</v>
      </c>
      <c r="W25" s="770">
        <f>J25</f>
        <v>100</v>
      </c>
      <c r="X25" s="771"/>
      <c r="Y25" s="3200"/>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00"/>
      <c r="Q26" s="1796"/>
      <c r="R26" s="769"/>
      <c r="S26" s="770"/>
      <c r="T26" s="769"/>
      <c r="U26" s="770"/>
      <c r="V26" s="769"/>
      <c r="W26" s="770"/>
      <c r="X26" s="771"/>
      <c r="Y26" s="3200"/>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0"/>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0"/>
      <c r="Q28" s="1811" t="str">
        <f t="shared" si="8"/>
        <v>毗邻道路的类型与等级</v>
      </c>
      <c r="R28" s="773" t="s">
        <v>17</v>
      </c>
      <c r="S28" s="774">
        <f t="shared" si="10"/>
        <v>100</v>
      </c>
      <c r="T28" s="773" t="s">
        <v>17</v>
      </c>
      <c r="U28" s="774">
        <f t="shared" si="11"/>
        <v>100</v>
      </c>
      <c r="V28" s="773" t="s">
        <v>17</v>
      </c>
      <c r="W28" s="774">
        <f t="shared" si="12"/>
        <v>100</v>
      </c>
      <c r="X28" s="1814"/>
      <c r="Y28" s="3200"/>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00"/>
      <c r="Q29" s="1811"/>
      <c r="R29" s="773"/>
      <c r="S29" s="774"/>
      <c r="T29" s="773"/>
      <c r="U29" s="774"/>
      <c r="V29" s="773"/>
      <c r="W29" s="774"/>
      <c r="X29" s="1814"/>
      <c r="Y29" s="3200"/>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0"/>
      <c r="Q30" s="1811" t="str">
        <f t="shared" si="8"/>
        <v>土地级别</v>
      </c>
      <c r="R30" s="773" t="s">
        <v>17</v>
      </c>
      <c r="S30" s="774">
        <f t="shared" si="10"/>
        <v>100</v>
      </c>
      <c r="T30" s="773" t="s">
        <v>17</v>
      </c>
      <c r="U30" s="774">
        <f t="shared" si="11"/>
        <v>100</v>
      </c>
      <c r="V30" s="773" t="s">
        <v>17</v>
      </c>
      <c r="W30" s="774">
        <f t="shared" si="12"/>
        <v>100</v>
      </c>
      <c r="X30" s="1814"/>
      <c r="Y30" s="3200"/>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0"/>
      <c r="Q31" s="1811">
        <f t="shared" si="8"/>
        <v>111</v>
      </c>
      <c r="R31" s="773" t="s">
        <v>17</v>
      </c>
      <c r="S31" s="774">
        <f t="shared" si="10"/>
        <v>100</v>
      </c>
      <c r="T31" s="773" t="s">
        <v>17</v>
      </c>
      <c r="U31" s="774">
        <f t="shared" si="11"/>
        <v>100</v>
      </c>
      <c r="V31" s="773" t="s">
        <v>17</v>
      </c>
      <c r="W31" s="774">
        <f t="shared" si="12"/>
        <v>100</v>
      </c>
      <c r="X31" s="1814"/>
      <c r="Y31" s="3200"/>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4" t="s">
        <v>2566</v>
      </c>
      <c r="Q32" s="1811">
        <f t="shared" si="8"/>
        <v>111</v>
      </c>
      <c r="R32" s="773" t="s">
        <v>17</v>
      </c>
      <c r="S32" s="774">
        <f t="shared" si="10"/>
        <v>100</v>
      </c>
      <c r="T32" s="773" t="s">
        <v>17</v>
      </c>
      <c r="U32" s="774">
        <f t="shared" si="11"/>
        <v>100</v>
      </c>
      <c r="V32" s="773" t="s">
        <v>17</v>
      </c>
      <c r="W32" s="774">
        <f t="shared" si="12"/>
        <v>100</v>
      </c>
      <c r="X32" s="1814"/>
      <c r="Y32" s="3204"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4"/>
      <c r="Q33" s="1811">
        <f t="shared" si="8"/>
        <v>111</v>
      </c>
      <c r="R33" s="776" t="s">
        <v>17</v>
      </c>
      <c r="S33" s="777">
        <f t="shared" si="10"/>
        <v>100</v>
      </c>
      <c r="T33" s="776" t="s">
        <v>17</v>
      </c>
      <c r="U33" s="777">
        <f t="shared" si="11"/>
        <v>100</v>
      </c>
      <c r="V33" s="776" t="s">
        <v>17</v>
      </c>
      <c r="W33" s="777">
        <f t="shared" si="12"/>
        <v>100</v>
      </c>
      <c r="X33" s="778"/>
      <c r="Y33" s="3204"/>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4"/>
      <c r="Q34" s="1811" t="str">
        <f>B34</f>
        <v>宗地面积</v>
      </c>
      <c r="R34" s="773" t="s">
        <v>17</v>
      </c>
      <c r="S34" s="774" t="e">
        <f t="shared" si="10"/>
        <v>#N/A</v>
      </c>
      <c r="T34" s="773" t="s">
        <v>17</v>
      </c>
      <c r="U34" s="774" t="e">
        <f t="shared" si="11"/>
        <v>#N/A</v>
      </c>
      <c r="V34" s="773" t="s">
        <v>17</v>
      </c>
      <c r="W34" s="774" t="e">
        <f t="shared" si="12"/>
        <v>#N/A</v>
      </c>
      <c r="X34" s="1814"/>
      <c r="Y34" s="3204"/>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4"/>
      <c r="Q35" s="1811" t="str">
        <f t="shared" ref="Q35:Q40" si="14">B35</f>
        <v>宗地形状</v>
      </c>
      <c r="R35" s="773" t="s">
        <v>17</v>
      </c>
      <c r="S35" s="774">
        <f t="shared" si="10"/>
        <v>100</v>
      </c>
      <c r="T35" s="773" t="s">
        <v>17</v>
      </c>
      <c r="U35" s="774">
        <f t="shared" si="11"/>
        <v>100</v>
      </c>
      <c r="V35" s="773" t="s">
        <v>17</v>
      </c>
      <c r="W35" s="774">
        <f t="shared" si="12"/>
        <v>100</v>
      </c>
      <c r="X35" s="1814"/>
      <c r="Y35" s="3204"/>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4"/>
      <c r="Q36" s="1811" t="str">
        <f t="shared" si="14"/>
        <v>宗地开发程度</v>
      </c>
      <c r="R36" s="769" t="s">
        <v>17</v>
      </c>
      <c r="S36" s="770">
        <f t="shared" si="10"/>
        <v>100</v>
      </c>
      <c r="T36" s="769" t="s">
        <v>17</v>
      </c>
      <c r="U36" s="770">
        <f t="shared" si="11"/>
        <v>100</v>
      </c>
      <c r="V36" s="769" t="s">
        <v>17</v>
      </c>
      <c r="W36" s="770">
        <f t="shared" si="12"/>
        <v>100</v>
      </c>
      <c r="X36" s="771"/>
      <c r="Y36" s="3204"/>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4" t="s">
        <v>2566</v>
      </c>
      <c r="Q37" s="1811" t="str">
        <f t="shared" si="14"/>
        <v>工程地质条件</v>
      </c>
      <c r="R37" s="773" t="s">
        <v>17</v>
      </c>
      <c r="S37" s="774">
        <f t="shared" si="10"/>
        <v>100</v>
      </c>
      <c r="T37" s="773" t="s">
        <v>17</v>
      </c>
      <c r="U37" s="774">
        <f t="shared" si="11"/>
        <v>100</v>
      </c>
      <c r="V37" s="773" t="s">
        <v>17</v>
      </c>
      <c r="W37" s="774">
        <f t="shared" si="12"/>
        <v>100</v>
      </c>
      <c r="X37" s="1814"/>
      <c r="Y37" s="3204"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4"/>
      <c r="Q38" s="1811">
        <f t="shared" si="14"/>
        <v>111</v>
      </c>
      <c r="R38" s="773" t="s">
        <v>17</v>
      </c>
      <c r="S38" s="774">
        <f t="shared" si="10"/>
        <v>100</v>
      </c>
      <c r="T38" s="773" t="s">
        <v>17</v>
      </c>
      <c r="U38" s="774">
        <f t="shared" si="11"/>
        <v>100</v>
      </c>
      <c r="V38" s="773" t="s">
        <v>17</v>
      </c>
      <c r="W38" s="774">
        <f t="shared" si="12"/>
        <v>100</v>
      </c>
      <c r="X38" s="1814"/>
      <c r="Y38" s="3204"/>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4"/>
      <c r="Q39" s="1811">
        <f t="shared" si="14"/>
        <v>111</v>
      </c>
      <c r="R39" s="773" t="s">
        <v>17</v>
      </c>
      <c r="S39" s="774">
        <f t="shared" si="10"/>
        <v>100</v>
      </c>
      <c r="T39" s="773" t="s">
        <v>17</v>
      </c>
      <c r="U39" s="774">
        <f t="shared" si="11"/>
        <v>100</v>
      </c>
      <c r="V39" s="773" t="s">
        <v>17</v>
      </c>
      <c r="W39" s="774">
        <f t="shared" si="12"/>
        <v>100</v>
      </c>
      <c r="X39" s="1814"/>
      <c r="Y39" s="3204"/>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4"/>
      <c r="Q40" s="1811">
        <f t="shared" si="14"/>
        <v>111</v>
      </c>
      <c r="R40" s="776" t="s">
        <v>17</v>
      </c>
      <c r="S40" s="777">
        <f t="shared" si="10"/>
        <v>100</v>
      </c>
      <c r="T40" s="776" t="s">
        <v>17</v>
      </c>
      <c r="U40" s="777">
        <f t="shared" si="11"/>
        <v>100</v>
      </c>
      <c r="V40" s="776" t="s">
        <v>17</v>
      </c>
      <c r="W40" s="777">
        <f t="shared" si="12"/>
        <v>100</v>
      </c>
      <c r="X40" s="778"/>
      <c r="Y40" s="3204"/>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192" t="str">
        <f>A41</f>
        <v>成交单价</v>
      </c>
      <c r="Q41" s="3192"/>
      <c r="R41" s="3226">
        <f>E41</f>
        <v>0</v>
      </c>
      <c r="S41" s="3226"/>
      <c r="T41" s="3226">
        <f>G41</f>
        <v>0</v>
      </c>
      <c r="U41" s="3226"/>
      <c r="V41" s="3226">
        <f>I41</f>
        <v>0</v>
      </c>
      <c r="W41" s="3226"/>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92" t="str">
        <f>A42</f>
        <v>比较价值（元/平方米）</v>
      </c>
      <c r="Q42" s="3192"/>
      <c r="R42" s="3290" t="e">
        <f>ROUND(PRODUCT(R41,AA7:AA40),0)</f>
        <v>#DIV/0!</v>
      </c>
      <c r="S42" s="3290"/>
      <c r="T42" s="3290" t="e">
        <f>ROUND(PRODUCT(T41,AB7:AB40),0)</f>
        <v>#DIV/0!</v>
      </c>
      <c r="U42" s="3290"/>
      <c r="V42" s="3290" t="e">
        <f>ROUND(PRODUCT(V41,AC7:AC40),0)</f>
        <v>#DIV/0!</v>
      </c>
      <c r="W42" s="3290"/>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51" t="str">
        <f>A43</f>
        <v>估价对象XX用房的比较价值（楼面单价，元/平方米）</v>
      </c>
      <c r="Q43" s="3252"/>
      <c r="R43" s="3291" t="e">
        <f>ROUND(AVERAGE(R42:V42),0)</f>
        <v>#DIV/0!</v>
      </c>
      <c r="S43" s="3291"/>
      <c r="T43" s="3291"/>
      <c r="U43" s="3291"/>
      <c r="V43" s="3291"/>
      <c r="W43" s="329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09" t="s">
        <v>2765</v>
      </c>
      <c r="H50" s="3292"/>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191"/>
      <c r="H51" s="3192"/>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3"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3"/>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3"/>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3"/>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1"/>
      <c r="B4" s="3302"/>
      <c r="C4" s="3302"/>
      <c r="D4" s="3303"/>
      <c r="E4" s="3303"/>
      <c r="F4" s="3303"/>
      <c r="G4" s="3303"/>
      <c r="H4" s="3303"/>
      <c r="I4" s="3303"/>
      <c r="J4" s="3304"/>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305"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6"/>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98" t="s">
        <v>2841</v>
      </c>
      <c r="X8" s="3299"/>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6"/>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00"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6"/>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0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6"/>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00"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5"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00"/>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7"/>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00"/>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07"/>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8"/>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5"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6"/>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15"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6"/>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6"/>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17"/>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09" t="s">
        <v>2975</v>
      </c>
      <c r="B90" s="3309"/>
      <c r="C90" s="3309"/>
      <c r="D90" s="3309"/>
      <c r="E90" s="3309"/>
      <c r="F90" s="3309"/>
      <c r="G90" s="3309"/>
      <c r="H90" s="3309"/>
      <c r="I90" s="3309"/>
      <c r="J90" s="3309"/>
      <c r="K90" s="2896"/>
      <c r="L90" s="2896"/>
      <c r="M90" s="2896"/>
      <c r="N90" s="2896"/>
    </row>
    <row r="91" spans="1:37">
      <c r="A91" s="3311" t="s">
        <v>2976</v>
      </c>
      <c r="B91" s="3311" t="s">
        <v>2977</v>
      </c>
      <c r="C91" s="2850" t="s">
        <v>2978</v>
      </c>
      <c r="D91" s="2851"/>
      <c r="E91" s="2851"/>
      <c r="F91" s="2851"/>
      <c r="G91" s="2851"/>
      <c r="H91" s="2851"/>
      <c r="I91" s="2851"/>
      <c r="J91" s="2897"/>
      <c r="K91" s="2898"/>
      <c r="L91" s="2898"/>
      <c r="M91" s="2898"/>
      <c r="N91" s="2898"/>
    </row>
    <row r="92" spans="1:37">
      <c r="A92" s="3311"/>
      <c r="B92" s="3311"/>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12"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3"/>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12"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13"/>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13"/>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13"/>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13"/>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13"/>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13"/>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13"/>
      <c r="B108" s="3161"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4"/>
      <c r="B109" s="3162"/>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10" t="s">
        <v>2983</v>
      </c>
      <c r="B110" s="3310"/>
      <c r="C110" s="3310"/>
      <c r="D110" s="3310"/>
      <c r="E110" s="3310"/>
      <c r="F110" s="3310"/>
      <c r="G110" s="3310"/>
      <c r="H110" s="3310"/>
      <c r="I110" s="3310"/>
      <c r="J110" s="3310"/>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8" t="s">
        <v>614</v>
      </c>
      <c r="C61" s="817" t="s">
        <v>615</v>
      </c>
      <c r="D61" s="817" t="s">
        <v>616</v>
      </c>
      <c r="E61" s="894">
        <v>0.5</v>
      </c>
      <c r="F61" s="881">
        <v>80</v>
      </c>
    </row>
    <row r="62" spans="1:8" s="877" customFormat="1" ht="24">
      <c r="A62" s="881">
        <v>2</v>
      </c>
      <c r="B62" s="3318"/>
      <c r="C62" s="817" t="s">
        <v>617</v>
      </c>
      <c r="D62" s="817" t="s">
        <v>618</v>
      </c>
      <c r="E62" s="894">
        <v>0.5</v>
      </c>
      <c r="F62" s="881">
        <v>80</v>
      </c>
    </row>
    <row r="63" spans="1:8" s="877" customFormat="1" ht="36">
      <c r="A63" s="881">
        <v>3</v>
      </c>
      <c r="B63" s="3318"/>
      <c r="C63" s="817" t="s">
        <v>619</v>
      </c>
      <c r="D63" s="817" t="s">
        <v>620</v>
      </c>
      <c r="E63" s="894">
        <v>0.5</v>
      </c>
      <c r="F63" s="881">
        <v>80</v>
      </c>
    </row>
    <row r="64" spans="1:8" s="877" customFormat="1" ht="36">
      <c r="A64" s="881">
        <v>4</v>
      </c>
      <c r="B64" s="3318"/>
      <c r="C64" s="817" t="s">
        <v>621</v>
      </c>
      <c r="D64" s="817" t="s">
        <v>622</v>
      </c>
      <c r="E64" s="894">
        <v>0.4</v>
      </c>
      <c r="F64" s="881">
        <v>60</v>
      </c>
    </row>
    <row r="65" spans="1:6" s="877" customFormat="1" ht="36">
      <c r="A65" s="881">
        <v>5</v>
      </c>
      <c r="B65" s="3318"/>
      <c r="C65" s="817" t="s">
        <v>623</v>
      </c>
      <c r="D65" s="817" t="s">
        <v>624</v>
      </c>
      <c r="E65" s="894">
        <v>0.2</v>
      </c>
      <c r="F65" s="881">
        <v>30</v>
      </c>
    </row>
    <row r="66" spans="1:6" s="877" customFormat="1" ht="36">
      <c r="A66" s="881">
        <v>6</v>
      </c>
      <c r="B66" s="3318"/>
      <c r="C66" s="817" t="s">
        <v>625</v>
      </c>
      <c r="D66" s="817" t="s">
        <v>626</v>
      </c>
      <c r="E66" s="894">
        <v>0.3</v>
      </c>
      <c r="F66" s="881">
        <v>50</v>
      </c>
    </row>
    <row r="67" spans="1:6" s="877" customFormat="1" ht="36">
      <c r="A67" s="881">
        <v>7</v>
      </c>
      <c r="B67" s="3318"/>
      <c r="C67" s="817" t="s">
        <v>627</v>
      </c>
      <c r="D67" s="817" t="s">
        <v>628</v>
      </c>
      <c r="E67" s="894">
        <v>0.2</v>
      </c>
      <c r="F67" s="881">
        <v>30</v>
      </c>
    </row>
    <row r="68" spans="1:6" s="877" customFormat="1" ht="36">
      <c r="A68" s="881">
        <v>8</v>
      </c>
      <c r="B68" s="3318"/>
      <c r="C68" s="817" t="s">
        <v>629</v>
      </c>
      <c r="D68" s="817" t="s">
        <v>630</v>
      </c>
      <c r="E68" s="894">
        <v>0.2</v>
      </c>
      <c r="F68" s="881">
        <v>30</v>
      </c>
    </row>
    <row r="69" spans="1:6" s="877" customFormat="1" ht="36">
      <c r="A69" s="881">
        <v>9</v>
      </c>
      <c r="B69" s="3318"/>
      <c r="C69" s="817" t="s">
        <v>631</v>
      </c>
      <c r="D69" s="817" t="s">
        <v>632</v>
      </c>
      <c r="E69" s="894">
        <v>0.2</v>
      </c>
      <c r="F69" s="881">
        <v>30</v>
      </c>
    </row>
    <row r="70" spans="1:6" s="877" customFormat="1" ht="48">
      <c r="A70" s="881">
        <v>10</v>
      </c>
      <c r="B70" s="3318"/>
      <c r="C70" s="817" t="s">
        <v>633</v>
      </c>
      <c r="D70" s="817" t="s">
        <v>634</v>
      </c>
      <c r="E70" s="894">
        <v>0.2</v>
      </c>
      <c r="F70" s="881">
        <v>30</v>
      </c>
    </row>
    <row r="71" spans="1:6" s="877" customFormat="1" ht="48">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24">
      <c r="A73" s="881">
        <v>13</v>
      </c>
      <c r="B73" s="3318"/>
      <c r="C73" s="817" t="s">
        <v>639</v>
      </c>
      <c r="D73" s="817" t="s">
        <v>640</v>
      </c>
      <c r="E73" s="894">
        <v>0.4</v>
      </c>
      <c r="F73" s="881">
        <v>60</v>
      </c>
    </row>
    <row r="74" spans="1:6" s="877" customFormat="1" ht="24">
      <c r="A74" s="881">
        <v>14</v>
      </c>
      <c r="B74" s="3318"/>
      <c r="C74" s="817" t="s">
        <v>641</v>
      </c>
      <c r="D74" s="817" t="s">
        <v>642</v>
      </c>
      <c r="E74" s="894">
        <v>0.2</v>
      </c>
      <c r="F74" s="881">
        <v>30</v>
      </c>
    </row>
    <row r="75" spans="1:6" s="877" customFormat="1" ht="24">
      <c r="A75" s="881">
        <v>15</v>
      </c>
      <c r="B75" s="3318"/>
      <c r="C75" s="817" t="s">
        <v>643</v>
      </c>
      <c r="D75" s="817" t="s">
        <v>644</v>
      </c>
      <c r="E75" s="894">
        <v>0.2</v>
      </c>
      <c r="F75" s="881">
        <v>30</v>
      </c>
    </row>
    <row r="76" spans="1:6" s="877" customFormat="1" ht="24">
      <c r="A76" s="881">
        <v>16</v>
      </c>
      <c r="B76" s="3318" t="s">
        <v>645</v>
      </c>
      <c r="C76" s="817" t="s">
        <v>646</v>
      </c>
      <c r="D76" s="817" t="s">
        <v>647</v>
      </c>
      <c r="E76" s="894">
        <v>0.5</v>
      </c>
      <c r="F76" s="881">
        <v>80</v>
      </c>
    </row>
    <row r="77" spans="1:6" s="877" customFormat="1" ht="24">
      <c r="A77" s="881">
        <v>17</v>
      </c>
      <c r="B77" s="3318"/>
      <c r="C77" s="817" t="s">
        <v>648</v>
      </c>
      <c r="D77" s="817" t="s">
        <v>649</v>
      </c>
      <c r="E77" s="894">
        <v>0.5</v>
      </c>
      <c r="F77" s="881">
        <v>80</v>
      </c>
    </row>
    <row r="78" spans="1:6" s="877" customFormat="1" ht="24">
      <c r="A78" s="881">
        <v>18</v>
      </c>
      <c r="B78" s="3318"/>
      <c r="C78" s="817" t="s">
        <v>650</v>
      </c>
      <c r="D78" s="817" t="s">
        <v>651</v>
      </c>
      <c r="E78" s="894">
        <v>0.2</v>
      </c>
      <c r="F78" s="881">
        <v>30</v>
      </c>
    </row>
    <row r="79" spans="1:6" s="877" customFormat="1" ht="24">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48">
      <c r="A82" s="881">
        <v>22</v>
      </c>
      <c r="B82" s="3318"/>
      <c r="C82" s="817" t="s">
        <v>658</v>
      </c>
      <c r="D82" s="817" t="s">
        <v>659</v>
      </c>
      <c r="E82" s="894">
        <v>0.2</v>
      </c>
      <c r="F82" s="881">
        <v>30</v>
      </c>
    </row>
    <row r="83" spans="1:6" s="877" customFormat="1" ht="48">
      <c r="A83" s="881">
        <v>23</v>
      </c>
      <c r="B83" s="3318"/>
      <c r="C83" s="817" t="s">
        <v>660</v>
      </c>
      <c r="D83" s="817" t="s">
        <v>661</v>
      </c>
      <c r="E83" s="894">
        <v>0.2</v>
      </c>
      <c r="F83" s="881">
        <v>30</v>
      </c>
    </row>
    <row r="84" spans="1:6" s="877" customFormat="1" ht="36">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24">
      <c r="A89" s="881">
        <v>29</v>
      </c>
      <c r="B89" s="3318"/>
      <c r="C89" s="817" t="s">
        <v>672</v>
      </c>
      <c r="D89" s="817" t="s">
        <v>673</v>
      </c>
      <c r="E89" s="894">
        <v>0.2</v>
      </c>
      <c r="F89" s="881">
        <v>30</v>
      </c>
    </row>
    <row r="90" spans="1:6" s="877" customFormat="1" ht="24">
      <c r="A90" s="881">
        <v>30</v>
      </c>
      <c r="B90" s="3318"/>
      <c r="C90" s="817" t="s">
        <v>674</v>
      </c>
      <c r="D90" s="817" t="s">
        <v>675</v>
      </c>
      <c r="E90" s="894">
        <v>0.2</v>
      </c>
      <c r="F90" s="881">
        <v>30</v>
      </c>
    </row>
    <row r="91" spans="1:6" s="877" customFormat="1" ht="36">
      <c r="A91" s="881">
        <v>31</v>
      </c>
      <c r="B91" s="3318"/>
      <c r="C91" s="817" t="s">
        <v>676</v>
      </c>
      <c r="D91" s="817" t="s">
        <v>677</v>
      </c>
      <c r="E91" s="894">
        <v>0.2</v>
      </c>
      <c r="F91" s="881">
        <v>30</v>
      </c>
    </row>
    <row r="92" spans="1:6" s="877" customFormat="1" ht="24">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48">
      <c r="A94" s="881">
        <v>34</v>
      </c>
      <c r="B94" s="3318"/>
      <c r="C94" s="881" t="s">
        <v>683</v>
      </c>
      <c r="D94" s="817" t="s">
        <v>684</v>
      </c>
      <c r="E94" s="894">
        <v>0.2</v>
      </c>
      <c r="F94" s="881">
        <v>30</v>
      </c>
    </row>
    <row r="95" spans="1:6" s="877" customFormat="1" ht="36">
      <c r="A95" s="881">
        <v>35</v>
      </c>
      <c r="B95" s="3318"/>
      <c r="C95" s="881" t="s">
        <v>685</v>
      </c>
      <c r="D95" s="817" t="s">
        <v>686</v>
      </c>
      <c r="E95" s="894">
        <v>0.2</v>
      </c>
      <c r="F95" s="881">
        <v>30</v>
      </c>
    </row>
    <row r="96" spans="1:6" s="877" customFormat="1" ht="48">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24">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8" t="s">
        <v>708</v>
      </c>
      <c r="C105" s="881" t="s">
        <v>709</v>
      </c>
      <c r="D105" s="817" t="s">
        <v>710</v>
      </c>
      <c r="E105" s="894">
        <v>0.2</v>
      </c>
      <c r="F105" s="881">
        <v>30</v>
      </c>
    </row>
    <row r="106" spans="1:6" s="877" customFormat="1" ht="36">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36">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8" t="s">
        <v>724</v>
      </c>
      <c r="C111" s="881" t="s">
        <v>725</v>
      </c>
      <c r="D111" s="817" t="s">
        <v>726</v>
      </c>
      <c r="E111" s="894">
        <v>0.2</v>
      </c>
      <c r="F111" s="881">
        <v>30</v>
      </c>
    </row>
    <row r="112" spans="1:6" s="877" customFormat="1" ht="24">
      <c r="A112" s="881">
        <v>52</v>
      </c>
      <c r="B112" s="3318"/>
      <c r="C112" s="881" t="s">
        <v>727</v>
      </c>
      <c r="D112" s="817" t="s">
        <v>728</v>
      </c>
      <c r="E112" s="894">
        <v>0.2</v>
      </c>
      <c r="F112" s="881">
        <v>30</v>
      </c>
    </row>
    <row r="113" spans="1:6" s="877" customFormat="1" ht="24">
      <c r="A113" s="881">
        <v>53</v>
      </c>
      <c r="B113" s="331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4" t="s">
        <v>1150</v>
      </c>
      <c r="C1" s="3324"/>
      <c r="D1" s="3324"/>
      <c r="E1" s="3324"/>
      <c r="F1" s="3324"/>
      <c r="G1" s="3323" t="s">
        <v>1151</v>
      </c>
      <c r="H1" s="3323"/>
      <c r="I1" s="3323"/>
      <c r="J1" s="3323"/>
      <c r="K1" s="3323"/>
      <c r="L1" s="3323"/>
      <c r="N1" s="3323" t="s">
        <v>1152</v>
      </c>
      <c r="O1" s="3323"/>
      <c r="P1" s="3323"/>
      <c r="Q1" s="3323"/>
      <c r="R1" s="1447"/>
      <c r="S1" s="3323" t="s">
        <v>1153</v>
      </c>
      <c r="T1" s="3323"/>
      <c r="U1" s="3323"/>
      <c r="V1" s="3323"/>
      <c r="X1" s="3322" t="s">
        <v>1154</v>
      </c>
      <c r="Y1" s="3323"/>
      <c r="Z1" s="3323"/>
      <c r="AA1" s="3323"/>
      <c r="AB1" s="3323"/>
      <c r="AD1" s="3322" t="s">
        <v>1155</v>
      </c>
      <c r="AE1" s="3323"/>
      <c r="AF1" s="3323"/>
      <c r="AG1" s="3323"/>
      <c r="AH1" s="3323"/>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5">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0"/>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0"/>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1"/>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19">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0"/>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0"/>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1"/>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19">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0"/>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0"/>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1"/>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6">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7"/>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7"/>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28"/>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19">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0"/>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0"/>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1"/>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19">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0">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0">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1">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19">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0">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0">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1">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19">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0">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0">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1">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19">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0">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0">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1">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19">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0">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0">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1">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19">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0">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0">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1">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19">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0">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0">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1">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19">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0">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0">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1">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19">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0">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0">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1">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19">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0">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0">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1">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26434</v>
      </c>
      <c r="C2" s="2" t="s">
        <v>133</v>
      </c>
      <c r="D2" s="242"/>
      <c r="E2" s="242"/>
      <c r="F2" s="242"/>
      <c r="G2" s="242"/>
    </row>
    <row r="3" spans="1:7" s="243" customFormat="1" ht="18" customHeight="1" thickBot="1">
      <c r="A3" s="246" t="s">
        <v>85</v>
      </c>
      <c r="B3" s="247">
        <f ca="1">ROUND(B2*10000/'数据-汇总表'!E3,0)</f>
        <v>977191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309</v>
      </c>
      <c r="D20" s="275"/>
      <c r="E20" s="275"/>
      <c r="F20" s="276">
        <f>'数据-取费表'!B37</f>
        <v>1.4999999999999999E-2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904</v>
      </c>
      <c r="D22" s="278">
        <f ca="1">C26</f>
        <v>4.0000000000000002E-4</v>
      </c>
      <c r="E22" s="279" t="s">
        <v>126</v>
      </c>
      <c r="F22" s="280">
        <f ca="1">'数据-取费表'!B40</f>
        <v>4.3499999999999997E-2</v>
      </c>
      <c r="G22" s="1290" t="str">
        <f>IF('数据-取费表'!B22&lt;=1,"单利计息","复利计息")</f>
        <v>单利计息</v>
      </c>
    </row>
    <row r="23" spans="1:7" s="257" customFormat="1" ht="13.5" customHeight="1">
      <c r="A23" s="953" t="s">
        <v>794</v>
      </c>
      <c r="B23" s="258" t="s">
        <v>1061</v>
      </c>
      <c r="C23" s="1356">
        <f ca="1">ROUND(IF('数据-取费表'!B22&lt;=1,C5*F22*'数据-取费表'!B23,C5*(POWER((1+F22),'数据-取费表'!B23)-1)),0)</f>
        <v>897</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7</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2511</v>
      </c>
      <c r="D27" s="278">
        <f>C29</f>
        <v>2.3999999999999998E-3</v>
      </c>
      <c r="E27" s="279" t="s">
        <v>126</v>
      </c>
      <c r="F27" s="289">
        <f>'数据-取费表'!Q16</f>
        <v>0.12</v>
      </c>
      <c r="G27" s="290" t="s">
        <v>1069</v>
      </c>
    </row>
    <row r="28" spans="1:7" s="257" customFormat="1" ht="13.5" customHeight="1">
      <c r="A28" s="953" t="s">
        <v>794</v>
      </c>
      <c r="B28" s="291" t="s">
        <v>1062</v>
      </c>
      <c r="C28" s="292">
        <f>ROUND((C5+C19+C20)*F27*'数据-取费表'!B21/'数据-取费表'!B20,0)</f>
        <v>2511</v>
      </c>
      <c r="D28" s="278"/>
      <c r="E28" s="279"/>
      <c r="F28" s="289"/>
      <c r="G28" s="290"/>
    </row>
    <row r="29" spans="1:7" s="257" customFormat="1" ht="13.5" customHeight="1">
      <c r="A29" s="953" t="s">
        <v>792</v>
      </c>
      <c r="B29" s="291" t="s">
        <v>1063</v>
      </c>
      <c r="C29" s="281">
        <f>ROUND(C21*F27*'数据-取费表'!B21/'数据-取费表'!B20,4)</f>
        <v>2.3999999999999998E-3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26345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1</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v>
      </c>
      <c r="D41" s="278">
        <f ca="1">C44</f>
        <v>4.0000000000000002E-4</v>
      </c>
      <c r="E41" s="279" t="s">
        <v>129</v>
      </c>
      <c r="F41" s="280"/>
      <c r="G41" s="1290" t="str">
        <f>IF('数据-取费表'!B22&lt;=1,"单利计息","复利计息")</f>
        <v>单利计息</v>
      </c>
    </row>
    <row r="42" spans="1:7" ht="13.5" customHeight="1">
      <c r="A42" s="953" t="s">
        <v>794</v>
      </c>
      <c r="B42" s="258" t="s">
        <v>1061</v>
      </c>
      <c r="C42" s="281">
        <f ca="1">ROUND(IF('数据-取费表'!B22&lt;=1,C33*F22*'数据-取费表'!B21/2,C33*(POWER((1+F22),'数据-取费表'!B21/2)-1)),0)</f>
        <v>2</v>
      </c>
      <c r="D42" s="281"/>
      <c r="E42" s="281"/>
      <c r="F42" s="282"/>
      <c r="G42" s="3188" t="s">
        <v>121</v>
      </c>
    </row>
    <row r="43" spans="1:7" ht="13.5" customHeight="1">
      <c r="A43" s="953" t="s">
        <v>792</v>
      </c>
      <c r="B43" s="258" t="s">
        <v>1064</v>
      </c>
      <c r="C43" s="281">
        <f ca="1">ROUND(IF('数据-取费表'!B22&lt;=1,C39*F22*'数据-取费表'!B21/2,C39*(POWER((1+F22),'数据-取费表'!B21/2)-1)),0)</f>
        <v>0</v>
      </c>
      <c r="D43" s="281"/>
      <c r="E43" s="281"/>
      <c r="F43" s="282"/>
      <c r="G43" s="3189"/>
    </row>
    <row r="44" spans="1:7" ht="13.5" customHeight="1">
      <c r="A44" s="953" t="s">
        <v>793</v>
      </c>
      <c r="B44" s="258" t="s">
        <v>1066</v>
      </c>
      <c r="C44" s="281">
        <f ca="1">ROUND(IF('数据-取费表'!B22&lt;=1,C40*F22*'数据-取费表'!B21/2,C40*(POWER((1+F22),'数据-取费表'!B21/2)-1)),4)</f>
        <v>4.0000000000000002E-4</v>
      </c>
      <c r="D44" s="281"/>
      <c r="E44" s="281"/>
      <c r="F44" s="282"/>
      <c r="G44" s="3190"/>
    </row>
    <row r="45" spans="1:7" s="257" customFormat="1" ht="13.5" customHeight="1">
      <c r="A45" s="950" t="s">
        <v>786</v>
      </c>
      <c r="B45" s="287" t="s">
        <v>112</v>
      </c>
      <c r="C45" s="288">
        <f>C46</f>
        <v>11</v>
      </c>
      <c r="D45" s="278">
        <f>C47</f>
        <v>2.3999999999999998E-3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2.3999999999999998E-3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116</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89</v>
      </c>
      <c r="D51" s="275"/>
      <c r="E51" s="275"/>
      <c r="F51" s="307"/>
      <c r="G51" s="277" t="s">
        <v>64</v>
      </c>
    </row>
    <row r="52" spans="1:7" s="251" customFormat="1" ht="16.5" thickBot="1">
      <c r="A52" s="308" t="s">
        <v>65</v>
      </c>
      <c r="B52" s="309"/>
      <c r="C52" s="310">
        <f ca="1">C31+C51</f>
        <v>26434</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1639</v>
      </c>
      <c r="B2" s="3023" t="s">
        <v>1640</v>
      </c>
      <c r="C2" s="3023" t="s">
        <v>1641</v>
      </c>
      <c r="D2" s="3023" t="str">
        <f>'结果表-办公'!D116</f>
        <v>出让国有建设用地使用权价值</v>
      </c>
      <c r="E2" s="3023"/>
      <c r="F2" s="3023" t="str">
        <f>'结果表-办公'!F116</f>
        <v>在建建筑物价值</v>
      </c>
      <c r="G2" s="3023"/>
      <c r="H2" s="3023" t="str">
        <f>IF(项目基本情况!B9="房地产市场价值","房地产市场价值","房地产价值")</f>
        <v>房地产价值</v>
      </c>
      <c r="I2" s="3023"/>
    </row>
    <row r="3" spans="1:9" ht="15">
      <c r="A3" s="3017"/>
      <c r="B3" s="3017"/>
      <c r="C3" s="3017"/>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679</v>
      </c>
      <c r="I4" s="1046">
        <f ca="1">'结果表-办公'!I118</f>
        <v>32611</v>
      </c>
    </row>
    <row r="5" spans="1:9" ht="30" customHeight="1">
      <c r="A5" s="3017" t="s">
        <v>1638</v>
      </c>
      <c r="B5" s="3017"/>
      <c r="C5" s="3017"/>
      <c r="D5" s="3018" t="e">
        <f ca="1">'结果表-办公'!D119</f>
        <v>#REF!</v>
      </c>
      <c r="E5" s="3018"/>
      <c r="F5" s="3018" t="e">
        <f ca="1">'结果表-办公'!F119</f>
        <v>#REF!</v>
      </c>
      <c r="G5" s="3018"/>
      <c r="H5" s="3018" t="str">
        <f ca="1">'结果表-办公'!H119</f>
        <v>陆佰柒拾玖万元整</v>
      </c>
      <c r="I5" s="3018"/>
    </row>
    <row r="6" spans="1:9" ht="15.75">
      <c r="A6" s="3016" t="str">
        <f>'结果表-办公'!A120</f>
        <v>估价师知悉的法定优先受偿款</v>
      </c>
      <c r="B6" s="3016"/>
      <c r="C6" s="3016"/>
      <c r="D6" s="3016">
        <f>'结果表-办公'!D120</f>
        <v>0</v>
      </c>
      <c r="E6" s="3016"/>
      <c r="F6" s="3016"/>
      <c r="G6" s="3016"/>
      <c r="H6" s="3016"/>
      <c r="I6" s="3016"/>
    </row>
    <row r="7" spans="1:9" ht="15">
      <c r="A7" s="3017" t="s">
        <v>1638</v>
      </c>
      <c r="B7" s="3017"/>
      <c r="C7" s="3017"/>
      <c r="D7" s="3019" t="str">
        <f>'结果表-办公'!D121</f>
        <v>零元整</v>
      </c>
      <c r="E7" s="3020"/>
      <c r="F7" s="3020"/>
      <c r="G7" s="3020"/>
      <c r="H7" s="3020"/>
      <c r="I7" s="3021"/>
    </row>
    <row r="8" spans="1:9" ht="15.75">
      <c r="A8" s="3016" t="str">
        <f>'结果表-办公'!A122</f>
        <v>房地产抵押价值</v>
      </c>
      <c r="B8" s="3016"/>
      <c r="C8" s="3016"/>
      <c r="D8" s="3016">
        <f ca="1">'结果表-办公'!D122</f>
        <v>679</v>
      </c>
      <c r="E8" s="3016"/>
      <c r="F8" s="3016"/>
      <c r="G8" s="3016"/>
      <c r="H8" s="3016"/>
      <c r="I8" s="3016"/>
    </row>
    <row r="9" spans="1:9" ht="15">
      <c r="A9" s="3017" t="s">
        <v>1638</v>
      </c>
      <c r="B9" s="3017"/>
      <c r="C9" s="3017"/>
      <c r="D9" s="3018" t="str">
        <f ca="1">'结果表-办公'!D123</f>
        <v>陆佰柒拾玖万元整</v>
      </c>
      <c r="E9" s="3018"/>
      <c r="F9" s="3018"/>
      <c r="G9" s="3018"/>
      <c r="H9" s="3018"/>
      <c r="I9" s="3018"/>
    </row>
    <row r="10" spans="1:9" ht="15.75">
      <c r="A10" s="3016" t="str">
        <f>'结果表-办公'!A124</f>
        <v/>
      </c>
      <c r="B10" s="3016"/>
      <c r="C10" s="3016"/>
      <c r="D10" s="3016" t="str">
        <f>'结果表-办公'!D124</f>
        <v>——</v>
      </c>
      <c r="E10" s="3016"/>
      <c r="F10" s="3016"/>
      <c r="G10" s="3016"/>
      <c r="H10" s="3016"/>
      <c r="I10" s="3016"/>
    </row>
    <row r="11" spans="1:9" ht="15">
      <c r="A11" s="3017" t="s">
        <v>1638</v>
      </c>
      <c r="B11" s="3017"/>
      <c r="C11" s="3017"/>
      <c r="D11" s="3018" t="e">
        <f>'结果表-办公'!D125</f>
        <v>#VALUE!</v>
      </c>
      <c r="E11" s="3018"/>
      <c r="F11" s="3018"/>
      <c r="G11" s="3018"/>
      <c r="H11" s="3018"/>
      <c r="I11" s="3018"/>
    </row>
    <row r="12" spans="1:9" ht="15.75">
      <c r="A12" s="3016" t="str">
        <f>'结果表-办公'!A126</f>
        <v/>
      </c>
      <c r="B12" s="3016"/>
      <c r="C12" s="3016"/>
      <c r="D12" s="3016" t="str">
        <f>'结果表-办公'!D126</f>
        <v>——</v>
      </c>
      <c r="E12" s="3016"/>
      <c r="F12" s="3016"/>
      <c r="G12" s="3016"/>
      <c r="H12" s="3016"/>
      <c r="I12" s="3016"/>
    </row>
    <row r="13" spans="1:9" ht="15.75" thickBot="1">
      <c r="A13" s="3013" t="s">
        <v>1638</v>
      </c>
      <c r="B13" s="3013"/>
      <c r="C13" s="3013"/>
      <c r="D13" s="3014" t="e">
        <f>'结果表-办公'!D127</f>
        <v>#VALUE!</v>
      </c>
      <c r="E13" s="3014"/>
      <c r="F13" s="3014"/>
      <c r="G13" s="3014"/>
      <c r="H13" s="3014"/>
      <c r="I13" s="3014"/>
    </row>
    <row r="14" spans="1:9" ht="15" thickTop="1">
      <c r="A14" s="3015" t="s">
        <v>1643</v>
      </c>
      <c r="B14" s="3015"/>
      <c r="C14" s="3015"/>
      <c r="D14" s="3015"/>
      <c r="E14" s="3015"/>
      <c r="F14" s="3015"/>
      <c r="G14" s="3015"/>
      <c r="H14" s="3015"/>
      <c r="I14" s="3015"/>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3" t="s">
        <v>3179</v>
      </c>
      <c r="F10" s="3000">
        <v>450</v>
      </c>
      <c r="G10" s="3000" t="s">
        <v>3152</v>
      </c>
      <c r="H10" s="3000">
        <v>208.21</v>
      </c>
      <c r="I10" s="3000" t="s">
        <v>3175</v>
      </c>
      <c r="J10" s="3000" t="s">
        <v>3177</v>
      </c>
    </row>
    <row r="11" spans="4:10" ht="14.25" thickBot="1">
      <c r="D11" s="3000">
        <v>2</v>
      </c>
      <c r="E11" s="3334"/>
      <c r="F11" s="3000">
        <v>450</v>
      </c>
      <c r="G11" s="3000" t="s">
        <v>3153</v>
      </c>
      <c r="H11" s="3000">
        <v>395.51</v>
      </c>
      <c r="I11" s="3000" t="s">
        <v>3175</v>
      </c>
      <c r="J11" s="3000" t="s">
        <v>3177</v>
      </c>
    </row>
    <row r="12" spans="4:10" ht="14.25" thickBot="1">
      <c r="D12" s="3000">
        <v>3</v>
      </c>
      <c r="E12" s="3334"/>
      <c r="F12" s="3000">
        <v>450</v>
      </c>
      <c r="G12" s="3000" t="s">
        <v>3154</v>
      </c>
      <c r="H12" s="3000">
        <v>205.83</v>
      </c>
      <c r="I12" s="3000" t="s">
        <v>3175</v>
      </c>
      <c r="J12" s="3000" t="s">
        <v>3177</v>
      </c>
    </row>
    <row r="13" spans="4:10" ht="14.25" thickBot="1">
      <c r="D13" s="3000">
        <v>4</v>
      </c>
      <c r="E13" s="3334"/>
      <c r="F13" s="3000">
        <v>450</v>
      </c>
      <c r="G13" s="3000" t="s">
        <v>3155</v>
      </c>
      <c r="H13" s="3000">
        <v>395.51</v>
      </c>
      <c r="I13" s="3000" t="s">
        <v>3175</v>
      </c>
      <c r="J13" s="3000" t="s">
        <v>3177</v>
      </c>
    </row>
    <row r="14" spans="4:10" ht="14.25" thickBot="1">
      <c r="D14" s="3000">
        <v>5</v>
      </c>
      <c r="E14" s="3334"/>
      <c r="F14" s="3000">
        <v>450</v>
      </c>
      <c r="G14" s="3000" t="s">
        <v>3156</v>
      </c>
      <c r="H14" s="3000">
        <v>208.21</v>
      </c>
      <c r="I14" s="3000" t="s">
        <v>3175</v>
      </c>
      <c r="J14" s="3000" t="s">
        <v>3177</v>
      </c>
    </row>
    <row r="15" spans="4:10" ht="14.25" thickBot="1">
      <c r="D15" s="3000">
        <v>6</v>
      </c>
      <c r="E15" s="3334"/>
      <c r="F15" s="3000">
        <v>450</v>
      </c>
      <c r="G15" s="3000" t="s">
        <v>3157</v>
      </c>
      <c r="H15" s="3000">
        <v>395.51</v>
      </c>
      <c r="I15" s="3000" t="s">
        <v>3175</v>
      </c>
      <c r="J15" s="3000" t="s">
        <v>3177</v>
      </c>
    </row>
    <row r="16" spans="4:10" ht="14.25" thickBot="1">
      <c r="D16" s="3000">
        <v>7</v>
      </c>
      <c r="E16" s="3334"/>
      <c r="F16" s="3000">
        <v>450</v>
      </c>
      <c r="G16" s="3000" t="s">
        <v>3158</v>
      </c>
      <c r="H16" s="3000">
        <v>205.83</v>
      </c>
      <c r="I16" s="3000" t="s">
        <v>3175</v>
      </c>
      <c r="J16" s="3000" t="s">
        <v>3177</v>
      </c>
    </row>
    <row r="17" spans="4:10" ht="14.25" thickBot="1">
      <c r="D17" s="3000">
        <v>8</v>
      </c>
      <c r="E17" s="3334"/>
      <c r="F17" s="3000">
        <v>450</v>
      </c>
      <c r="G17" s="3000" t="s">
        <v>3159</v>
      </c>
      <c r="H17" s="3000">
        <v>395.51</v>
      </c>
      <c r="I17" s="3000" t="s">
        <v>3175</v>
      </c>
      <c r="J17" s="3000" t="s">
        <v>3177</v>
      </c>
    </row>
    <row r="18" spans="4:10" ht="14.25" thickBot="1">
      <c r="D18" s="3000">
        <v>9</v>
      </c>
      <c r="E18" s="3334"/>
      <c r="F18" s="3000">
        <v>450</v>
      </c>
      <c r="G18" s="3000" t="s">
        <v>3160</v>
      </c>
      <c r="H18" s="3000">
        <v>62.3</v>
      </c>
      <c r="I18" s="3000" t="s">
        <v>3176</v>
      </c>
      <c r="J18" s="3000" t="s">
        <v>3178</v>
      </c>
    </row>
    <row r="19" spans="4:10" ht="14.25" thickBot="1">
      <c r="D19" s="3000">
        <v>10</v>
      </c>
      <c r="E19" s="3334"/>
      <c r="F19" s="3000">
        <v>450</v>
      </c>
      <c r="G19" s="3000" t="s">
        <v>3161</v>
      </c>
      <c r="H19" s="3000">
        <v>62.3</v>
      </c>
      <c r="I19" s="3000" t="s">
        <v>3176</v>
      </c>
      <c r="J19" s="3000" t="s">
        <v>3178</v>
      </c>
    </row>
    <row r="20" spans="4:10" ht="14.25" thickBot="1">
      <c r="D20" s="3000">
        <v>11</v>
      </c>
      <c r="E20" s="3334"/>
      <c r="F20" s="3000">
        <v>450</v>
      </c>
      <c r="G20" s="3000" t="s">
        <v>3162</v>
      </c>
      <c r="H20" s="3000">
        <v>62.3</v>
      </c>
      <c r="I20" s="3000" t="s">
        <v>3176</v>
      </c>
      <c r="J20" s="3000" t="s">
        <v>3178</v>
      </c>
    </row>
    <row r="21" spans="4:10" ht="14.25" thickBot="1">
      <c r="D21" s="3000">
        <v>12</v>
      </c>
      <c r="E21" s="3334"/>
      <c r="F21" s="3000">
        <v>450</v>
      </c>
      <c r="G21" s="3000" t="s">
        <v>3163</v>
      </c>
      <c r="H21" s="3000">
        <v>62.3</v>
      </c>
      <c r="I21" s="3000" t="s">
        <v>3176</v>
      </c>
      <c r="J21" s="3000" t="s">
        <v>3178</v>
      </c>
    </row>
    <row r="22" spans="4:10" ht="14.25" thickBot="1">
      <c r="D22" s="3000">
        <v>13</v>
      </c>
      <c r="E22" s="3334"/>
      <c r="F22" s="3000">
        <v>450</v>
      </c>
      <c r="G22" s="3000" t="s">
        <v>3164</v>
      </c>
      <c r="H22" s="3000">
        <v>62.3</v>
      </c>
      <c r="I22" s="3000" t="s">
        <v>3176</v>
      </c>
      <c r="J22" s="3000" t="s">
        <v>3178</v>
      </c>
    </row>
    <row r="23" spans="4:10" ht="14.25" thickBot="1">
      <c r="D23" s="3000">
        <v>14</v>
      </c>
      <c r="E23" s="3334"/>
      <c r="F23" s="3000">
        <v>450</v>
      </c>
      <c r="G23" s="3000" t="s">
        <v>3165</v>
      </c>
      <c r="H23" s="3000">
        <v>62.3</v>
      </c>
      <c r="I23" s="3000" t="s">
        <v>3176</v>
      </c>
      <c r="J23" s="3000" t="s">
        <v>3178</v>
      </c>
    </row>
    <row r="24" spans="4:10" ht="14.25" thickBot="1">
      <c r="D24" s="3000">
        <v>15</v>
      </c>
      <c r="E24" s="3334"/>
      <c r="F24" s="3000">
        <v>450</v>
      </c>
      <c r="G24" s="3000" t="s">
        <v>3166</v>
      </c>
      <c r="H24" s="3000">
        <v>62.3</v>
      </c>
      <c r="I24" s="3000" t="s">
        <v>3176</v>
      </c>
      <c r="J24" s="3000" t="s">
        <v>3178</v>
      </c>
    </row>
    <row r="25" spans="4:10" ht="14.25" thickBot="1">
      <c r="D25" s="3000">
        <v>16</v>
      </c>
      <c r="E25" s="3334"/>
      <c r="F25" s="3000">
        <v>450</v>
      </c>
      <c r="G25" s="3000" t="s">
        <v>3167</v>
      </c>
      <c r="H25" s="3000">
        <v>62.3</v>
      </c>
      <c r="I25" s="3000" t="s">
        <v>3176</v>
      </c>
      <c r="J25" s="3000" t="s">
        <v>3178</v>
      </c>
    </row>
    <row r="26" spans="4:10" ht="14.25" thickBot="1">
      <c r="D26" s="3000">
        <v>17</v>
      </c>
      <c r="E26" s="3334"/>
      <c r="F26" s="3000">
        <v>450</v>
      </c>
      <c r="G26" s="3000" t="s">
        <v>3168</v>
      </c>
      <c r="H26" s="3000">
        <v>62.3</v>
      </c>
      <c r="I26" s="3000" t="s">
        <v>3176</v>
      </c>
      <c r="J26" s="3000" t="s">
        <v>3178</v>
      </c>
    </row>
    <row r="27" spans="4:10" ht="14.25" thickBot="1">
      <c r="D27" s="3000">
        <v>18</v>
      </c>
      <c r="E27" s="3334"/>
      <c r="F27" s="3000">
        <v>450</v>
      </c>
      <c r="G27" s="3000" t="s">
        <v>3169</v>
      </c>
      <c r="H27" s="3000">
        <v>62.3</v>
      </c>
      <c r="I27" s="3000" t="s">
        <v>3176</v>
      </c>
      <c r="J27" s="3000" t="s">
        <v>3178</v>
      </c>
    </row>
    <row r="28" spans="4:10" ht="14.25" thickBot="1">
      <c r="D28" s="3000">
        <v>19</v>
      </c>
      <c r="E28" s="3334"/>
      <c r="F28" s="3000">
        <v>450</v>
      </c>
      <c r="G28" s="3000" t="s">
        <v>3170</v>
      </c>
      <c r="H28" s="3000">
        <v>62.3</v>
      </c>
      <c r="I28" s="3000" t="s">
        <v>3176</v>
      </c>
      <c r="J28" s="3000" t="s">
        <v>3178</v>
      </c>
    </row>
    <row r="29" spans="4:10" ht="14.25" thickBot="1">
      <c r="D29" s="3000">
        <v>20</v>
      </c>
      <c r="E29" s="3334"/>
      <c r="F29" s="3000">
        <v>450</v>
      </c>
      <c r="G29" s="3000" t="s">
        <v>3171</v>
      </c>
      <c r="H29" s="3000">
        <v>62.3</v>
      </c>
      <c r="I29" s="3000" t="s">
        <v>3176</v>
      </c>
      <c r="J29" s="3000" t="s">
        <v>3178</v>
      </c>
    </row>
    <row r="30" spans="4:10" ht="14.25" thickBot="1">
      <c r="D30" s="3000">
        <v>21</v>
      </c>
      <c r="E30" s="3334"/>
      <c r="F30" s="3000">
        <v>450</v>
      </c>
      <c r="G30" s="3000" t="s">
        <v>3172</v>
      </c>
      <c r="H30" s="3000">
        <v>62.3</v>
      </c>
      <c r="I30" s="3000" t="s">
        <v>3176</v>
      </c>
      <c r="J30" s="3000" t="s">
        <v>3178</v>
      </c>
    </row>
    <row r="31" spans="4:10" ht="14.25" thickBot="1">
      <c r="D31" s="3000">
        <v>22</v>
      </c>
      <c r="E31" s="3334"/>
      <c r="F31" s="3000">
        <v>450</v>
      </c>
      <c r="G31" s="3000" t="s">
        <v>3173</v>
      </c>
      <c r="H31" s="3000">
        <v>62.3</v>
      </c>
      <c r="I31" s="3000" t="s">
        <v>3176</v>
      </c>
      <c r="J31" s="3000" t="s">
        <v>3178</v>
      </c>
    </row>
    <row r="32" spans="4:10" ht="14.25" thickBot="1">
      <c r="D32" s="3000">
        <v>23</v>
      </c>
      <c r="E32" s="3335"/>
      <c r="F32" s="3000">
        <v>450</v>
      </c>
      <c r="G32" s="3000" t="s">
        <v>3174</v>
      </c>
      <c r="H32" s="3000">
        <v>62.3</v>
      </c>
      <c r="I32" s="3000" t="s">
        <v>3176</v>
      </c>
      <c r="J32" s="3000" t="s">
        <v>3178</v>
      </c>
    </row>
    <row r="33" spans="4:10" ht="26.25" customHeight="1" thickBot="1">
      <c r="D33" s="3336" t="s">
        <v>3180</v>
      </c>
      <c r="E33" s="3337"/>
      <c r="F33" s="3337"/>
      <c r="G33" s="3338"/>
      <c r="H33" s="3336">
        <f>SUM(H10:H32)</f>
        <v>3344.6200000000026</v>
      </c>
      <c r="I33" s="3337"/>
      <c r="J33" s="3338"/>
    </row>
  </sheetData>
  <mergeCells count="3">
    <mergeCell ref="E10:E32"/>
    <mergeCell ref="H33:J33"/>
    <mergeCell ref="D33:G33"/>
  </mergeCells>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0" t="s">
        <v>1660</v>
      </c>
      <c r="B1" s="3030"/>
      <c r="C1" s="3030"/>
      <c r="D1" s="3030"/>
    </row>
    <row r="2" spans="1:4" ht="18">
      <c r="A2" s="3031" t="s">
        <v>1644</v>
      </c>
      <c r="B2" s="3031"/>
      <c r="C2" s="3031"/>
      <c r="D2" s="3031"/>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31" t="s">
        <v>1650</v>
      </c>
      <c r="B6" s="3031"/>
      <c r="C6" s="3031"/>
      <c r="D6" s="3031"/>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32" t="s">
        <v>1653</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1654</v>
      </c>
      <c r="B16" s="3026"/>
      <c r="C16" s="3026"/>
      <c r="D16" s="3026"/>
    </row>
    <row r="17" spans="1:4" ht="144" customHeight="1">
      <c r="A17" s="3026" t="s">
        <v>1655</v>
      </c>
      <c r="B17" s="3026"/>
      <c r="C17" s="3026"/>
      <c r="D17" s="3026"/>
    </row>
    <row r="18" spans="1:4" ht="15.75" customHeight="1">
      <c r="A18" s="3024" t="str">
        <f>IF(项目基本情况!B8="抵押",'结果表-办公'!K120,"——")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1656</v>
      </c>
      <c r="B22" s="3028"/>
      <c r="C22" s="3028"/>
      <c r="D22" s="3028"/>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38" t="s">
        <v>1667</v>
      </c>
      <c r="B15" s="3033" t="s">
        <v>136</v>
      </c>
      <c r="C15" s="3034"/>
    </row>
    <row r="16" spans="1:7" ht="13.5">
      <c r="A16" s="3039"/>
      <c r="B16" s="3033" t="s">
        <v>69</v>
      </c>
      <c r="C16" s="3034"/>
    </row>
    <row r="17" spans="1:3" ht="13.5">
      <c r="A17" s="3039"/>
      <c r="B17" s="3036" t="s">
        <v>1668</v>
      </c>
      <c r="C17" s="2001" t="s">
        <v>1667</v>
      </c>
    </row>
    <row r="18" spans="1:3" ht="13.5">
      <c r="A18" s="3039"/>
      <c r="B18" s="3036"/>
      <c r="C18" s="2001" t="s">
        <v>1669</v>
      </c>
    </row>
    <row r="19" spans="1:3" ht="13.5">
      <c r="A19" s="3039"/>
      <c r="B19" s="3036"/>
      <c r="C19" s="2001" t="s">
        <v>1670</v>
      </c>
    </row>
    <row r="20" spans="1:3" ht="13.5">
      <c r="A20" s="3040"/>
      <c r="B20" s="3035" t="s">
        <v>1671</v>
      </c>
      <c r="C20" s="3034"/>
    </row>
    <row r="21" spans="1:3" ht="13.5">
      <c r="A21" s="2002" t="s">
        <v>1672</v>
      </c>
      <c r="B21" s="2003"/>
      <c r="C21" s="2004"/>
    </row>
    <row r="22" spans="1:3" ht="13.5">
      <c r="A22" s="3037" t="s">
        <v>1673</v>
      </c>
      <c r="B22" s="3035" t="s">
        <v>1674</v>
      </c>
      <c r="C22" s="3034"/>
    </row>
    <row r="23" spans="1:3" ht="13.5">
      <c r="A23" s="3037"/>
      <c r="B23" s="3035" t="s">
        <v>1675</v>
      </c>
      <c r="C23" s="3034"/>
    </row>
    <row r="24" spans="1:3" ht="13.5">
      <c r="A24" s="3037"/>
      <c r="B24" s="3035" t="s">
        <v>1676</v>
      </c>
      <c r="C24" s="3034"/>
    </row>
    <row r="25" spans="1:3" ht="13.5">
      <c r="A25" s="3037"/>
      <c r="B25" s="3036" t="s">
        <v>1677</v>
      </c>
      <c r="C25" s="2001" t="s">
        <v>1678</v>
      </c>
    </row>
    <row r="26" spans="1:3" ht="13.5">
      <c r="A26" s="3037"/>
      <c r="B26" s="3036"/>
      <c r="C26" s="2001" t="s">
        <v>1679</v>
      </c>
    </row>
    <row r="27" spans="1:3" ht="13.5">
      <c r="A27" s="3037"/>
      <c r="B27" s="3036"/>
      <c r="C27" s="2001" t="s">
        <v>1680</v>
      </c>
    </row>
    <row r="28" spans="1:3" ht="13.5">
      <c r="A28" s="3037"/>
      <c r="B28" s="3036"/>
      <c r="C28" s="2001" t="s">
        <v>1681</v>
      </c>
    </row>
    <row r="29" spans="1:3" ht="13.5">
      <c r="A29" s="3037"/>
      <c r="B29" s="3036"/>
      <c r="C29" s="2001" t="s">
        <v>1682</v>
      </c>
    </row>
    <row r="30" spans="1:3" ht="13.5">
      <c r="A30" s="3037"/>
      <c r="B30" s="3036"/>
      <c r="C30" s="2001" t="s">
        <v>1683</v>
      </c>
    </row>
    <row r="31" spans="1:3" ht="13.5">
      <c r="A31" s="3037"/>
      <c r="B31" s="3036"/>
      <c r="C31" s="2001" t="s">
        <v>1684</v>
      </c>
    </row>
    <row r="32" spans="1:3" ht="13.5">
      <c r="A32" s="3037"/>
      <c r="B32" s="3036"/>
      <c r="C32" s="2001" t="s">
        <v>1685</v>
      </c>
    </row>
    <row r="33" spans="1:3" ht="13.5">
      <c r="A33" s="3037"/>
      <c r="B33" s="3036"/>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43278</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1" t="s">
        <v>846</v>
      </c>
      <c r="B25" s="3041"/>
      <c r="C25" s="3041"/>
      <c r="D25" s="3041"/>
      <c r="E25" s="3041"/>
      <c r="F25" s="3041"/>
      <c r="G25" s="3041"/>
    </row>
    <row r="26" spans="1:7" s="1027" customFormat="1" ht="24" customHeight="1">
      <c r="A26" s="3042" t="s">
        <v>847</v>
      </c>
      <c r="B26" s="3042"/>
      <c r="C26" s="3043"/>
      <c r="D26" s="3044" t="s">
        <v>848</v>
      </c>
      <c r="E26" s="3042"/>
      <c r="F26" s="3042"/>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2018-06-27T08:06:23Z</dcterms:modified>
</cp:coreProperties>
</file>