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收益法-办公" sheetId="15" state="hidden" r:id="rId24"/>
    <sheet name="典型户型修正-办公" sheetId="31" r:id="rId25"/>
    <sheet name="结果表-车位" sheetId="79" r:id="rId26"/>
    <sheet name="比较法-车位" sheetId="35" r:id="rId27"/>
    <sheet name="收益法-车位" sheetId="77" state="hidden" r:id="rId28"/>
    <sheet name="收益法 (元)-车位" sheetId="67" r:id="rId29"/>
    <sheet name="收益法（汇总）" sheetId="70" state="hidden" r:id="rId30"/>
    <sheet name="酒店收入计算" sheetId="66" state="hidden" r:id="rId31"/>
    <sheet name="比较法-住宅" sheetId="21" state="hidden" r:id="rId32"/>
    <sheet name="比较法-商业" sheetId="33" state="hidden" r:id="rId33"/>
    <sheet name="比较法-工业" sheetId="37" state="hidden" r:id="rId34"/>
    <sheet name="典型户型修正-车库" sheetId="80" r:id="rId35"/>
    <sheet name="Sheet2" sheetId="78"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1" hidden="1">'比较法-办公'!$A$1:$L$50</definedName>
    <definedName name="_xlnm._FilterDatabase" localSheetId="36" hidden="1">'比较法-仓储'!$A$1:$L$37</definedName>
    <definedName name="_xlnm._FilterDatabase" localSheetId="26"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8">'收益法 (元)-车位'!$A$1:$AK$69</definedName>
    <definedName name="_xlnm.Print_Area" localSheetId="23">'收益法-办公'!$A$1:$AK$69</definedName>
    <definedName name="_xlnm.Print_Area" localSheetId="27">'收益法-车位'!$A$1:$AK$69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4">'典型户型修正-车库'!$5:$5</definedName>
    <definedName name="一修多修正项2">'典型户型修正-办公'!$5:$5</definedName>
    <definedName name="一修多修正项3" localSheetId="34">'典型户型修正-车库'!$7:$7</definedName>
    <definedName name="一修多修正项3">'典型户型修正-办公'!$7:$7</definedName>
    <definedName name="一修多修正项4" localSheetId="34">'典型户型修正-车库'!$9:$9</definedName>
    <definedName name="一修多修正项4">'典型户型修正-办公'!$9:$9</definedName>
    <definedName name="一修多修正项5" localSheetId="34">'典型户型修正-车库'!$11:$11</definedName>
    <definedName name="一修多修正项5">'典型户型修正-办公'!$11:$11</definedName>
    <definedName name="一修多修正项6" localSheetId="34">'典型户型修正-车库'!$13:$13</definedName>
    <definedName name="一修多修正项6">'典型户型修正-办公'!$13:$13</definedName>
    <definedName name="一修多修正项7" localSheetId="34">'典型户型修正-车库'!$15:$15</definedName>
    <definedName name="一修多修正项7">'典型户型修正-办公'!$15:$15</definedName>
    <definedName name="一修多修正项8" localSheetId="34">'典型户型修正-车库'!$17:$17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81" l="1"/>
  <c r="Q59" i="81"/>
  <c r="K59" i="81"/>
  <c r="P74" i="81" s="1"/>
  <c r="Q58" i="81"/>
  <c r="Q51" i="81"/>
  <c r="J50" i="81"/>
  <c r="J51" i="81" s="1"/>
  <c r="M47" i="81"/>
  <c r="D46" i="81"/>
  <c r="F34" i="81"/>
  <c r="F33" i="81"/>
  <c r="F61" i="81" s="1"/>
  <c r="F32" i="81"/>
  <c r="F60" i="81" s="1"/>
  <c r="F28" i="81"/>
  <c r="C28" i="81"/>
  <c r="F23" i="81"/>
  <c r="D24" i="81" s="1"/>
  <c r="D23" i="81"/>
  <c r="D22" i="81"/>
  <c r="F21" i="81"/>
  <c r="M20" i="81"/>
  <c r="F20" i="81"/>
  <c r="M19" i="81"/>
  <c r="M18" i="81"/>
  <c r="F18" i="81"/>
  <c r="F17" i="81"/>
  <c r="F15" i="81"/>
  <c r="G1" i="81"/>
  <c r="F62" i="81" l="1"/>
  <c r="P61" i="81"/>
  <c r="L47" i="81"/>
  <c r="F38" i="81"/>
  <c r="F36" i="81"/>
  <c r="M29" i="81"/>
  <c r="M26" i="81"/>
  <c r="M23" i="81"/>
  <c r="F16" i="81"/>
  <c r="M9" i="81"/>
  <c r="M6" i="81"/>
  <c r="F8" i="81"/>
  <c r="M22" i="81"/>
  <c r="F42" i="81"/>
  <c r="F9" i="81"/>
  <c r="F40" i="81"/>
  <c r="M24" i="81"/>
  <c r="C76" i="81"/>
  <c r="L48" i="81"/>
  <c r="F37" i="81"/>
  <c r="M27" i="81"/>
  <c r="F26" i="81"/>
  <c r="J15" i="81"/>
  <c r="F13" i="81"/>
  <c r="M8" i="81"/>
  <c r="F6" i="81"/>
  <c r="M28" i="81"/>
  <c r="F7" i="81"/>
  <c r="F31" i="81"/>
  <c r="F43" i="81"/>
  <c r="F71" i="81" l="1"/>
  <c r="F50" i="81"/>
  <c r="M7" i="81"/>
  <c r="C6" i="81"/>
  <c r="C27" i="81"/>
  <c r="F65" i="81"/>
  <c r="L57" i="81"/>
  <c r="L56" i="81"/>
  <c r="L60" i="81"/>
  <c r="I54" i="81"/>
  <c r="J57" i="81"/>
  <c r="J55" i="81" s="1"/>
  <c r="J58" i="81" s="1"/>
  <c r="Q50" i="81" s="1"/>
  <c r="J53" i="81"/>
  <c r="Q71" i="81"/>
  <c r="F68" i="81"/>
  <c r="F70" i="81"/>
  <c r="F51" i="81"/>
  <c r="C49" i="81" s="1"/>
  <c r="J6" i="81"/>
  <c r="F64" i="81"/>
  <c r="F66" i="81"/>
  <c r="M59" i="81"/>
  <c r="N59" i="81"/>
  <c r="L59" i="81"/>
  <c r="L58" i="81"/>
  <c r="C14" i="81"/>
  <c r="C16" i="81"/>
  <c r="M17" i="81"/>
  <c r="C17" i="81"/>
  <c r="F59" i="81"/>
  <c r="C18" i="81" l="1"/>
  <c r="C15" i="81"/>
  <c r="Q74" i="81"/>
  <c r="Q61" i="81"/>
  <c r="Q52" i="81"/>
  <c r="F1" i="81"/>
  <c r="Q57" i="81"/>
  <c r="Q66" i="81"/>
  <c r="Q73" i="81"/>
  <c r="Q60" i="81"/>
  <c r="C19" i="81" l="1"/>
  <c r="C20" i="81" s="1"/>
  <c r="C26" i="81" l="1"/>
  <c r="I48" i="34" l="1"/>
  <c r="G48" i="34"/>
  <c r="E48" i="34"/>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C18" i="79" s="1"/>
  <c r="D18" i="79" s="1"/>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4" i="77"/>
  <c r="F62" i="77" s="1"/>
  <c r="F33" i="77"/>
  <c r="F61" i="77" s="1"/>
  <c r="F32" i="77"/>
  <c r="F28" i="77"/>
  <c r="F23" i="77"/>
  <c r="D24" i="77" s="1"/>
  <c r="F21" i="77"/>
  <c r="M20" i="77"/>
  <c r="F20" i="77"/>
  <c r="M19" i="77"/>
  <c r="M18" i="77"/>
  <c r="F18" i="77"/>
  <c r="F17" i="77"/>
  <c r="F15" i="77"/>
  <c r="G1" i="77"/>
  <c r="Y7" i="1"/>
  <c r="Y6" i="1"/>
  <c r="N7" i="1"/>
  <c r="N6" i="1"/>
  <c r="G13" i="4"/>
  <c r="B3" i="4"/>
  <c r="D35" i="79"/>
  <c r="L47" i="77"/>
  <c r="F26" i="77"/>
  <c r="M27" i="77"/>
  <c r="F20" i="80"/>
  <c r="F8" i="77"/>
  <c r="F37" i="77"/>
  <c r="C76" i="77"/>
  <c r="D34" i="79"/>
  <c r="M24" i="77"/>
  <c r="M9" i="77"/>
  <c r="F6" i="77"/>
  <c r="J15" i="77"/>
  <c r="F40" i="77"/>
  <c r="M23" i="77"/>
  <c r="B22" i="80" l="1"/>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c r="F20" i="68"/>
  <c r="E10" i="68"/>
  <c r="E9" i="68"/>
  <c r="F7" i="68"/>
  <c r="C7" i="68" s="1"/>
  <c r="C5" i="68" s="1"/>
  <c r="W21" i="21"/>
  <c r="C40" i="68"/>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M20" i="15" s="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L48" i="77"/>
  <c r="M22" i="77"/>
  <c r="M28" i="77"/>
  <c r="F42" i="77"/>
  <c r="E12" i="76"/>
  <c r="B10" i="76"/>
  <c r="AO12" i="1"/>
  <c r="E9" i="76"/>
  <c r="D3" i="73"/>
  <c r="D2" i="34"/>
  <c r="D2" i="36"/>
  <c r="B11" i="76"/>
  <c r="F43" i="77"/>
  <c r="M8" i="77"/>
  <c r="F13" i="77"/>
  <c r="F16" i="77"/>
  <c r="B12" i="76"/>
  <c r="E13" i="76"/>
  <c r="E7" i="76"/>
  <c r="B13" i="76"/>
  <c r="AO10" i="1"/>
  <c r="D2" i="35"/>
  <c r="D34" i="9"/>
  <c r="D2" i="21"/>
  <c r="M6" i="77"/>
  <c r="M29" i="77"/>
  <c r="F36" i="77"/>
  <c r="F38" i="77"/>
  <c r="B9" i="76"/>
  <c r="B7" i="76"/>
  <c r="B8" i="76"/>
  <c r="E10" i="76"/>
  <c r="AO8" i="1"/>
  <c r="F20" i="31"/>
  <c r="D35" i="9"/>
  <c r="E2" i="68"/>
  <c r="M26" i="77"/>
  <c r="F7" i="77"/>
  <c r="F9" i="77"/>
  <c r="E8" i="76"/>
  <c r="E11" i="76"/>
  <c r="AO9" i="1"/>
  <c r="AO11" i="1"/>
  <c r="AO13" i="1"/>
  <c r="D2" i="37"/>
  <c r="D2" i="33"/>
  <c r="E2" i="69"/>
  <c r="F31" i="77"/>
  <c r="S44" i="34" l="1"/>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M8" i="15"/>
  <c r="F6" i="67"/>
  <c r="F9" i="67"/>
  <c r="M17" i="77"/>
  <c r="F13" i="15"/>
  <c r="F8" i="67"/>
  <c r="M26" i="67"/>
  <c r="M27" i="67"/>
  <c r="J15" i="67"/>
  <c r="M9" i="15"/>
  <c r="F38" i="15"/>
  <c r="M24" i="15"/>
  <c r="F43" i="15"/>
  <c r="M23" i="15"/>
  <c r="F9" i="15"/>
  <c r="F37" i="67"/>
  <c r="F43" i="67"/>
  <c r="M9" i="67"/>
  <c r="L48" i="67"/>
  <c r="D5" i="73"/>
  <c r="F8" i="15"/>
  <c r="F26" i="15"/>
  <c r="C16" i="77"/>
  <c r="C76" i="15"/>
  <c r="F37" i="15"/>
  <c r="M29" i="15"/>
  <c r="F42" i="15"/>
  <c r="L47" i="15"/>
  <c r="F7" i="67"/>
  <c r="M6" i="67"/>
  <c r="F42" i="67"/>
  <c r="F16" i="67"/>
  <c r="F40" i="67"/>
  <c r="M23" i="67"/>
  <c r="M24" i="67"/>
  <c r="D6" i="73"/>
  <c r="D4" i="73"/>
  <c r="F36" i="15"/>
  <c r="F59" i="77"/>
  <c r="M27" i="15"/>
  <c r="F7" i="15"/>
  <c r="J15" i="15"/>
  <c r="F6" i="15"/>
  <c r="F31" i="15" s="1"/>
  <c r="F38" i="67"/>
  <c r="F13" i="67"/>
  <c r="L47" i="67"/>
  <c r="M29" i="67"/>
  <c r="M28" i="15"/>
  <c r="M28" i="67"/>
  <c r="D7" i="73"/>
  <c r="M6" i="15"/>
  <c r="M26" i="15"/>
  <c r="F40" i="15"/>
  <c r="L48" i="15"/>
  <c r="M8" i="67"/>
  <c r="M22" i="67"/>
  <c r="F36" i="67"/>
  <c r="C76" i="67"/>
  <c r="F16" i="15"/>
  <c r="M22" i="15"/>
  <c r="F26" i="67"/>
  <c r="J53" i="67" l="1"/>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C14" i="67"/>
  <c r="C16" i="15"/>
  <c r="F7" i="73"/>
  <c r="C16" i="67"/>
  <c r="F59" i="67"/>
  <c r="F6" i="73"/>
  <c r="F5" i="73"/>
  <c r="F31" i="67"/>
  <c r="F4" i="73"/>
  <c r="F3" i="73"/>
  <c r="C17" i="67"/>
  <c r="M17" i="67"/>
  <c r="F59" i="15"/>
  <c r="M17" i="15"/>
  <c r="G1" i="73"/>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6" i="1"/>
  <c r="AE7" i="1"/>
  <c r="F41" i="81" s="1"/>
  <c r="F41" i="15"/>
  <c r="F41" i="67"/>
  <c r="F41" i="77"/>
  <c r="F69" i="81" l="1"/>
  <c r="C24" i="81"/>
  <c r="C23" i="81"/>
  <c r="M11" i="81"/>
  <c r="J10" i="81" s="1"/>
  <c r="J5" i="81" s="1"/>
  <c r="F11" i="81"/>
  <c r="F69" i="67"/>
  <c r="C19" i="67"/>
  <c r="C20" i="67" s="1"/>
  <c r="C26" i="67" s="1"/>
  <c r="I2" i="80"/>
  <c r="G38" i="35"/>
  <c r="R39" i="35"/>
  <c r="C38" i="35" s="1"/>
  <c r="AB10" i="40"/>
  <c r="W10" i="40"/>
  <c r="R50" i="34"/>
  <c r="C50" i="34" s="1"/>
  <c r="F69" i="77"/>
  <c r="F24" i="67"/>
  <c r="C24" i="67" s="1"/>
  <c r="F24" i="77"/>
  <c r="F11" i="77"/>
  <c r="M11" i="77"/>
  <c r="J10" i="77" s="1"/>
  <c r="J5" i="77" s="1"/>
  <c r="F69" i="15"/>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C17" i="15"/>
  <c r="C29" i="81" l="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9"/>
  <c r="C19" i="79"/>
  <c r="C14" i="15"/>
  <c r="C17" i="77"/>
  <c r="Q49" i="81" l="1"/>
  <c r="C13" i="81"/>
  <c r="C75" i="81" s="1"/>
  <c r="J14" i="81"/>
  <c r="J13" i="81" s="1"/>
  <c r="J23" i="81" s="1"/>
  <c r="J59" i="81"/>
  <c r="J60" i="81" s="1"/>
  <c r="L46" i="81" s="1"/>
  <c r="J19" i="81"/>
  <c r="C36" i="81"/>
  <c r="C37"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9"/>
  <c r="C14" i="77"/>
  <c r="C20" i="79"/>
  <c r="J22" i="81" l="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F35" i="67"/>
  <c r="M21" i="67"/>
  <c r="E6" i="76"/>
  <c r="J20" i="67" l="1"/>
  <c r="J17" i="67" s="1"/>
  <c r="J16" i="67" s="1"/>
  <c r="J25" i="67" s="1"/>
  <c r="C34" i="67"/>
  <c r="C31" i="67" s="1"/>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F35" i="77"/>
  <c r="B6" i="76"/>
  <c r="M21" i="77"/>
  <c r="L51" i="6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81"/>
  <c r="M21" i="81"/>
  <c r="M21" i="15"/>
  <c r="F35" i="15"/>
  <c r="J20" i="81" l="1"/>
  <c r="J17" i="81" s="1"/>
  <c r="J16" i="81" s="1"/>
  <c r="J25" i="81" s="1"/>
  <c r="C34" i="81"/>
  <c r="C31" i="81" s="1"/>
  <c r="C30" i="81" s="1"/>
  <c r="C39" i="81" s="1"/>
  <c r="F63" i="81"/>
  <c r="C62" i="81" s="1"/>
  <c r="C59" i="81" s="1"/>
  <c r="C58" i="81" s="1"/>
  <c r="C67" i="81" s="1"/>
  <c r="C68" i="81" s="1"/>
  <c r="R16" i="1"/>
  <c r="Q57" i="67"/>
  <c r="L46" i="67"/>
  <c r="Q65" i="67"/>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C30" i="15" s="1"/>
  <c r="C39" i="15" s="1"/>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L51" i="15"/>
  <c r="Q67" i="81" l="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67" i="15"/>
  <c r="C80" i="15"/>
  <c r="C79" i="15" s="1"/>
  <c r="C40" i="15"/>
  <c r="Q69" i="15"/>
  <c r="Q68"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Q56" i="81" l="1"/>
  <c r="Q62" i="81" s="1"/>
  <c r="C43" i="81"/>
  <c r="C83" i="81"/>
  <c r="C82" i="81" s="1"/>
  <c r="Q65" i="81"/>
  <c r="Q75" i="81" s="1"/>
  <c r="Q47" i="81"/>
  <c r="Q53" i="81" s="1"/>
  <c r="D2" i="81"/>
  <c r="C45" i="81"/>
  <c r="C46" i="81" s="1"/>
  <c r="Q69" i="77"/>
  <c r="Q68" i="77" s="1"/>
  <c r="C80" i="77"/>
  <c r="C79" i="77" s="1"/>
  <c r="C46" i="15"/>
  <c r="C43" i="77"/>
  <c r="Q56" i="77"/>
  <c r="Q62" i="77" s="1"/>
  <c r="C46" i="77"/>
  <c r="Q47" i="77"/>
  <c r="Q53" i="77" s="1"/>
  <c r="B2" i="15"/>
  <c r="C83" i="15"/>
  <c r="C82" i="15" s="1"/>
  <c r="Q65" i="77"/>
  <c r="Q75" i="77" s="1"/>
  <c r="C83" i="77"/>
  <c r="C82" i="77" s="1"/>
  <c r="Q56" i="15"/>
  <c r="Q62" i="15" s="1"/>
  <c r="C43" i="15"/>
  <c r="Q65" i="15"/>
  <c r="Q75" i="15" s="1"/>
  <c r="Q47" i="15"/>
  <c r="Q53" i="15"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L51" i="77"/>
  <c r="B3" i="81" l="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19" i="9"/>
  <c r="AO6" i="1"/>
  <c r="D20" i="79"/>
  <c r="D20" i="9"/>
  <c r="D102" i="9" l="1"/>
  <c r="G19" i="9"/>
  <c r="D22" i="9"/>
  <c r="D21" i="9"/>
  <c r="B6" i="70"/>
  <c r="B2" i="70" s="1"/>
  <c r="B3" i="70" s="1"/>
  <c r="D103" i="79"/>
  <c r="G20" i="79"/>
  <c r="R24" i="80" s="1"/>
  <c r="C32" i="79"/>
  <c r="G21" i="79"/>
  <c r="D103" i="9"/>
  <c r="G20" i="9"/>
  <c r="C32" i="9"/>
  <c r="G21"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<sst xmlns="http://schemas.openxmlformats.org/spreadsheetml/2006/main" count="8662" uniqueCount="3145">
  <si>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</si>
  <si>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</si>
  <si>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</si>
  <si>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</si>
  <si>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</si>
  <si>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</si>
  <si>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</si>
  <si>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</si>
  <si>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</si>
  <si>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</si>
  <si>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</si>
  <si>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</si>
  <si>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</si>
  <si>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</si>
  <si>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</si>
  <si>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</si>
  <si>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</si>
  <si>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</si>
  <si>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</si>
  <si>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</si>
  <si>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</si>
  <si>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</si>
  <si>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</si>
  <si>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</si>
  <si>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</si>
  <si>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</si>
  <si>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</si>
  <si>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</si>
  <si>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</si>
  <si>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</si>
  <si>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</si>
  <si>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</si>
  <si>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</si>
  <si>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</si>
  <si>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</si>
  <si>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</si>
  <si>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</si>
  <si>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</si>
  <si>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</si>
  <si>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</si>
  <si>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</si>
  <si>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</si>
  <si>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</si>
  <si>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</si>
  <si>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</si>
  <si>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</si>
  <si>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</si>
  <si>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</si>
  <si>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</si>
  <si>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</si>
  <si>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</si>
  <si>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</si>
  <si>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</si>
  <si>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</si>
  <si>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</si>
  <si>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</si>
  <si>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</si>
  <si>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</si>
  <si>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</si>
  <si>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</si>
  <si>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</si>
  <si>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</si>
  <si>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</si>
  <si>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</si>
  <si>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</si>
  <si>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</si>
  <si>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</si>
  <si>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</si>
  <si>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</si>
  <si>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</si>
  <si>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</si>
  <si>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</si>
  <si>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</si>
  <si>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</si>
  <si>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</si>
  <si>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</si>
  <si>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</si>
  <si>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</si>
  <si>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</si>
  <si>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</si>
  <si>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</si>
  <si>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</si>
  <si>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</si>
  <si>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</si>
  <si>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</si>
  <si>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</si>
  <si>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</si>
  <si>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</si>
  <si>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</si>
  <si>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</si>
  <si>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</si>
  <si>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</si>
  <si>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</si>
  <si>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</si>
  <si>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</si>
  <si>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</si>
  <si>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</si>
  <si>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</si>
  <si>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</si>
  <si>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</si>
  <si>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</si>
  <si>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</si>
  <si>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</si>
  <si>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</si>
  <si>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</si>
  <si>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</si>
  <si>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</si>
  <si>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</si>
  <si>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</si>
  <si>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</si>
  <si>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</si>
  <si>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</si>
  <si>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</si>
  <si>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</si>
  <si>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</si>
  <si>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</si>
  <si>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</si>
  <si>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</si>
  <si>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</si>
  <si>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</si>
  <si>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</si>
  <si>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</si>
  <si>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</si>
  <si>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</si>
  <si>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</si>
  <si>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</si>
  <si>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</si>
  <si>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</si>
  <si>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</si>
  <si>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</si>
  <si>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</si>
  <si>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</si>
  <si>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</si>
  <si>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</si>
  <si>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</si>
  <si>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</si>
  <si>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</si>
  <si>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</si>
  <si>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</si>
  <si>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</si>
  <si>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</si>
  <si>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</si>
  <si>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</si>
  <si>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</si>
  <si>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</si>
  <si>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</si>
  <si>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</si>
  <si>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</si>
  <si>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</si>
  <si>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</si>
  <si>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</si>
  <si>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</si>
  <si>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</si>
  <si>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</si>
  <si>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</si>
  <si>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</si>
  <si>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</si>
  <si>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</si>
  <si>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</si>
  <si>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</si>
  <si>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</si>
  <si>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</si>
  <si>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</si>
  <si>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</si>
  <si>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</si>
  <si>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</si>
  <si>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</si>
  <si>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</si>
  <si>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</si>
  <si>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</si>
  <si>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</si>
  <si>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</si>
  <si>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</si>
  <si>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</si>
  <si>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</si>
  <si>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</si>
  <si>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</si>
  <si>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</si>
  <si>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</si>
  <si>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</si>
  <si>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</si>
  <si>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</si>
  <si>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</si>
  <si>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</si>
  <si>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</si>
  <si>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</si>
  <si>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</si>
  <si>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</si>
  <si>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</si>
  <si>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</si>
  <si>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</si>
  <si>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</si>
  <si>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</si>
  <si>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</si>
  <si>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</si>
  <si>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</si>
  <si>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</si>
  <si>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</si>
  <si>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</si>
  <si>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</si>
  <si>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</si>
  <si>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</si>
  <si>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</si>
  <si>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</si>
  <si>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</si>
  <si>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</si>
  <si>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</si>
  <si>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</si>
  <si>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</si>
  <si>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</si>
  <si>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</si>
  <si>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</si>
  <si>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</si>
  <si>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</si>
  <si>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</si>
  <si>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</si>
  <si>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</si>
  <si>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</si>
  <si>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</si>
  <si>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</si>
  <si>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</si>
  <si>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</si>
  <si>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</si>
  <si>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</si>
  <si>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</si>
  <si>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</si>
  <si>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</si>
  <si>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</si>
  <si>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</si>
  <si>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</si>
  <si>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</si>
  <si>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</si>
  <si>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</si>
  <si>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</si>
  <si>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</si>
  <si>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</si>
  <si>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</si>
  <si>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</si>
  <si>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</si>
  <si>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</si>
  <si>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</si>
  <si>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</si>
  <si>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</si>
  <si>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</si>
  <si>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</si>
  <si>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</si>
  <si>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</si>
  <si>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</si>
  <si>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</si>
  <si>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</si>
  <si>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</si>
  <si>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</si>
  <si>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</si>
  <si>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</si>
  <si>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</si>
  <si>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</si>
  <si>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</si>
  <si>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</si>
  <si>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</si>
  <si>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</si>
  <si>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</si>
  <si>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</si>
  <si>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</si>
  <si>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</si>
  <si>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</si>
  <si>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</si>
  <si>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</si>
  <si>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</si>
  <si>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</si>
  <si>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</si>
  <si>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</si>
  <si>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</si>
  <si>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</si>
  <si>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</si>
  <si>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</si>
  <si>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</si>
  <si>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</si>
  <si>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</si>
  <si>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</si>
  <si>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</si>
  <si>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</si>
  <si>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</si>
  <si>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</si>
  <si>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</si>
  <si>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</si>
  <si>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</si>
  <si>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</si>
  <si>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</si>
  <si>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</si>
  <si>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</si>
  <si>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</si>
  <si>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</si>
  <si>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</si>
  <si>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</si>
  <si>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</si>
  <si>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</si>
  <si>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</si>
  <si>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</si>
  <si>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</si>
  <si>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</si>
  <si>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</si>
  <si>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</si>
  <si>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</si>
  <si>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</si>
  <si>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</si>
  <si>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</si>
  <si>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</si>
  <si>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</si>
  <si>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</si>
  <si>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</si>
  <si>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</si>
  <si>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</si>
  <si>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</si>
  <si>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</si>
  <si>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</si>
  <si>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</si>
  <si>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</si>
  <si>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</si>
  <si>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</si>
  <si>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</si>
  <si>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</si>
  <si>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</si>
  <si>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</si>
  <si>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</si>
  <si>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</si>
  <si>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</si>
  <si>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</si>
  <si>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</si>
  <si>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</si>
  <si>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</si>
  <si>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</si>
  <si>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</si>
  <si>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</si>
  <si>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</si>
  <si>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</si>
  <si>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</si>
  <si>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</si>
  <si>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</si>
  <si>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</si>
  <si>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</si>
  <si>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</si>
  <si>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</si>
  <si>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</si>
  <si>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</si>
  <si>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</si>
  <si>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</si>
  <si>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</si>
  <si>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</si>
  <si>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</si>
  <si>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</si>
  <si>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</si>
  <si>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</si>
  <si>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</si>
  <si>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</si>
  <si>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</si>
  <si>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</si>
  <si>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</si>
  <si>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</si>
  <si>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</si>
  <si>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</si>
  <si>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</si>
  <si>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</si>
  <si>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</si>
  <si>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</si>
  <si>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</si>
  <si>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</si>
  <si>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</si>
  <si>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</si>
  <si>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</si>
  <si>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</si>
  <si>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</si>
  <si>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</si>
  <si>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</si>
  <si>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</si>
  <si>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</si>
  <si>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</si>
  <si>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</si>
  <si>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</si>
  <si>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</si>
  <si>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</si>
  <si>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</si>
  <si>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</si>
  <si>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</si>
  <si>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</si>
  <si>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</si>
  <si>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</si>
  <si>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</si>
  <si>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</si>
  <si>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</si>
  <si>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</si>
  <si>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</si>
  <si>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</si>
  <si>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</si>
  <si>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</si>
  <si>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</si>
  <si>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</si>
  <si>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</si>
  <si>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</si>
  <si>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</si>
  <si>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</si>
  <si>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</si>
  <si>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</si>
  <si>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</si>
  <si>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</si>
  <si>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</si>
  <si>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</si>
  <si>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</si>
  <si>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</si>
  <si>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</si>
  <si>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</si>
  <si>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</si>
  <si>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</si>
  <si>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</si>
  <si>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</si>
  <si>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</si>
  <si>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</si>
  <si>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</si>
  <si>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</si>
  <si>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</si>
  <si>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</si>
  <si>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</si>
  <si>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</si>
  <si>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</si>
  <si>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</si>
  <si>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</si>
  <si>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</si>
  <si>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</si>
  <si>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</si>
  <si>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</si>
  <si>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</si>
  <si>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</si>
  <si>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</si>
  <si>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</si>
  <si>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</si>
  <si>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</si>
  <si>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</si>
  <si>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</si>
  <si>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</si>
  <si>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</si>
  <si>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</si>
  <si>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</si>
  <si>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</si>
  <si>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</si>
  <si>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</si>
  <si>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</si>
  <si>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</si>
  <si>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</si>
  <si>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</si>
  <si>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</si>
  <si>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</si>
  <si>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</si>
  <si>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</si>
  <si>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</si>
  <si>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</si>
  <si>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</si>
  <si>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</si>
  <si>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</si>
  <si>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</si>
  <si>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</si>
  <si>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</si>
  <si>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</si>
  <si>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</si>
  <si>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</si>
  <si>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</si>
  <si>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</si>
  <si>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</si>
  <si>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</si>
  <si>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</si>
  <si>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</si>
  <si>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</si>
  <si>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</si>
  <si>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</si>
  <si>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</si>
  <si>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</si>
  <si>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</si>
  <si>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</si>
  <si>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</si>
  <si>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</si>
  <si>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</si>
  <si>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</si>
  <si>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</si>
  <si>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</si>
  <si>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</si>
  <si>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</si>
  <si>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</si>
  <si>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</si>
  <si>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</si>
  <si>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</si>
  <si>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</si>
  <si>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</si>
  <si>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</si>
  <si>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</si>
  <si>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</si>
  <si>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</si>
  <si>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</si>
  <si>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</si>
  <si>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</si>
  <si>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</si>
  <si>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</si>
  <si>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</si>
  <si>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</si>
  <si>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</si>
  <si>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</si>
  <si>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</si>
  <si>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</si>
  <si>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</si>
  <si>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</si>
  <si>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</si>
  <si>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</si>
  <si>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</si>
  <si>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</si>
  <si>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</si>
  <si>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</si>
  <si>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</si>
  <si>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</si>
  <si>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</si>
  <si>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</si>
  <si>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</si>
  <si>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</si>
  <si>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</si>
  <si>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</si>
  <si>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</si>
  <si>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</si>
  <si>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</si>
  <si>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</si>
  <si>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</si>
  <si>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</si>
  <si>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</si>
  <si>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</si>
  <si>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</si>
  <si>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</si>
  <si>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</si>
  <si>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</si>
  <si>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</si>
  <si>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</si>
  <si>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</si>
  <si>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</si>
  <si>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</si>
  <si>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</si>
  <si>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</si>
  <si>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</si>
  <si>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</si>
  <si>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</si>
  <si>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</si>
  <si>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</si>
  <si>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</si>
  <si>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</si>
  <si>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</si>
  <si>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</si>
  <si>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</si>
  <si>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</si>
  <si>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</si>
  <si>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</si>
  <si>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</si>
  <si>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</si>
  <si>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</si>
  <si>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</si>
  <si>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</si>
  <si>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</si>
  <si>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</si>
  <si>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</si>
  <si>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</si>
  <si>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</si>
  <si>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</si>
  <si>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</si>
  <si>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</si>
  <si>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</si>
  <si>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</si>
  <si>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</si>
  <si>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</si>
  <si>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</si>
  <si>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</si>
  <si>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</si>
  <si>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</si>
  <si>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</si>
  <si>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</si>
  <si>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</si>
  <si>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</si>
  <si>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</si>
  <si>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</si>
  <si>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</si>
  <si>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</si>
  <si>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</si>
  <si>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</si>
  <si>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</si>
  <si>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</si>
  <si>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</si>
  <si>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</si>
  <si>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</si>
  <si>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</si>
  <si>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</si>
  <si>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</si>
  <si>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</si>
  <si>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</si>
  <si>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</si>
  <si>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</si>
  <si>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</si>
  <si>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</si>
  <si>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</si>
  <si>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</si>
  <si>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</si>
  <si>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</si>
  <si>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</si>
  <si>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</si>
  <si>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</si>
  <si>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</si>
  <si>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</si>
  <si>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</si>
  <si>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</si>
  <si>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</si>
  <si>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</si>
  <si>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</si>
  <si>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</si>
  <si>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</si>
  <si>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</si>
  <si>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</si>
  <si>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</si>
  <si>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</si>
  <si>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</si>
  <si>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</si>
  <si>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</si>
  <si>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</si>
  <si>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</si>
  <si>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</si>
  <si>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</si>
  <si>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</si>
  <si>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</si>
  <si>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</si>
  <si>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</si>
  <si>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</si>
  <si>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</si>
  <si>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</si>
  <si>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</si>
  <si>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</si>
  <si>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</si>
  <si>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</si>
  <si>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</si>
  <si>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</si>
  <si>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</si>
  <si>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</si>
  <si>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</si>
  <si>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</si>
  <si>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</si>
  <si>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</si>
  <si>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</si>
  <si>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</si>
  <si>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</si>
  <si>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</si>
  <si>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</si>
  <si>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</si>
  <si>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</si>
  <si>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</si>
  <si>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</si>
  <si>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</si>
  <si>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</si>
  <si>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</si>
  <si>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</si>
  <si>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</si>
  <si>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</si>
  <si>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</si>
  <si>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</si>
  <si>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</si>
  <si>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</si>
  <si>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</si>
  <si>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</si>
  <si>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</si>
  <si>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</si>
  <si>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</si>
  <si>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</si>
  <si>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</si>
  <si>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</si>
  <si>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</si>
  <si>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</si>
  <si>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</si>
  <si>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</si>
  <si>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</si>
  <si>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</si>
  <si>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</si>
  <si>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</si>
  <si>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</si>
  <si>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</si>
  <si>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</si>
  <si>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</si>
  <si>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</si>
  <si>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</si>
  <si>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</si>
  <si>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</si>
  <si>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</si>
  <si>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</si>
  <si>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</si>
  <si>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</si>
  <si>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</si>
  <si>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</si>
  <si>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</si>
  <si>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</si>
  <si>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</si>
  <si>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</si>
  <si>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</si>
  <si>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</si>
  <si>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</si>
  <si>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</si>
  <si>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</si>
  <si>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</si>
  <si>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</si>
  <si>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</si>
  <si>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</si>
  <si>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</si>
  <si>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</si>
  <si>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</si>
  <si>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</si>
  <si>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</si>
  <si>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</si>
  <si>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</si>
  <si>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</si>
  <si>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</si>
  <si>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</si>
  <si>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</si>
  <si>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</si>
  <si>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</si>
  <si>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</si>
  <si>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</si>
  <si>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</si>
  <si>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</si>
  <si>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</si>
  <si>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</si>
  <si>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</si>
  <si>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</si>
  <si>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</si>
  <si>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</si>
  <si>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</si>
  <si>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</si>
  <si>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</si>
  <si>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</si>
  <si>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</si>
  <si>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</si>
  <si>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</si>
  <si>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</si>
  <si>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</si>
  <si>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</si>
  <si>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</si>
  <si>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</si>
  <si>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</si>
  <si>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</si>
  <si>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</si>
  <si>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</si>
  <si>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</si>
  <si>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</si>
  <si>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</si>
  <si>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</si>
  <si>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</si>
  <si>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</si>
  <si>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</si>
  <si>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</si>
  <si>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</si>
  <si>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</si>
  <si>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</si>
  <si>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</si>
  <si>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</si>
  <si>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</si>
  <si>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</si>
  <si>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</si>
  <si>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</si>
  <si>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</si>
  <si>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</si>
  <si>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</si>
  <si>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</si>
  <si>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</si>
  <si>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</si>
  <si>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</si>
  <si>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</si>
  <si>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</si>
  <si>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</si>
  <si>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</si>
  <si>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</si>
  <si>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</si>
  <si>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</si>
  <si>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</si>
  <si>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</si>
  <si>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</si>
  <si>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</si>
  <si>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</si>
  <si>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</si>
  <si>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</si>
  <si>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</si>
  <si>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</si>
  <si>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</si>
  <si>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</si>
  <si>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</si>
  <si>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</si>
  <si>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</si>
  <si>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</si>
  <si>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</si>
  <si>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</si>
  <si>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</si>
  <si>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</si>
  <si>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</si>
  <si>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</si>
  <si>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</si>
  <si>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</si>
  <si>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</si>
  <si>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</si>
  <si>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</si>
  <si>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</si>
  <si>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</si>
  <si>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</si>
  <si>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</si>
  <si>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</si>
  <si>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</si>
  <si>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</si>
  <si>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</si>
  <si>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</si>
  <si>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</si>
  <si>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</si>
  <si>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</si>
  <si>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</si>
  <si>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</si>
  <si>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</si>
  <si>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</si>
  <si>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</si>
  <si>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</si>
  <si>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</si>
  <si>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</si>
  <si>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</si>
  <si>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</si>
  <si>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</si>
  <si>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</si>
  <si>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</si>
  <si>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</si>
  <si>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</si>
  <si>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</si>
  <si>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</si>
  <si>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</si>
  <si>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</si>
  <si>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</si>
  <si>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</si>
  <si>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</si>
  <si>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</si>
  <si>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</si>
  <si>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</si>
  <si>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</si>
  <si>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</si>
  <si>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</si>
  <si>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</si>
  <si>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</si>
  <si>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</si>
  <si>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</si>
  <si>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</si>
  <si>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</si>
  <si>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</si>
  <si>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</si>
  <si>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</si>
  <si>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</si>
  <si>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</si>
  <si>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</si>
  <si>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</si>
  <si>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</si>
  <si>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</si>
  <si>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</si>
  <si>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</si>
  <si>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</si>
  <si>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</si>
  <si>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</si>
  <si>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</si>
  <si>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</si>
  <si>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</si>
  <si>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</si>
  <si>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</si>
  <si>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</si>
  <si>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</si>
  <si>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</si>
  <si>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</si>
  <si>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</si>
  <si>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</si>
  <si>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</si>
  <si>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</si>
  <si>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</si>
  <si>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</si>
  <si>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</si>
  <si>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</si>
  <si>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</si>
  <si>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</si>
  <si>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</si>
  <si>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</si>
  <si>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</si>
  <si>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</si>
  <si>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</si>
  <si>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</si>
  <si>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</si>
  <si>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</si>
  <si>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</si>
  <si>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</si>
  <si>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</si>
  <si>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</si>
  <si>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</si>
  <si>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</si>
  <si>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</si>
  <si>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</si>
  <si>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</si>
  <si>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</si>
  <si>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</si>
  <si>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</si>
  <si>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</si>
  <si>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</si>
  <si>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</si>
  <si>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</si>
  <si>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</si>
  <si>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</si>
  <si>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</si>
  <si>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</si>
  <si>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</si>
  <si>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</si>
  <si>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</si>
  <si>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</si>
  <si>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</si>
  <si>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</si>
  <si>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</si>
  <si>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</si>
  <si>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</si>
  <si>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</si>
  <si>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</si>
  <si>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</si>
  <si>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</si>
  <si>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</si>
  <si>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</si>
  <si>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</si>
  <si>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</si>
  <si>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</si>
  <si>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</si>
  <si>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</si>
  <si>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</si>
  <si>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</si>
  <si>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</si>
  <si>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</si>
  <si>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</si>
  <si>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</si>
  <si>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</si>
  <si>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</si>
  <si>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</si>
  <si>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</si>
  <si>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</si>
  <si>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</si>
  <si>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</si>
  <si>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</si>
  <si>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</si>
  <si>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</si>
  <si>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</si>
  <si>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</si>
  <si>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</si>
  <si>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</si>
  <si>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</si>
  <si>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</si>
  <si>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</si>
  <si>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</si>
  <si>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</si>
  <si>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</si>
  <si>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</si>
  <si>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</si>
  <si>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</si>
  <si>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</si>
  <si>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</si>
  <si>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</si>
  <si>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</si>
  <si>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</si>
  <si>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</si>
  <si>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</si>
  <si>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</si>
  <si>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</si>
  <si>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</si>
  <si>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</si>
  <si>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</si>
  <si>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</si>
  <si>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</si>
  <si>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</si>
  <si>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</si>
  <si>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</si>
  <si>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</si>
  <si>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</si>
  <si>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</si>
  <si>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</si>
  <si>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</si>
  <si>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</si>
  <si>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</si>
  <si>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</si>
  <si>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</si>
  <si>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</si>
  <si>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</si>
  <si>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</si>
  <si>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</si>
  <si>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</si>
  <si>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</si>
  <si>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</si>
  <si>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</si>
  <si>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</si>
  <si>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</si>
  <si>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</si>
  <si>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</si>
  <si>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</si>
  <si>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</si>
  <si>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</si>
  <si>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</si>
  <si>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</si>
  <si>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</si>
  <si>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</si>
  <si>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</si>
  <si>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</si>
  <si>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</si>
  <si>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</si>
  <si>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</si>
  <si>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</si>
  <si>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</si>
  <si>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</si>
  <si>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</si>
  <si>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</si>
  <si>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</si>
  <si>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</si>
  <si>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</si>
  <si>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</si>
  <si>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</si>
  <si>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</si>
  <si>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</si>
  <si>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</si>
  <si>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</si>
  <si>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</si>
  <si>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</si>
  <si>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</si>
  <si>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</si>
  <si>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</si>
  <si>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</si>
  <si>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</si>
  <si>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</si>
  <si>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</si>
  <si>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</si>
  <si>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</si>
  <si>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</si>
  <si>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</si>
  <si>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</si>
  <si>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</si>
  <si>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</si>
  <si>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</si>
  <si>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</si>
  <si>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</si>
  <si>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</si>
  <si>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</si>
  <si>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</si>
  <si>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</si>
  <si>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</si>
  <si>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</si>
  <si>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</si>
  <si>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</si>
  <si>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</si>
  <si>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</si>
  <si>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</si>
  <si>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</si>
  <si>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</si>
  <si>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</si>
  <si>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</si>
  <si>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</si>
  <si>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</si>
  <si>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</si>
  <si>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</si>
  <si>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</si>
  <si>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</si>
  <si>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</si>
  <si>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</si>
  <si>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</si>
  <si>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</si>
  <si>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</si>
  <si>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</si>
  <si>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</si>
  <si>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</si>
  <si>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</si>
  <si>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</si>
  <si>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</si>
  <si>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</si>
  <si>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</si>
  <si>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</si>
  <si>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</si>
  <si>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</si>
  <si>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</si>
  <si>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</si>
  <si>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</si>
  <si>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</si>
  <si>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</si>
  <si>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</si>
  <si>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</si>
  <si>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</si>
  <si>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</si>
  <si>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</si>
  <si>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</si>
  <si>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</si>
  <si>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</si>
  <si>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</si>
  <si>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</si>
  <si>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</si>
  <si>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</si>
  <si>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</si>
  <si>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</si>
  <si>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</si>
  <si>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</si>
  <si>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</si>
  <si>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</si>
  <si>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</si>
  <si>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</si>
  <si>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</si>
  <si>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</si>
  <si>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</si>
  <si>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</si>
  <si>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</si>
  <si>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</si>
  <si>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</si>
  <si>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</si>
  <si>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</si>
  <si>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</si>
  <si>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</si>
  <si>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</si>
  <si>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</si>
  <si>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</si>
  <si>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</si>
  <si>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</si>
  <si>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</si>
  <si>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</si>
  <si>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</si>
  <si>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</si>
  <si>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</si>
  <si>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</si>
  <si>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</si>
  <si>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</si>
  <si>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</si>
  <si>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</si>
  <si>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</si>
  <si>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</si>
  <si>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</si>
  <si>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</si>
  <si>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</si>
  <si>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</si>
  <si>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</si>
  <si>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</si>
  <si>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</si>
  <si>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</si>
  <si>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</si>
  <si>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</si>
  <si>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</si>
  <si>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</si>
  <si>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</si>
  <si>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</si>
  <si>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</si>
  <si>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</si>
  <si>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</si>
  <si>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</si>
  <si>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</si>
  <si>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</si>
  <si>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</si>
  <si>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</si>
  <si>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</si>
  <si>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</si>
  <si>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</si>
  <si>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</si>
  <si>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</si>
  <si>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</si>
  <si>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</si>
  <si>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</si>
  <si>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</si>
  <si>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</si>
  <si>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</si>
  <si>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</si>
  <si>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</si>
  <si>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</si>
  <si>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</si>
  <si>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</si>
  <si>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</si>
  <si>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</si>
  <si>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</si>
  <si>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</si>
  <si>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</si>
  <si>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</si>
  <si>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</si>
  <si>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</si>
  <si>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</si>
  <si>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</si>
  <si>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</si>
  <si>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</si>
  <si>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</si>
  <si>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</si>
  <si>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</si>
  <si>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</si>
  <si>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</si>
  <si>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</si>
  <si>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</si>
  <si>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</si>
  <si>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</si>
  <si>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</si>
  <si>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</si>
  <si>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</si>
  <si>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</si>
  <si>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</si>
  <si>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</si>
  <si>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</si>
  <si>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</si>
  <si>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</si>
  <si>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</si>
  <si>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</si>
  <si>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</si>
  <si>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</si>
  <si>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</si>
  <si>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</si>
  <si>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</si>
  <si>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</si>
  <si>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</si>
  <si>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</si>
  <si>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</si>
  <si>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</si>
  <si>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</si>
  <si>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</si>
  <si>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</si>
  <si>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</si>
  <si>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</si>
  <si>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</si>
  <si>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</si>
  <si>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</si>
  <si>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</si>
  <si>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</si>
  <si>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</si>
  <si>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</si>
  <si>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</si>
  <si>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</si>
  <si>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</si>
  <si>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</si>
  <si>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</si>
  <si>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</si>
  <si>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</si>
  <si>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</si>
  <si>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</si>
  <si>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</si>
  <si>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</si>
  <si>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</si>
  <si>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</si>
  <si>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</si>
  <si>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</si>
  <si>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</si>
  <si>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</si>
  <si>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</si>
  <si>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</si>
  <si>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</si>
  <si>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</si>
  <si>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</si>
  <si>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</si>
  <si>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</si>
  <si>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</si>
  <si>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</si>
  <si>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</si>
  <si>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</si>
  <si>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</si>
  <si>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</si>
  <si>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</si>
  <si>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</si>
  <si>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</si>
  <si>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</si>
  <si>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</si>
  <si>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</si>
  <si>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</si>
  <si>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</si>
  <si>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</si>
  <si>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</si>
  <si>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</si>
  <si>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</si>
  <si>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</si>
  <si>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</si>
  <si>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</si>
  <si>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</si>
  <si>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</si>
  <si>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</si>
  <si>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</si>
  <si>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</si>
  <si>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</si>
  <si>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</si>
  <si>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</si>
  <si>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</si>
  <si>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</si>
  <si>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</si>
  <si>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</si>
  <si>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</si>
  <si>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</si>
  <si>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</si>
  <si>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</si>
  <si>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</si>
  <si>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</si>
  <si>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</si>
  <si>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</si>
  <si>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</si>
  <si>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</si>
  <si>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</si>
  <si>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</si>
  <si>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</si>
  <si>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</si>
  <si>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</si>
  <si>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</si>
  <si>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</si>
  <si>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</si>
  <si>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</si>
  <si>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</si>
  <si>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</si>
  <si>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</si>
  <si>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</si>
  <si>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</si>
  <si>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</si>
  <si>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</si>
  <si>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</si>
  <si>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</si>
  <si>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</si>
  <si>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</si>
  <si>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</si>
  <si>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</si>
  <si>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</si>
  <si>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</si>
  <si>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</si>
  <si>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</si>
  <si>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</si>
  <si>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</si>
  <si>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</si>
  <si>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</si>
  <si>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</si>
  <si>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</si>
  <si>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</si>
  <si>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</si>
  <si>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</si>
  <si>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</si>
  <si>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</si>
  <si>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</si>
  <si>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</si>
  <si>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</si>
  <si>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</si>
  <si>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</si>
  <si>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</si>
  <si>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</si>
  <si>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</si>
  <si>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</si>
  <si>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</si>
  <si>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</si>
  <si>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</si>
  <si>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</si>
  <si>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</si>
  <si>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</si>
  <si>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</si>
  <si>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</si>
  <si>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</si>
  <si>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</si>
  <si>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</si>
  <si>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</si>
  <si>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</si>
  <si>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</si>
  <si>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</si>
  <si>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</si>
  <si>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</si>
  <si>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</si>
  <si>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</si>
  <si>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</si>
  <si>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</si>
  <si>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</si>
  <si>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</si>
  <si>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</si>
  <si>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</si>
  <si>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</si>
  <si>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</si>
  <si>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</si>
  <si>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</si>
  <si>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</si>
  <si>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</si>
  <si>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</si>
  <si>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</si>
  <si>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</si>
  <si>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</si>
  <si>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</si>
  <si>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</si>
  <si>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</si>
  <si>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</si>
  <si>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</si>
  <si>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</si>
  <si>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</si>
  <si>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</si>
  <si>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</si>
  <si>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</si>
  <si>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</si>
  <si>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</si>
  <si>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</si>
  <si>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</si>
  <si>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</si>
  <si>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</si>
  <si>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</si>
  <si>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</si>
  <si>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</si>
  <si>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</si>
  <si>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</si>
  <si>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</si>
  <si>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</si>
  <si>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</si>
  <si>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</si>
  <si>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</si>
  <si>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</si>
  <si>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</si>
  <si>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</si>
  <si>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</si>
  <si>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</si>
  <si>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</si>
  <si>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</si>
  <si>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</si>
  <si>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</si>
  <si>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</si>
  <si>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</si>
  <si>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</si>
  <si>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</si>
  <si>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</si>
  <si>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</si>
  <si>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</si>
  <si>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</si>
  <si>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</si>
  <si>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</si>
  <si>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</si>
  <si>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</si>
  <si>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</si>
  <si>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</si>
  <si>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</si>
  <si>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</si>
  <si>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</si>
  <si>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</si>
  <si>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</si>
  <si>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</si>
  <si>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</si>
  <si>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</si>
  <si>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</si>
  <si>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</si>
  <si>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</si>
  <si>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</si>
  <si>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</si>
  <si>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</si>
  <si>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</si>
  <si>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</si>
  <si>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</si>
  <si>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</si>
  <si>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</si>
  <si>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</si>
  <si>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</si>
  <si>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</si>
  <si>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</si>
  <si>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</si>
  <si>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</si>
  <si>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</si>
  <si>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</si>
  <si>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</si>
  <si>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</si>
  <si>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</si>
  <si>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</si>
  <si>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</si>
  <si>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</si>
  <si>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</si>
  <si>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</si>
  <si>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</si>
  <si>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</si>
  <si>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</si>
  <si>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</si>
  <si>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</si>
  <si>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</si>
  <si>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</si>
  <si>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</si>
  <si>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</si>
  <si>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</si>
  <si>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</si>
  <si>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</si>
  <si>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</si>
  <si>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</si>
  <si>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</si>
  <si>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</si>
  <si>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</si>
  <si>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</si>
  <si>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</si>
  <si>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</si>
  <si>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</si>
  <si>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</si>
  <si>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</si>
  <si>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</si>
  <si>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</si>
  <si>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</si>
  <si>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</si>
  <si>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</si>
  <si>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</si>
  <si>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</si>
  <si>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</si>
  <si>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</si>
  <si>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</si>
  <si>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</si>
  <si>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</si>
  <si>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</si>
  <si>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</si>
  <si>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</si>
  <si>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</si>
  <si>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</si>
  <si>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</si>
  <si>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</si>
  <si>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</si>
  <si>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</si>
  <si>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</si>
  <si>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</si>
  <si>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</si>
  <si>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</si>
  <si>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</si>
  <si>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</si>
  <si>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</si>
  <si>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</si>
  <si>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</si>
  <si>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</si>
  <si>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</si>
  <si>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</si>
  <si>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</si>
  <si>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</si>
  <si>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</si>
  <si>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</si>
  <si>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</si>
  <si>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</si>
  <si>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</si>
  <si>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</si>
  <si>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</si>
  <si>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</si>
  <si>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</si>
  <si>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</si>
  <si>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</si>
  <si>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</si>
  <si>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</si>
  <si>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</si>
  <si>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</si>
  <si>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</si>
  <si>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</si>
  <si>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</si>
  <si>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</si>
  <si>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</si>
  <si>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</si>
  <si>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</si>
  <si>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</si>
  <si>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</si>
  <si>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</si>
  <si>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</si>
  <si>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</si>
  <si>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</si>
  <si>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</si>
  <si>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</si>
  <si>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</si>
  <si>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</si>
  <si>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</si>
  <si>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</si>
  <si>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</si>
  <si>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</si>
  <si>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</si>
  <si>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</si>
  <si>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</si>
  <si>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</si>
  <si>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</si>
  <si>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</si>
  <si>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</si>
  <si>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</si>
  <si>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</si>
  <si>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</si>
  <si>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</si>
  <si>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</si>
  <si>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</si>
  <si>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</si>
  <si>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</si>
  <si>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</si>
  <si>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</si>
  <si>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</si>
  <si>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</si>
  <si>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</si>
  <si>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</si>
  <si>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</si>
  <si>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</si>
  <si>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</si>
  <si>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</si>
  <si>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</si>
  <si>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</si>
  <si>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</si>
  <si>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</si>
  <si>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</si>
  <si>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</si>
  <si>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</si>
  <si>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</si>
  <si>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</si>
  <si>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</si>
  <si>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</si>
  <si>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</si>
  <si>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</si>
  <si>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</si>
  <si>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</si>
  <si>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</si>
  <si>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</si>
  <si>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</si>
  <si>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</si>
  <si>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</si>
  <si>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</si>
  <si>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</si>
  <si>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</si>
  <si>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</si>
  <si>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</si>
  <si>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</si>
  <si>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</si>
  <si>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</si>
  <si>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</si>
  <si>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</si>
  <si>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</si>
  <si>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</si>
  <si>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</si>
  <si>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</si>
  <si>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</si>
  <si>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</si>
  <si>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</si>
  <si>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</si>
  <si>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</si>
  <si>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</si>
  <si>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</si>
  <si>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</si>
  <si>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</si>
  <si>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</si>
  <si>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</si>
  <si>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</si>
  <si>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</si>
  <si>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</si>
  <si>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</si>
  <si>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</si>
  <si>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</si>
  <si>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</si>
  <si>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</si>
  <si>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</si>
  <si>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</si>
  <si>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</si>
  <si>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</si>
  <si>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</si>
  <si>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</si>
  <si>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</si>
  <si>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</si>
  <si>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</si>
  <si>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</si>
  <si>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</si>
  <si>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</si>
  <si>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</si>
  <si>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</si>
  <si>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</si>
  <si>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</si>
  <si>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</si>
  <si>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</si>
  <si>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</si>
  <si>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</si>
  <si>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</si>
  <si>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</si>
  <si>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</si>
  <si>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</si>
  <si>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</si>
  <si>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</si>
  <si>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</si>
  <si>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</si>
  <si>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</si>
  <si>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</si>
  <si>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</si>
  <si>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</si>
  <si>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</si>
  <si>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</si>
  <si>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</si>
  <si>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</si>
  <si>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</si>
  <si>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</si>
  <si>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</si>
  <si>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</si>
  <si>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</si>
  <si>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</si>
  <si>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</si>
  <si>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</si>
  <si>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</si>
  <si>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</si>
  <si>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</si>
  <si>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</si>
  <si>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</si>
  <si>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</si>
  <si>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</si>
  <si>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</si>
  <si>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</si>
  <si>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</si>
  <si>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</si>
  <si>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</si>
  <si>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</si>
  <si>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</si>
  <si>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</si>
  <si>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</si>
  <si>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</si>
  <si>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</si>
  <si>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</si>
  <si>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</si>
  <si>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</si>
  <si>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</si>
  <si>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</si>
  <si>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</si>
  <si>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</si>
  <si>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</si>
  <si>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</si>
  <si>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</si>
  <si>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</si>
  <si>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</si>
  <si>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</si>
  <si>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</si>
  <si>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</si>
  <si>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</si>
  <si>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</si>
  <si>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</si>
  <si>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</si>
  <si>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</si>
  <si>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</si>
  <si>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</si>
  <si>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</si>
  <si>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</si>
  <si>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</si>
  <si>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</si>
  <si>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</si>
  <si>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</si>
  <si>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</si>
  <si>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</si>
  <si>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</si>
  <si>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</si>
  <si>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</si>
  <si>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</si>
  <si>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</si>
  <si>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</si>
  <si>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</si>
  <si>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</si>
  <si>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</si>
  <si>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</si>
  <si>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</si>
  <si>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</si>
  <si>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</si>
  <si>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</si>
  <si>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</si>
  <si>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</si>
  <si>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</si>
  <si>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</si>
  <si>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</si>
  <si>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</si>
  <si>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</si>
  <si>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</si>
  <si>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</si>
  <si>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</si>
  <si>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</si>
  <si>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</si>
  <si>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</si>
  <si>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</si>
  <si>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</si>
  <si>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</si>
  <si>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</si>
  <si>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</si>
  <si>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</si>
  <si>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</si>
  <si>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</si>
  <si>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</si>
  <si>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</si>
  <si>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</si>
  <si>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</si>
  <si>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</si>
  <si>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</si>
  <si>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</si>
  <si>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</si>
  <si>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</si>
  <si>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</si>
  <si>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</si>
  <si>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</si>
  <si>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</si>
  <si>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</si>
  <si>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</si>
  <si>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</si>
  <si>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</si>
  <si>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</si>
  <si>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</si>
  <si>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</si>
  <si>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</si>
  <si>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</si>
  <si>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</si>
  <si>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</si>
  <si>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</si>
  <si>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</si>
  <si>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</si>
  <si>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</si>
  <si>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</si>
  <si>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</si>
  <si>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</si>
  <si>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</si>
  <si>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</si>
  <si>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</si>
  <si>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</si>
  <si>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</si>
  <si>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</si>
  <si>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</si>
  <si>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</si>
  <si>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</si>
  <si>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</si>
  <si>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</si>
  <si>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</si>
  <si>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</si>
  <si>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</si>
  <si>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</si>
  <si>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</si>
  <si>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</si>
  <si>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</si>
  <si>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</si>
  <si>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</si>
  <si>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</si>
  <si>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</si>
  <si>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</si>
  <si>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</si>
  <si>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</si>
  <si>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</si>
  <si>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</si>
  <si>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</si>
  <si>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</si>
  <si>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</si>
  <si>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</si>
  <si>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</si>
  <si>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</si>
  <si>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</si>
  <si>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</si>
  <si>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</si>
  <si>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</si>
  <si>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</si>
  <si>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</si>
  <si>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</si>
  <si>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</si>
  <si>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</si>
  <si>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</si>
  <si>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</si>
  <si>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</si>
  <si>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</si>
  <si>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</si>
  <si>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</si>
  <si>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</si>
  <si>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</si>
  <si>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</si>
  <si>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</si>
  <si>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</si>
  <si>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</si>
  <si>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</si>
  <si>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</si>
  <si>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</si>
  <si>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</si>
  <si>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</si>
  <si>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</si>
  <si>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</si>
  <si>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</si>
  <si>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</si>
  <si>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</si>
  <si>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</si>
  <si>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</si>
  <si>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</si>
  <si>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</si>
  <si>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</si>
  <si>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</si>
  <si>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</si>
  <si>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</si>
  <si>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</si>
  <si>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</si>
  <si>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</si>
  <si>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</si>
  <si>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</si>
  <si>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</si>
  <si>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</si>
  <si>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</si>
  <si>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</si>
  <si>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</si>
  <si>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</si>
  <si>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</si>
  <si>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</si>
  <si>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</si>
  <si>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</si>
  <si>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</si>
  <si>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</si>
  <si>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</si>
  <si>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</si>
  <si>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</si>
  <si>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</si>
  <si>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</si>
  <si>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</si>
  <si>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</si>
  <si>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</si>
  <si>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</si>
  <si>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</si>
  <si>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</si>
  <si>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</si>
  <si>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</si>
  <si>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</si>
  <si>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</si>
  <si>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</si>
  <si>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</si>
  <si>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</si>
  <si>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</si>
  <si>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</si>
  <si>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</si>
  <si>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</si>
  <si>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</si>
  <si>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</si>
  <si>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</si>
  <si>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</si>
  <si>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</si>
  <si>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</si>
  <si>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</si>
  <si>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</si>
  <si>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</si>
  <si>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</si>
  <si>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</si>
  <si>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</si>
  <si>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</si>
  <si>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</si>
  <si>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</si>
  <si>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</si>
  <si>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</si>
  <si>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</si>
  <si>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</si>
  <si>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</si>
  <si>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</si>
  <si>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</si>
  <si>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</si>
  <si>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</si>
  <si>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</si>
  <si>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</si>
  <si>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</si>
  <si>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</si>
  <si>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</si>
  <si>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</si>
  <si>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</si>
  <si>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</si>
  <si>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</si>
  <si>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</si>
  <si>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</si>
  <si>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</si>
  <si>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</si>
  <si>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</si>
  <si>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</si>
  <si>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</si>
  <si>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</si>
  <si>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</si>
  <si>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</si>
  <si>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</si>
  <si>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</si>
  <si>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</si>
  <si>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</si>
  <si>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</si>
  <si>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</si>
  <si>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</si>
  <si>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</si>
  <si>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</si>
  <si>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</si>
  <si>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</si>
  <si>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</si>
  <si>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</si>
  <si>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</si>
  <si>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</si>
  <si>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</si>
  <si>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</si>
  <si>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</si>
  <si>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</si>
  <si>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</si>
  <si>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</si>
  <si>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</si>
  <si>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</si>
  <si>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</si>
  <si>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</si>
  <si>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</si>
  <si>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</si>
  <si>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</si>
  <si>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</si>
  <si>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</si>
  <si>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</si>
  <si>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</si>
  <si>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</si>
  <si>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</si>
  <si>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</si>
  <si>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</si>
  <si>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</si>
  <si>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</si>
  <si>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</si>
  <si>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</si>
  <si>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</si>
  <si>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</si>
  <si>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</si>
  <si>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</si>
  <si>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</si>
  <si>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</si>
  <si>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</si>
  <si>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</si>
  <si>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</si>
  <si>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</si>
  <si>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</si>
  <si>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</si>
  <si>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</si>
  <si>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</si>
  <si>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</si>
  <si>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</si>
  <si>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</si>
  <si>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</si>
  <si>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</si>
  <si>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</si>
  <si>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</si>
  <si>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</si>
  <si>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</si>
  <si>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</si>
  <si>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</si>
  <si>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</si>
  <si>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</si>
  <si>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</si>
  <si>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</si>
  <si>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</si>
  <si>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</si>
  <si>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</si>
  <si>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</si>
  <si>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</si>
  <si>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</si>
  <si>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</si>
  <si>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</si>
  <si>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</si>
  <si>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</si>
  <si>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</si>
  <si>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</si>
  <si>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</si>
  <si>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</si>
  <si>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</si>
  <si>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</si>
  <si>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</si>
  <si>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</si>
  <si>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</si>
  <si>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</si>
  <si>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</si>
  <si>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</si>
  <si>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</si>
  <si>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</si>
  <si>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</si>
  <si>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</si>
  <si>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</si>
  <si>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</si>
  <si>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</si>
  <si>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</si>
  <si>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</si>
  <si>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</si>
  <si>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</si>
  <si>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</si>
  <si>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</si>
  <si>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</si>
  <si>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</si>
  <si>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</si>
  <si>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</si>
  <si>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</si>
  <si>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</si>
  <si>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</si>
  <si>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</si>
  <si>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</si>
  <si>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</si>
  <si>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</si>
  <si>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</si>
  <si>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</si>
  <si>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</si>
  <si>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</si>
  <si>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</si>
  <si>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</si>
  <si>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</si>
  <si>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</si>
  <si>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</si>
  <si>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</si>
  <si>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</si>
  <si>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</si>
  <si>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</si>
  <si>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</si>
  <si>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</si>
  <si>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</si>
  <si>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</si>
  <si>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</si>
  <si>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</si>
  <si>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</si>
  <si>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</si>
  <si>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</si>
  <si>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</si>
  <si>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</si>
  <si>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</si>
  <si>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</si>
  <si>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</si>
  <si>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</si>
  <si>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</si>
  <si>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</si>
  <si>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</si>
  <si>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</si>
  <si>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</si>
  <si>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</si>
  <si>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</si>
  <si>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</si>
  <si>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</si>
  <si>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</si>
  <si>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</si>
  <si>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</si>
  <si>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</si>
  <si>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</si>
  <si>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</si>
  <si>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</si>
  <si>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</si>
  <si>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</si>
  <si>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</si>
  <si>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</si>
  <si>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</si>
  <si>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</si>
  <si>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</si>
  <si>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</si>
  <si>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</si>
  <si>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</si>
  <si>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</si>
  <si>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</si>
  <si>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</si>
  <si>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</si>
  <si>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</si>
  <si>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</si>
  <si>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</si>
  <si>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</si>
  <si>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</si>
  <si>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</si>
  <si>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</si>
  <si>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</si>
  <si>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</si>
  <si>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</si>
  <si>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</si>
  <si>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</si>
  <si>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</si>
  <si>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</si>
  <si>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</si>
  <si>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</si>
  <si>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</si>
  <si>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</si>
  <si>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</si>
  <si>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</si>
  <si>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</si>
  <si>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</si>
  <si>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</si>
  <si>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</si>
  <si>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</si>
  <si>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</si>
  <si>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</si>
  <si>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</si>
  <si>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</si>
  <si>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</si>
  <si>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</si>
  <si>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</si>
  <si>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</si>
  <si>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</si>
  <si>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</si>
  <si>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</si>
  <si>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</si>
  <si>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</si>
  <si>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</si>
  <si>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</si>
  <si>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</si>
  <si>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</si>
  <si>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</si>
  <si>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</si>
  <si>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</si>
  <si>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</si>
  <si>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</si>
  <si>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</si>
  <si>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</si>
  <si>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</si>
  <si>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</si>
  <si>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</si>
  <si>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</si>
  <si>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</si>
  <si>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</si>
  <si>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</si>
  <si>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</si>
  <si>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</si>
  <si>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</si>
  <si>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</si>
  <si>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</si>
  <si>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</si>
  <si>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</si>
  <si>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</si>
  <si>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</si>
  <si>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</si>
  <si>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</si>
  <si>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</si>
  <si>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</si>
  <si>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</si>
  <si>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</si>
  <si>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</si>
  <si>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</si>
  <si>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</si>
  <si>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</si>
  <si>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</si>
  <si>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</si>
  <si>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</si>
  <si>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</si>
  <si>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</si>
  <si>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</si>
  <si>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</si>
  <si>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</si>
  <si>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</si>
  <si>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</si>
  <si>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</si>
  <si>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</si>
  <si>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</si>
  <si>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</si>
  <si>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</si>
  <si>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</si>
  <si>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</si>
  <si>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</si>
  <si>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</si>
  <si>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</si>
  <si>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</si>
  <si>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</si>
  <si>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</si>
  <si>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</si>
  <si>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</si>
  <si>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</si>
  <si>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</si>
  <si>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</si>
  <si>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</si>
  <si>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</si>
  <si>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</si>
  <si>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</si>
  <si>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</si>
  <si>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</si>
  <si>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</si>
  <si>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</si>
  <si>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</si>
  <si>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</si>
  <si>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</si>
  <si>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</si>
  <si>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</si>
  <si>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</si>
  <si>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</si>
  <si>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</si>
  <si>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</si>
  <si>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</si>
  <si>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</si>
  <si>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</si>
  <si>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</si>
  <si>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</si>
  <si>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</si>
  <si>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</si>
  <si>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</si>
  <si>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</si>
  <si>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</si>
  <si>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</si>
  <si>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</si>
  <si>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</si>
  <si>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</si>
  <si>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</si>
  <si>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</si>
  <si>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</si>
  <si>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</si>
  <si>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</si>
  <si>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</si>
  <si>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</si>
  <si>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</si>
  <si>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</si>
  <si>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</si>
  <si>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</si>
  <si>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</si>
  <si>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</si>
  <si>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</si>
  <si>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</si>
  <si>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</si>
  <si>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</si>
  <si>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</si>
  <si>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</si>
  <si>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</si>
  <si>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</si>
  <si>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</si>
  <si>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</si>
  <si>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</si>
  <si>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</si>
  <si>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</si>
  <si>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</si>
  <si>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</si>
  <si>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</si>
  <si>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</si>
  <si>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</si>
  <si>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</si>
  <si>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</si>
  <si>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</si>
  <si>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</si>
  <si>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</si>
  <si>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</si>
  <si>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</si>
  <si>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</si>
  <si>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</si>
  <si>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</si>
  <si>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</si>
  <si>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</si>
  <si>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</si>
  <si>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</si>
  <si>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</si>
  <si>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</si>
  <si>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</si>
  <si>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</si>
  <si>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</si>
  <si>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</si>
  <si>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</si>
  <si>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</si>
  <si>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</si>
  <si>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</si>
  <si>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</si>
  <si>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</si>
  <si>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</si>
  <si>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</si>
  <si>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</si>
  <si>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</si>
  <si>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</si>
  <si>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</si>
  <si>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</si>
  <si>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</si>
  <si>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</si>
  <si>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</si>
  <si>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</si>
  <si>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</si>
  <si>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</si>
  <si>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</si>
  <si>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</si>
  <si>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</si>
  <si>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</si>
  <si>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</si>
  <si>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</si>
  <si>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</si>
  <si>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</si>
  <si>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</si>
  <si>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</si>
  <si>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</si>
  <si>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</si>
  <si>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</si>
  <si>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</si>
  <si>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</si>
  <si>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</si>
  <si>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</si>
  <si>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</si>
  <si>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</si>
  <si>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</si>
  <si>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</si>
  <si>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</si>
  <si>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</si>
  <si>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</si>
  <si>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</si>
  <si>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</si>
  <si>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</si>
  <si>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</si>
  <si>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</si>
  <si>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</si>
  <si>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</si>
  <si>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</si>
  <si>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</si>
  <si>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</si>
  <si>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</si>
  <si>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</si>
  <si>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</si>
  <si>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</si>
  <si>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</si>
  <si>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</si>
  <si>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</si>
  <si>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</si>
  <si>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</si>
  <si>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</si>
  <si>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</si>
  <si>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</si>
  <si>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</si>
  <si>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</si>
  <si>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</si>
  <si>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</si>
  <si>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</si>
  <si>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</si>
  <si>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</si>
  <si>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</si>
  <si>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</si>
  <si>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</si>
  <si>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</si>
  <si>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</si>
  <si>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</si>
  <si>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</si>
  <si>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</si>
  <si>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</si>
  <si>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</si>
  <si>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</si>
  <si>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</si>
  <si>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</si>
  <si>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</si>
  <si>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</si>
  <si>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</si>
  <si>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</si>
  <si>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</si>
  <si>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</si>
  <si>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</si>
  <si>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</si>
  <si>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</si>
  <si>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</si>
  <si>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</si>
  <si>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</si>
  <si>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</si>
  <si>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</si>
  <si>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</si>
  <si>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</si>
  <si>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</si>
  <si>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</si>
  <si>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</si>
  <si>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</si>
  <si>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</si>
  <si>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</si>
  <si>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</si>
  <si>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</si>
  <si>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</si>
  <si>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</si>
  <si>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</si>
  <si>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</si>
  <si>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</si>
  <si>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</si>
  <si>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</si>
  <si>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</si>
  <si>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</si>
  <si>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</si>
  <si>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</si>
  <si>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</si>
  <si>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</si>
  <si>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</si>
  <si>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</si>
  <si>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</si>
  <si>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</si>
  <si>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</si>
  <si>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</si>
  <si>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</si>
  <si>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</si>
  <si>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</si>
  <si>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</si>
  <si>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</si>
  <si>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</si>
  <si>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</si>
  <si>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</si>
  <si>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</si>
  <si>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</si>
  <si>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</si>
  <si>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</si>
  <si>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</si>
  <si>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</si>
  <si>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</si>
  <si>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</si>
  <si>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</si>
  <si>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</si>
  <si>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</si>
  <si>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</si>
  <si>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</si>
  <si>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</si>
  <si>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</si>
  <si>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</si>
  <si>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</si>
  <si>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</si>
  <si>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</si>
  <si>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</si>
  <si>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</si>
  <si>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</si>
  <si>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</si>
  <si>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</si>
  <si>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</si>
  <si>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</si>
  <si>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</si>
  <si>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</si>
  <si>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</si>
  <si>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</si>
  <si>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</si>
  <si>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</si>
  <si>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</si>
  <si>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</si>
  <si>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</si>
  <si>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</si>
  <si>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</si>
  <si>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</si>
  <si>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</si>
  <si>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</si>
  <si>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</si>
  <si>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</si>
  <si>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</si>
  <si>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</si>
  <si>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</si>
  <si>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</si>
  <si>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</si>
  <si>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</si>
  <si>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</si>
  <si>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</si>
  <si>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</si>
  <si>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</si>
  <si>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</si>
  <si>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</si>
  <si>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</si>
  <si>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</si>
  <si>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</si>
  <si>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</si>
  <si>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</si>
  <si>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</si>
  <si>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</si>
  <si>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</si>
  <si>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</si>
  <si>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</si>
  <si>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</si>
  <si>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</si>
  <si>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</si>
  <si>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</si>
  <si>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</si>
  <si>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</si>
  <si>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</si>
  <si>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</si>
  <si>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</si>
  <si>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</si>
  <si>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</si>
  <si>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</si>
  <si>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</si>
  <si>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</si>
  <si>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</si>
  <si>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</si>
  <si>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</si>
  <si>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</si>
  <si>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</si>
  <si>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</si>
  <si>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</si>
  <si>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</si>
  <si>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</si>
  <si>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</si>
  <si>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</si>
  <si>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</si>
  <si>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</si>
  <si>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</si>
  <si>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</si>
  <si>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</si>
  <si>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</si>
  <si>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</si>
  <si>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</si>
  <si>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</si>
  <si>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</si>
  <si>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</si>
  <si>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</si>
  <si>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</si>
  <si>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</si>
  <si>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</si>
  <si>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</si>
  <si>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</si>
  <si>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</si>
  <si>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</si>
  <si>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</si>
  <si>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</si>
  <si>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</si>
  <si>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</si>
  <si>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</si>
  <si>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</si>
  <si>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</si>
  <si>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</si>
  <si>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</si>
  <si>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</si>
  <si>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</si>
  <si>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</si>
  <si>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</si>
  <si>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</si>
  <si>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</si>
  <si>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</si>
  <si>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</si>
  <si>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</si>
  <si>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</si>
  <si>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</si>
  <si>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</si>
  <si>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</si>
  <si>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</si>
  <si>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</si>
  <si>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</si>
  <si>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</si>
  <si>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</si>
  <si>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</si>
  <si>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</si>
  <si>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</si>
  <si>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</si>
  <si>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</si>
  <si>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</si>
  <si>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</si>
  <si>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</si>
  <si>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</si>
  <si>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</si>
  <si>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</si>
  <si>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</si>
  <si>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</si>
  <si>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</si>
  <si>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</si>
  <si>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</si>
  <si>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</si>
  <si>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</si>
  <si>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</si>
  <si>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</si>
  <si>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</si>
  <si>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</si>
  <si>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</si>
  <si>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</si>
  <si>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</si>
  <si>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</si>
  <si>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</si>
  <si>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</si>
  <si>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</si>
  <si>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</si>
  <si>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</si>
  <si>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</si>
  <si>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</si>
  <si>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</si>
  <si>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</si>
  <si>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</si>
  <si>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</si>
  <si>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</si>
  <si>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</si>
  <si>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</si>
  <si>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</si>
  <si>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</si>
  <si>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</si>
  <si>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</si>
  <si>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</si>
  <si>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</si>
  <si>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</si>
  <si>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</si>
  <si>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</si>
  <si>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</si>
  <si>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</si>
  <si>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</si>
  <si>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</si>
  <si>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</si>
  <si>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</si>
  <si>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</si>
  <si>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</si>
  <si>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</si>
  <si>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</si>
  <si>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</si>
  <si>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</si>
  <si>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</si>
  <si>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</si>
  <si>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</si>
  <si>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</si>
  <si>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</si>
  <si>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</si>
  <si>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</si>
  <si>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</si>
  <si>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</si>
  <si>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</si>
  <si>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</si>
  <si>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</si>
  <si>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</si>
  <si>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</si>
  <si>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</si>
  <si>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</si>
  <si>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</si>
  <si>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</si>
  <si>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</si>
  <si>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</si>
  <si>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</si>
  <si>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</si>
  <si>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</si>
  <si>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</si>
  <si>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</si>
  <si>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</si>
  <si>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</si>
  <si>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</si>
  <si>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</si>
  <si>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</si>
  <si>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</si>
  <si>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</si>
  <si>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</si>
  <si>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</si>
  <si>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</si>
  <si>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</si>
  <si>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</si>
  <si>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</si>
  <si>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</si>
  <si>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</si>
  <si>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</si>
  <si>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</si>
  <si>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</si>
  <si>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</si>
  <si>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</si>
  <si>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</si>
  <si>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</si>
  <si>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</si>
  <si>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</si>
  <si>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</si>
  <si>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</si>
  <si>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</si>
  <si>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</si>
  <si>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</si>
  <si>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</si>
  <si>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</si>
  <si>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</si>
  <si>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</si>
  <si>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</si>
  <si>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</si>
  <si>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</si>
  <si>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</si>
  <si>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</si>
  <si>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</si>
  <si>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</si>
  <si>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</si>
  <si>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</si>
  <si>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</si>
  <si>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</si>
  <si>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</si>
  <si>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</si>
  <si>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</si>
  <si>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</si>
  <si>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</si>
  <si>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</si>
  <si>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</si>
  <si>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</si>
  <si>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</si>
  <si>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</si>
  <si>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</si>
  <si>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</si>
  <si>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</si>
  <si>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</si>
  <si>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</si>
  <si>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</si>
  <si>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</si>
  <si>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</si>
  <si>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</si>
  <si>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</si>
  <si>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</si>
  <si>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</si>
  <si>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</si>
  <si>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</si>
  <si>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</si>
  <si>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</si>
  <si>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</si>
  <si>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</si>
  <si>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</si>
  <si>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</si>
  <si>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</si>
  <si>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</si>
  <si>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</si>
  <si>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</si>
  <si>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</si>
  <si>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</si>
  <si>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</si>
  <si>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</si>
  <si>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</si>
  <si>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</si>
  <si>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</si>
  <si>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</si>
  <si>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</si>
  <si>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</si>
  <si>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</si>
  <si>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</si>
  <si>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</si>
  <si>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</si>
  <si>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</si>
  <si>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</si>
  <si>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</si>
  <si>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</si>
  <si>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</si>
  <si>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</si>
  <si>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</si>
  <si>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</si>
  <si>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</si>
  <si>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</si>
  <si>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</si>
  <si>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</si>
  <si>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</si>
  <si>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</si>
  <si>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</si>
  <si>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</si>
  <si>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</si>
  <si>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</si>
  <si>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</si>
  <si>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</si>
  <si>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</si>
  <si>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</si>
  <si>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</si>
  <si>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</si>
  <si>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</si>
  <si>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</si>
  <si>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</si>
  <si>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</si>
  <si>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</si>
  <si>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</si>
  <si>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</si>
  <si>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</si>
  <si>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</si>
  <si>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</si>
  <si>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</si>
  <si>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</si>
  <si>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</si>
  <si>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</si>
  <si>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</si>
  <si>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</si>
  <si>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</si>
  <si>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</si>
  <si>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</si>
  <si>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</si>
  <si>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</si>
  <si>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</si>
  <si>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</si>
  <si>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</si>
  <si>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</si>
  <si>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</si>
  <si>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</si>
  <si>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</si>
  <si>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</si>
  <si>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</si>
  <si>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</si>
  <si>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</si>
  <si>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</si>
  <si>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</si>
  <si>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</si>
  <si>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</si>
  <si>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</si>
  <si>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</si>
  <si>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</si>
  <si>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</si>
  <si>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</si>
  <si>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</si>
  <si>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</si>
  <si>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</si>
  <si>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</si>
  <si>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</si>
  <si>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</si>
  <si>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</si>
  <si>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</si>
  <si>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</si>
  <si>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</si>
  <si>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</si>
  <si>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</si>
  <si>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</si>
  <si>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</si>
  <si>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</si>
  <si>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</si>
  <si>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</si>
  <si>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</si>
  <si>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</si>
  <si>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</si>
  <si>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</si>
  <si>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</si>
  <si>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</si>
  <si>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</si>
  <si>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</si>
  <si>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</si>
  <si>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</si>
  <si>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</si>
  <si>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</si>
  <si>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</si>
  <si>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</si>
  <si>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</si>
  <si>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</si>
  <si>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</si>
  <si>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</si>
  <si>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</si>
  <si>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</si>
  <si>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</si>
  <si>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</si>
  <si>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</si>
  <si>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</si>
  <si>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</si>
  <si>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</si>
  <si>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</si>
  <si>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</si>
  <si>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</si>
  <si>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</si>
  <si>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</si>
  <si>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</si>
  <si>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</si>
  <si>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</si>
  <si>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</si>
  <si>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</si>
  <si>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</si>
  <si>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</si>
  <si>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</si>
  <si>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</si>
  <si>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</si>
  <si>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</si>
  <si>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</si>
  <si>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</si>
  <si>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</si>
  <si>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</si>
  <si>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</si>
  <si>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</si>
  <si>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</si>
  <si>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</si>
  <si>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</si>
  <si>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</si>
  <si>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</si>
  <si>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</si>
  <si>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</si>
  <si>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</si>
  <si>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</si>
  <si>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</si>
  <si>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</si>
  <si>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</si>
  <si>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</si>
  <si>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</si>
  <si>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</si>
  <si>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</si>
  <si>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</si>
  <si>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</si>
  <si>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</si>
  <si>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</si>
  <si>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</si>
  <si>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</si>
  <si>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</si>
  <si>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</si>
  <si>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</si>
  <si>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</si>
  <si>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</si>
  <si>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</si>
  <si>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</si>
  <si>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</si>
  <si>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</si>
  <si>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</si>
  <si>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</si>
  <si>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</si>
  <si>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</si>
  <si>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</si>
  <si>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</si>
  <si>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</si>
  <si>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</si>
  <si>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</si>
  <si>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</si>
  <si>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</si>
  <si>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</si>
  <si>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</si>
  <si>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</si>
  <si>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</si>
  <si>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</si>
  <si>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</si>
  <si>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</si>
  <si>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</si>
  <si>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</si>
  <si>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</si>
  <si>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</si>
  <si>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</si>
  <si>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</si>
  <si>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</si>
  <si>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</si>
  <si>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</si>
  <si>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</si>
  <si>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</si>
  <si>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</si>
  <si>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</si>
  <si>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</si>
  <si>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</si>
  <si>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</si>
  <si>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</si>
  <si>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</si>
  <si>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</si>
  <si>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</si>
  <si>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</si>
  <si>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</si>
  <si>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</si>
  <si>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</si>
  <si>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</si>
  <si>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</si>
  <si>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</si>
  <si>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</si>
  <si>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</si>
  <si>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</si>
  <si>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</si>
  <si>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</si>
  <si>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</si>
  <si>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</si>
  <si>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</si>
  <si>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</si>
  <si>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</si>
  <si>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</si>
  <si>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</si>
  <si>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</si>
  <si>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</si>
  <si>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</si>
  <si>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</si>
  <si>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</si>
  <si>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</si>
  <si>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</si>
  <si>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</si>
  <si>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</si>
  <si>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</si>
  <si>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</si>
  <si>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</si>
  <si>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</si>
  <si>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</si>
  <si>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</si>
  <si>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</si>
  <si>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</si>
  <si>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</si>
  <si>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</si>
  <si>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</si>
  <si>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</si>
  <si>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</si>
  <si>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</si>
  <si>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</si>
  <si>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</si>
  <si>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</si>
  <si>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</si>
  <si>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</si>
  <si>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</si>
  <si>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</si>
  <si>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</si>
  <si>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</si>
  <si>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</si>
  <si>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</si>
  <si>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</si>
  <si>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</si>
  <si>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</si>
  <si>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</si>
  <si>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</si>
  <si>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</si>
  <si>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</si>
  <si>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</si>
  <si>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</si>
  <si>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</si>
  <si>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</si>
  <si>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</si>
  <si>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</si>
  <si>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</si>
  <si>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</si>
  <si>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</si>
  <si>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</si>
  <si>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</si>
  <si>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</si>
  <si>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</si>
  <si>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</si>
  <si>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</si>
  <si>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</si>
  <si>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</si>
  <si>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</si>
  <si>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</si>
  <si>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</si>
  <si>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</si>
  <si>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</si>
  <si>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</si>
  <si>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</si>
  <si>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</si>
  <si>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</si>
  <si>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</si>
  <si>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</si>
  <si>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</si>
  <si>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</si>
  <si>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</si>
  <si>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</si>
  <si>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</si>
  <si>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</si>
  <si>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</si>
  <si>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</si>
  <si>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</si>
  <si>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</si>
  <si>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</si>
  <si>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</si>
  <si>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</si>
  <si>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</si>
  <si>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</si>
  <si>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办公</t>
    <phoneticPr fontId="7" type="noConversion"/>
  </si>
  <si>
    <t>车库</t>
  </si>
  <si>
    <t>车库</t>
    <phoneticPr fontId="7" type="noConversion"/>
  </si>
  <si>
    <t>出让</t>
  </si>
  <si>
    <t>五矿国际信托有限公司</t>
    <phoneticPr fontId="6"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</si>
  <si>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</si>
  <si>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</si>
  <si>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6" type="noConversion"/>
  </si>
  <si>
    <t>地上</t>
  </si>
  <si>
    <t>地下</t>
  </si>
  <si>
    <t>车库—办公</t>
  </si>
  <si>
    <t>是</t>
  </si>
  <si>
    <t>成新度</t>
  </si>
  <si>
    <t>收益法-办公</t>
    <phoneticPr fontId="16" type="noConversion"/>
  </si>
  <si>
    <t>收益法-车位</t>
    <phoneticPr fontId="16" type="noConversion"/>
  </si>
  <si>
    <t>押一</t>
  </si>
  <si>
    <t>按租金收入计税</t>
  </si>
  <si>
    <t>钢混</t>
  </si>
  <si>
    <t>非生产用房</t>
  </si>
  <si>
    <t>否</t>
  </si>
  <si>
    <t>20A</t>
    <phoneticPr fontId="3" type="noConversion"/>
  </si>
  <si>
    <t>20B</t>
    <phoneticPr fontId="3" type="noConversion"/>
  </si>
  <si>
    <t>20C</t>
    <phoneticPr fontId="3" type="noConversion"/>
  </si>
  <si>
    <t>20D</t>
    <phoneticPr fontId="3" type="noConversion"/>
  </si>
  <si>
    <t>21A</t>
    <phoneticPr fontId="3" type="noConversion"/>
  </si>
  <si>
    <t>21B</t>
    <phoneticPr fontId="3" type="noConversion"/>
  </si>
  <si>
    <t>21C</t>
    <phoneticPr fontId="3" type="noConversion"/>
  </si>
  <si>
    <t>21D</t>
    <phoneticPr fontId="3" type="noConversion"/>
  </si>
  <si>
    <t>低区</t>
    <phoneticPr fontId="25" type="noConversion"/>
  </si>
  <si>
    <t>中区</t>
  </si>
  <si>
    <t>中区</t>
    <phoneticPr fontId="25" type="noConversion"/>
  </si>
  <si>
    <t>高区</t>
  </si>
  <si>
    <t>高区</t>
    <phoneticPr fontId="25" type="noConversion"/>
  </si>
  <si>
    <r>
      <t>1-9</t>
    </r>
    <r>
      <rPr>
        <sz val="10"/>
        <color indexed="8"/>
        <rFont val="宋体"/>
        <family val="3"/>
        <charset val="134"/>
      </rPr>
      <t>层</t>
    </r>
    <phoneticPr fontId="25" type="noConversion"/>
  </si>
  <si>
    <r>
      <t>10-19</t>
    </r>
    <r>
      <rPr>
        <sz val="10"/>
        <color indexed="8"/>
        <rFont val="宋体"/>
        <family val="3"/>
        <charset val="134"/>
      </rPr>
      <t>层</t>
    </r>
    <phoneticPr fontId="25" type="noConversion"/>
  </si>
  <si>
    <r>
      <t>20-28</t>
    </r>
    <r>
      <rPr>
        <sz val="10"/>
        <color indexed="8"/>
        <rFont val="宋体"/>
        <family val="3"/>
        <charset val="134"/>
      </rPr>
      <t>层</t>
    </r>
    <phoneticPr fontId="25" type="noConversion"/>
  </si>
  <si>
    <t>现房</t>
  </si>
  <si>
    <t>项目局部</t>
  </si>
  <si>
    <t>比较法-办公</t>
  </si>
  <si>
    <t>新天国际大厦</t>
    <phoneticPr fontId="3" type="noConversion"/>
  </si>
  <si>
    <t>办公</t>
    <phoneticPr fontId="32" type="noConversion"/>
  </si>
  <si>
    <t>20-30（含）</t>
  </si>
  <si>
    <t>好</t>
  </si>
  <si>
    <t>五通</t>
  </si>
  <si>
    <t>较好</t>
  </si>
  <si>
    <t>支路</t>
    <phoneticPr fontId="32" type="noConversion"/>
  </si>
  <si>
    <t>高区</t>
    <phoneticPr fontId="32" type="noConversion"/>
  </si>
  <si>
    <t>中区</t>
    <phoneticPr fontId="32" type="noConversion"/>
  </si>
  <si>
    <t>低区</t>
    <phoneticPr fontId="32" type="noConversion"/>
  </si>
  <si>
    <t>钢混</t>
    <phoneticPr fontId="32" type="noConversion"/>
  </si>
  <si>
    <t>高层</t>
    <phoneticPr fontId="32" type="noConversion"/>
  </si>
  <si>
    <t>乙级</t>
    <phoneticPr fontId="32" type="noConversion"/>
  </si>
  <si>
    <t>专业</t>
    <phoneticPr fontId="32" type="noConversion"/>
  </si>
  <si>
    <t>五通</t>
    <phoneticPr fontId="32" type="noConversion"/>
  </si>
  <si>
    <t>0-100</t>
    <phoneticPr fontId="32" type="noConversion"/>
  </si>
  <si>
    <t>100-200</t>
    <phoneticPr fontId="32" type="noConversion"/>
  </si>
  <si>
    <t>200-300</t>
    <phoneticPr fontId="32" type="noConversion"/>
  </si>
  <si>
    <t>300-400</t>
    <phoneticPr fontId="32" type="noConversion"/>
  </si>
  <si>
    <t>400-500</t>
    <phoneticPr fontId="32" type="noConversion"/>
  </si>
  <si>
    <t>500-600</t>
    <phoneticPr fontId="32" type="noConversion"/>
  </si>
  <si>
    <t>售价</t>
  </si>
  <si>
    <t>0-50</t>
    <phoneticPr fontId="32" type="noConversion"/>
  </si>
  <si>
    <t>50-100</t>
    <phoneticPr fontId="32" type="noConversion"/>
  </si>
  <si>
    <t>比较法-车位</t>
  </si>
  <si>
    <t>办公</t>
    <phoneticPr fontId="143" type="noConversion"/>
  </si>
  <si>
    <t>车库</t>
    <phoneticPr fontId="143" type="noConversion"/>
  </si>
  <si>
    <t>低区</t>
  </si>
  <si>
    <t>地下一层</t>
  </si>
  <si>
    <t>地下一层</t>
    <phoneticPr fontId="32" type="noConversion"/>
  </si>
  <si>
    <t>地下二层</t>
  </si>
  <si>
    <t>地下二层</t>
    <phoneticPr fontId="32" type="noConversion"/>
  </si>
  <si>
    <t>盛大金磬</t>
    <phoneticPr fontId="3" type="noConversion"/>
  </si>
  <si>
    <t>住宅</t>
  </si>
  <si>
    <t>住宅</t>
    <phoneticPr fontId="32" type="noConversion"/>
  </si>
  <si>
    <t>否</t>
    <phoneticPr fontId="32" type="noConversion"/>
  </si>
  <si>
    <t>平面车位</t>
  </si>
  <si>
    <t>平面车位</t>
    <phoneticPr fontId="32" type="noConversion"/>
  </si>
  <si>
    <t>简单装修</t>
  </si>
  <si>
    <t>简单装修</t>
    <phoneticPr fontId="32" type="noConversion"/>
  </si>
  <si>
    <t>六通</t>
  </si>
  <si>
    <t>30-40（含）</t>
  </si>
  <si>
    <t>车位</t>
  </si>
  <si>
    <t>车位</t>
    <phoneticPr fontId="32"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</si>
  <si>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</si>
  <si>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2"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</si>
  <si>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2" type="noConversion"/>
  </si>
  <si>
    <t>高层</t>
  </si>
  <si>
    <t>乙级</t>
  </si>
  <si>
    <t>专业</t>
  </si>
  <si>
    <r>
      <t>3.9</t>
    </r>
    <r>
      <rPr>
        <sz val="11"/>
        <rFont val="宋体"/>
        <family val="3"/>
        <charset val="134"/>
      </rPr>
      <t>米</t>
    </r>
    <phoneticPr fontId="32" type="noConversion"/>
  </si>
  <si>
    <t>3.9米</t>
  </si>
  <si>
    <t>精装修</t>
  </si>
  <si>
    <t>精装修</t>
    <phoneticPr fontId="32" type="noConversion"/>
  </si>
  <si>
    <t>收益法 (元)-办公</t>
  </si>
  <si>
    <t>收益法 (元)-办公</t>
    <phoneticPr fontId="16" type="noConversion"/>
  </si>
  <si>
    <t>收益法 (元)-车位</t>
  </si>
  <si>
    <t>收益法 (元)-车位</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</si>
</sst>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7" borderId="0" xfId="0" applyFont="1" applyFill="1" applyProtection="1">
      <alignment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 xmlns:a16="http://schemas.microsoft.com/office/drawing/2014/main"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房地产抵押价值预评估</v>
      </c>
    </row>
    <row r="3" spans="1:2" s="1595" customFormat="1">
      <c r="A3" s="1593" t="s">
        <v>1221</v>
      </c>
      <c r="B3" s="1594" t="str">
        <f>'预评函-封皮'!B40</f>
        <v>五矿国际信托有限公司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受贵公司委托，我公司对房地产抵押价值进行了预评估。</v>
      </c>
    </row>
    <row r="7" spans="1:2" s="1595" customFormat="1">
      <c r="A7" s="1593" t="s">
        <v>1264</v>
      </c>
      <c r="B7" s="1594" t="str">
        <f>'预评函-1'!A7</f>
        <v>估价对象为房地产，为所有。根据，估价对象（分摊）出让国有建设用地使用权面积为0平方米，建筑面积为270.51平方米。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估价对象为房地产,属开发建设的，该项目尚在开发建设中。根据，估价对象（分摊）出让国有建设用地使用权面积为0平方米，规划建筑面积为270.51平方米。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2018年6月19日（评估专业人员实地查勘之日）</v>
      </c>
    </row>
    <row r="13" spans="1:2" s="1595" customFormat="1">
      <c r="A13" s="1593" t="s">
        <v>1227</v>
      </c>
      <c r="B13" s="1594"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665</v>
      </c>
    </row>
    <row r="21" spans="1:2" s="1595" customFormat="1">
      <c r="A21" s="1593" t="s">
        <v>1235</v>
      </c>
      <c r="B21" s="1594">
        <f ca="1">'预评函-2'!D7</f>
        <v>31939</v>
      </c>
    </row>
    <row r="22" spans="1:2" s="1595" customFormat="1">
      <c r="A22" s="1593" t="s">
        <v>1236</v>
      </c>
      <c r="B22" s="1594" t="str">
        <f ca="1">'预评函-2'!D6</f>
        <v>陆佰陆拾伍万元整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665</v>
      </c>
    </row>
    <row r="31" spans="1:2" s="1595" customFormat="1">
      <c r="A31" s="1593" t="s">
        <v>1274</v>
      </c>
      <c r="B31" s="1594">
        <f ca="1">'预评函-2'!D15</f>
        <v>24583</v>
      </c>
    </row>
    <row r="32" spans="1:2" s="1595" customFormat="1">
      <c r="A32" s="1593" t="s">
        <v>1241</v>
      </c>
      <c r="B32" s="1594" t="str">
        <f ca="1">'预评函-2'!D14</f>
        <v>陆佰陆拾伍万元整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270.51</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759</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1144</v>
      </c>
      <c r="R1" s="2012" t="s">
        <v>1138</v>
      </c>
      <c r="S1" s="2012" t="s">
        <v>1701</v>
      </c>
      <c r="T1" s="2014" t="s">
        <v>1702</v>
      </c>
      <c r="U1" s="2012" t="s">
        <v>1703</v>
      </c>
      <c r="V1" s="2012" t="s">
        <v>1704</v>
      </c>
      <c r="W1" s="2012" t="s">
        <v>755</v>
      </c>
    </row>
    <row r="2" spans="1:23">
      <c r="A2" s="2016" t="s">
        <v>22</v>
      </c>
      <c r="B2" s="2016" t="s">
        <v>1705</v>
      </c>
      <c r="C2" s="2017" t="s">
        <v>760</v>
      </c>
      <c r="D2" s="2018" t="s">
        <v>1706</v>
      </c>
      <c r="E2" s="2018" t="s">
        <v>1707</v>
      </c>
      <c r="F2" s="2018" t="s">
        <v>1708</v>
      </c>
      <c r="G2" s="2018">
        <v>40</v>
      </c>
      <c r="H2" s="2018" t="s">
        <v>1708</v>
      </c>
      <c r="I2" s="2018" t="s">
        <v>1709</v>
      </c>
      <c r="J2" s="2018" t="s">
        <v>1710</v>
      </c>
      <c r="K2" s="2018" t="s">
        <v>1711</v>
      </c>
      <c r="L2" s="2018" t="s">
        <v>1711</v>
      </c>
      <c r="M2" s="2018" t="s">
        <v>1711</v>
      </c>
      <c r="N2" s="2018" t="s">
        <v>1711</v>
      </c>
      <c r="O2" s="2018" t="s">
        <v>1711</v>
      </c>
      <c r="P2" s="2018" t="s">
        <v>1711</v>
      </c>
      <c r="Q2" s="2018" t="s">
        <v>1711</v>
      </c>
      <c r="R2" s="2018" t="s">
        <v>1140</v>
      </c>
      <c r="S2" s="2018" t="s">
        <v>1711</v>
      </c>
      <c r="T2" s="2018" t="s">
        <v>1712</v>
      </c>
      <c r="U2" s="2018" t="s">
        <v>1711</v>
      </c>
      <c r="V2" s="2018" t="s">
        <v>1713</v>
      </c>
      <c r="W2" s="2018" t="s">
        <v>1711</v>
      </c>
    </row>
    <row r="3" spans="1:23">
      <c r="A3" s="2016" t="s">
        <v>1714</v>
      </c>
      <c r="B3" s="2019" t="s">
        <v>1145</v>
      </c>
      <c r="C3" s="2020" t="s">
        <v>761</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1139</v>
      </c>
      <c r="S3" s="2018" t="s">
        <v>1719</v>
      </c>
      <c r="T3" s="2018" t="s">
        <v>1720</v>
      </c>
      <c r="U3" s="2018" t="s">
        <v>1719</v>
      </c>
      <c r="V3" s="2018" t="s">
        <v>1721</v>
      </c>
      <c r="W3" s="2018" t="s">
        <v>1719</v>
      </c>
    </row>
    <row r="4" spans="1:23">
      <c r="A4" s="2016" t="s">
        <v>1722</v>
      </c>
      <c r="B4" s="2016" t="s">
        <v>1723</v>
      </c>
      <c r="C4" s="2017" t="s">
        <v>762</v>
      </c>
      <c r="D4" s="2018" t="s">
        <v>868</v>
      </c>
      <c r="E4" s="2018" t="s">
        <v>1724</v>
      </c>
      <c r="F4" s="2018" t="s">
        <v>1725</v>
      </c>
      <c r="G4" s="2018">
        <v>70</v>
      </c>
      <c r="H4" s="2018" t="s">
        <v>1725</v>
      </c>
      <c r="I4" s="2018" t="s">
        <v>1726</v>
      </c>
      <c r="K4" s="2018" t="s">
        <v>1727</v>
      </c>
      <c r="L4" s="2018" t="s">
        <v>1727</v>
      </c>
      <c r="M4" s="2018" t="s">
        <v>1727</v>
      </c>
      <c r="N4" s="2018" t="s">
        <v>1727</v>
      </c>
      <c r="O4" s="2018" t="s">
        <v>1727</v>
      </c>
      <c r="P4" s="2018" t="s">
        <v>1727</v>
      </c>
      <c r="Q4" s="2018" t="s">
        <v>1727</v>
      </c>
      <c r="R4" s="2018" t="s">
        <v>1141</v>
      </c>
      <c r="S4" s="2018" t="s">
        <v>1727</v>
      </c>
      <c r="T4" s="2018" t="s">
        <v>1728</v>
      </c>
      <c r="U4" s="2018" t="s">
        <v>1727</v>
      </c>
      <c r="W4" s="2018" t="s">
        <v>1727</v>
      </c>
    </row>
    <row r="5" spans="1:23">
      <c r="A5" s="2016" t="s">
        <v>1729</v>
      </c>
      <c r="B5" s="2016" t="s">
        <v>1730</v>
      </c>
      <c r="C5" s="2017" t="s">
        <v>763</v>
      </c>
      <c r="F5" s="2018" t="s">
        <v>1731</v>
      </c>
      <c r="H5" s="2018" t="s">
        <v>1732</v>
      </c>
      <c r="I5" s="2018" t="s">
        <v>1733</v>
      </c>
      <c r="K5" s="2018" t="s">
        <v>1734</v>
      </c>
      <c r="L5" s="2018" t="s">
        <v>1734</v>
      </c>
      <c r="M5" s="2018" t="s">
        <v>1734</v>
      </c>
      <c r="N5" s="2018" t="s">
        <v>1734</v>
      </c>
      <c r="O5" s="2018" t="s">
        <v>1734</v>
      </c>
      <c r="P5" s="2018" t="s">
        <v>1734</v>
      </c>
      <c r="Q5" s="2018" t="s">
        <v>1734</v>
      </c>
      <c r="R5" s="2018" t="s">
        <v>1142</v>
      </c>
      <c r="S5" s="2018" t="s">
        <v>1734</v>
      </c>
      <c r="T5" s="2018" t="s">
        <v>1735</v>
      </c>
      <c r="U5" s="2018" t="s">
        <v>1734</v>
      </c>
      <c r="W5" s="2018" t="s">
        <v>1734</v>
      </c>
    </row>
    <row r="6" spans="1:23">
      <c r="A6" s="2016" t="s">
        <v>1736</v>
      </c>
      <c r="B6" s="2019" t="s">
        <v>1146</v>
      </c>
      <c r="C6" s="2022" t="s">
        <v>30</v>
      </c>
      <c r="F6" s="2018" t="s">
        <v>1732</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1147</v>
      </c>
      <c r="C7" s="2017" t="s">
        <v>31</v>
      </c>
      <c r="F7" s="2018" t="s">
        <v>1741</v>
      </c>
      <c r="H7" s="2018" t="s">
        <v>1742</v>
      </c>
      <c r="I7" s="2018" t="s">
        <v>1743</v>
      </c>
    </row>
    <row r="8" spans="1:23">
      <c r="A8" s="2016" t="s">
        <v>1744</v>
      </c>
      <c r="B8" s="2016" t="s">
        <v>1745</v>
      </c>
      <c r="C8" s="2017" t="s">
        <v>764</v>
      </c>
      <c r="F8" s="2018" t="s">
        <v>1746</v>
      </c>
      <c r="H8" s="2018"/>
      <c r="I8" s="2018" t="s">
        <v>1747</v>
      </c>
    </row>
    <row r="9" spans="1:23">
      <c r="A9" s="2016" t="s">
        <v>1748</v>
      </c>
      <c r="B9" s="2016" t="s">
        <v>1749</v>
      </c>
      <c r="C9" s="2017" t="s">
        <v>765</v>
      </c>
      <c r="F9" s="2018" t="s">
        <v>1750</v>
      </c>
      <c r="H9" s="2018"/>
    </row>
    <row r="10" spans="1:23">
      <c r="A10" s="2016" t="s">
        <v>1751</v>
      </c>
      <c r="B10" s="2016" t="s">
        <v>1752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757</v>
      </c>
      <c r="C17" s="2017"/>
    </row>
    <row r="18" spans="1:3">
      <c r="A18" s="2016" t="s">
        <v>1765</v>
      </c>
      <c r="B18" s="2016" t="s">
        <v>757</v>
      </c>
      <c r="C18" s="2017"/>
    </row>
    <row r="19" spans="1:3">
      <c r="A19" s="2016" t="s">
        <v>1766</v>
      </c>
      <c r="B19" s="2016" t="s">
        <v>3061</v>
      </c>
      <c r="C19" s="2017"/>
    </row>
    <row r="20" spans="1:3">
      <c r="A20" s="2016" t="s">
        <v>1767</v>
      </c>
      <c r="B20" s="2016" t="s">
        <v>3062</v>
      </c>
      <c r="C20" s="2017"/>
    </row>
    <row r="21" spans="1:3">
      <c r="A21" s="2016" t="s">
        <v>1768</v>
      </c>
      <c r="B21" s="2016" t="s">
        <v>757</v>
      </c>
      <c r="C21" s="2017"/>
    </row>
    <row r="22" spans="1:3">
      <c r="A22" s="2016" t="s">
        <v>1769</v>
      </c>
      <c r="B22" s="2016" t="s">
        <v>3142</v>
      </c>
      <c r="C22" s="2017"/>
    </row>
    <row r="23" spans="1:3">
      <c r="A23" s="2016" t="s">
        <v>1770</v>
      </c>
      <c r="B23" s="2016" t="s">
        <v>3144</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1281</v>
      </c>
    </row>
    <row r="55" spans="1:4">
      <c r="A55" s="3029"/>
      <c r="B55" s="2024" t="s">
        <v>865</v>
      </c>
      <c r="C55" s="2021" t="s">
        <v>1282</v>
      </c>
    </row>
    <row r="56" spans="1:4">
      <c r="A56" s="3029"/>
      <c r="B56" s="2024" t="s">
        <v>866</v>
      </c>
      <c r="C56" s="2021" t="s">
        <v>1286</v>
      </c>
    </row>
    <row r="57" spans="1:4">
      <c r="A57" s="302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1774</v>
      </c>
      <c r="B1" s="3030" t="str">
        <f>IF(B10="北京市","北京市",C10)&amp;F10&amp;IF('结果表-办公'!G1="在建","出让国有建设用地使用权及在建建筑物",IF('结果表-办公'!G1="土地","出让国有建设用地使用权",))&amp;B9&amp;"预评估"</f>
        <v>房地产抵押价值预评估</v>
      </c>
      <c r="C1" s="3031"/>
      <c r="D1" s="3031"/>
      <c r="E1" s="3031"/>
      <c r="F1" s="3031"/>
      <c r="G1" s="3031"/>
      <c r="H1" s="3031"/>
      <c r="I1" s="3032"/>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房地产</v>
      </c>
    </row>
    <row r="3" spans="1:19" ht="18" customHeight="1">
      <c r="A3" s="2037" t="s">
        <v>1776</v>
      </c>
      <c r="B3" s="2038">
        <f>D3</f>
        <v>43270</v>
      </c>
      <c r="C3" s="2039" t="s">
        <v>1777</v>
      </c>
      <c r="D3" s="2038">
        <v>43270</v>
      </c>
      <c r="E3" s="2028"/>
      <c r="F3" s="2028"/>
      <c r="G3" s="2028"/>
      <c r="H3" s="2028"/>
      <c r="I3" s="2028"/>
      <c r="J3" s="2028"/>
      <c r="K3" s="2029"/>
      <c r="L3" s="2030"/>
      <c r="M3" s="2030"/>
      <c r="N3" s="2031"/>
      <c r="O3" s="2032"/>
      <c r="P3" s="2031"/>
      <c r="Q3" s="2031"/>
      <c r="R3" s="2031"/>
      <c r="S3" s="2033"/>
    </row>
    <row r="4" spans="1:19" ht="18" customHeight="1" thickBot="1">
      <c r="A4" s="2040" t="s">
        <v>1778</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1779</v>
      </c>
      <c r="B5" s="2968"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1780</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1781</v>
      </c>
      <c r="B7" s="2054"/>
      <c r="C7" s="2051"/>
      <c r="D7" s="2052"/>
      <c r="E7" s="2036"/>
      <c r="F7" s="2044"/>
      <c r="G7" s="2044"/>
      <c r="H7" s="2044"/>
      <c r="I7" s="2044"/>
      <c r="J7" s="2044"/>
      <c r="K7" s="2055"/>
      <c r="L7" s="2030"/>
      <c r="M7" s="2030"/>
      <c r="N7" s="2031"/>
      <c r="O7" s="2032"/>
      <c r="P7" s="2031"/>
      <c r="Q7" s="2031"/>
      <c r="R7" s="2031"/>
    </row>
    <row r="8" spans="1:19" ht="18" customHeight="1">
      <c r="A8" s="2049" t="s">
        <v>1782</v>
      </c>
      <c r="B8" s="2056" t="s">
        <v>3053</v>
      </c>
      <c r="C8" s="2057"/>
      <c r="D8" s="3033" t="s">
        <v>1783</v>
      </c>
      <c r="E8" s="2058" t="s">
        <v>3054</v>
      </c>
      <c r="F8" s="2059"/>
      <c r="G8" s="2028"/>
      <c r="H8" s="2028"/>
      <c r="I8" s="2028"/>
      <c r="J8" s="2044"/>
      <c r="K8" s="2045"/>
      <c r="L8" s="2030"/>
      <c r="M8" s="2030"/>
      <c r="N8" s="2031"/>
      <c r="O8" s="2032"/>
      <c r="P8" s="2031"/>
      <c r="Q8" s="2031"/>
      <c r="R8" s="2031"/>
    </row>
    <row r="9" spans="1:19" ht="18" customHeight="1" thickBot="1">
      <c r="A9" s="2042" t="s">
        <v>1784</v>
      </c>
      <c r="B9" s="2060" t="s">
        <v>3054</v>
      </c>
      <c r="C9" s="2061"/>
      <c r="D9" s="3034"/>
      <c r="E9" s="2060" t="s">
        <v>70</v>
      </c>
      <c r="F9" s="2062"/>
      <c r="G9" s="2063"/>
      <c r="H9" s="2063"/>
      <c r="I9" s="2063"/>
      <c r="J9" s="2044"/>
      <c r="K9" s="2055"/>
      <c r="L9" s="2030"/>
      <c r="M9" s="2030"/>
      <c r="N9" s="2031"/>
      <c r="O9" s="2032"/>
      <c r="P9" s="2031"/>
      <c r="Q9" s="2031"/>
      <c r="R9" s="2031"/>
    </row>
    <row r="10" spans="1:19" ht="18" customHeight="1" thickTop="1">
      <c r="A10" s="2064" t="s">
        <v>1785</v>
      </c>
      <c r="B10" s="2065"/>
      <c r="C10" s="2066"/>
      <c r="D10" s="2048"/>
      <c r="E10" s="2067" t="s">
        <v>1786</v>
      </c>
      <c r="F10" s="2068"/>
      <c r="G10" s="2069"/>
      <c r="H10" s="2070"/>
      <c r="I10" s="2048"/>
      <c r="J10" s="2044"/>
      <c r="K10" s="2055"/>
      <c r="L10" s="2030"/>
      <c r="M10" s="2030"/>
      <c r="N10" s="2031"/>
      <c r="O10" s="2032"/>
      <c r="P10" s="2031"/>
      <c r="Q10" s="2031"/>
      <c r="R10" s="2031"/>
    </row>
    <row r="11" spans="1:19" ht="18" customHeight="1">
      <c r="A11" s="2071" t="s">
        <v>1787</v>
      </c>
      <c r="B11" s="2072"/>
      <c r="C11" s="2073"/>
      <c r="D11" s="2074"/>
      <c r="E11" s="2044"/>
      <c r="F11" s="2044"/>
      <c r="G11" s="2044"/>
      <c r="H11" s="2044"/>
      <c r="I11" s="2044"/>
      <c r="J11" s="2044"/>
      <c r="K11" s="2055"/>
      <c r="L11" s="2030"/>
      <c r="M11" s="2030"/>
      <c r="N11" s="2031"/>
      <c r="O11" s="2032"/>
      <c r="P11" s="2031"/>
      <c r="Q11" s="2031"/>
      <c r="R11" s="2031"/>
    </row>
    <row r="12" spans="1:19" ht="18" customHeight="1">
      <c r="A12" s="2075" t="s">
        <v>1788</v>
      </c>
      <c r="B12" s="2072" t="s">
        <v>3051</v>
      </c>
      <c r="C12" s="2076" t="s">
        <v>1789</v>
      </c>
      <c r="D12" s="2077" t="s">
        <v>1790</v>
      </c>
      <c r="E12" s="2077" t="s">
        <v>1791</v>
      </c>
      <c r="F12" s="2077" t="s">
        <v>1792</v>
      </c>
      <c r="G12" s="2077" t="s">
        <v>1793</v>
      </c>
      <c r="H12" s="2077" t="s">
        <v>1794</v>
      </c>
      <c r="I12" s="2077" t="s">
        <v>1795</v>
      </c>
      <c r="J12" s="2044"/>
      <c r="K12" s="2055"/>
      <c r="L12" s="2030"/>
      <c r="M12" s="2030"/>
      <c r="N12" s="2031"/>
      <c r="O12" s="2032"/>
      <c r="P12" s="2031"/>
      <c r="Q12" s="2031"/>
      <c r="R12" s="2031"/>
    </row>
    <row r="13" spans="1:19" ht="18" customHeight="1">
      <c r="A13" s="2078"/>
      <c r="B13" s="2079"/>
      <c r="C13" s="2080" t="s">
        <v>1796</v>
      </c>
      <c r="D13" s="2081"/>
      <c r="E13" s="2081"/>
      <c r="F13" s="2081">
        <v>52500</v>
      </c>
      <c r="G13" s="2081">
        <f>F13</f>
        <v>52500</v>
      </c>
      <c r="H13" s="2081"/>
      <c r="I13" s="1050"/>
      <c r="J13" s="2044"/>
      <c r="K13" s="2055"/>
      <c r="L13" s="2030"/>
      <c r="M13" s="2030"/>
      <c r="N13" s="2031"/>
      <c r="O13" s="2032"/>
      <c r="P13" s="2031"/>
      <c r="Q13" s="2031"/>
      <c r="R13" s="2031"/>
    </row>
    <row r="14" spans="1:19" ht="18" customHeight="1">
      <c r="A14" s="2078"/>
      <c r="B14" s="2079"/>
      <c r="C14" s="2080" t="s">
        <v>1797</v>
      </c>
      <c r="D14" s="1053"/>
      <c r="E14" s="1053"/>
      <c r="F14" s="1053">
        <v>50</v>
      </c>
      <c r="G14" s="1053">
        <v>50</v>
      </c>
      <c r="H14" s="1053"/>
      <c r="I14" s="1053"/>
      <c r="J14" s="2044"/>
      <c r="K14" s="2082"/>
      <c r="L14" s="2030"/>
      <c r="M14" s="2030"/>
      <c r="N14" s="2031"/>
      <c r="O14" s="2032"/>
      <c r="P14" s="2031"/>
      <c r="Q14" s="2031"/>
      <c r="R14" s="2031"/>
    </row>
    <row r="15" spans="1:19" ht="18" customHeight="1">
      <c r="A15" s="2064"/>
      <c r="B15" s="2083"/>
      <c r="C15" s="2080" t="s">
        <v>1798</v>
      </c>
      <c r="D15" s="1052" t="str">
        <f>IF(B12="出让",IF(D13="","",ROUNDDOWN(MIN((D13-$D$3)/365,D14),2)),D14)</f>
        <v/>
      </c>
      <c r="E15" s="1052" t="str">
        <f>IF(B12="出让",IF(E13="","",ROUNDDOWN(MIN((E13-$D$3)/365,E14),2)),E14)</f>
        <v/>
      </c>
      <c r="F15" s="1052">
        <f>IF(B12="出让",IF(F13="","",ROUNDDOWN(MIN((F13-$D$3)/365,F14),2)),F14)</f>
        <v>25.28</v>
      </c>
      <c r="G15" s="1052">
        <f>IF(B12="出让",IF(G13="","",ROUNDDOWN(MIN((G13-$D$3)/365,G14),2)),G14)</f>
        <v>25.28</v>
      </c>
      <c r="H15" s="1052" t="str">
        <f>IF(B12="出让",IF(H13="","",ROUNDDOWN(MIN((H13-$D$3)/365,H14),2)),H14)</f>
        <v/>
      </c>
      <c r="I15" s="1052" t="str">
        <f>IF(B12="出让",IF(I13="","",ROUNDDOWN(MIN((I13-$D$3)/365,I14),2)),I14)</f>
        <v/>
      </c>
      <c r="J15" s="2044"/>
      <c r="K15" s="2084"/>
      <c r="L15" s="2085"/>
      <c r="M15" s="2085"/>
      <c r="N15" s="2086"/>
      <c r="O15" s="2085"/>
      <c r="P15" s="2086"/>
      <c r="Q15" s="2031"/>
      <c r="R15" s="2031"/>
    </row>
    <row r="16" spans="1:19" ht="30.75" customHeight="1">
      <c r="A16" s="2067" t="s">
        <v>1799</v>
      </c>
      <c r="B16" s="3040"/>
      <c r="C16" s="3041"/>
      <c r="D16" s="3042"/>
      <c r="E16" s="2087" t="s">
        <v>1800</v>
      </c>
      <c r="F16" s="3043"/>
      <c r="G16" s="3044"/>
      <c r="H16" s="3044"/>
      <c r="I16" s="3045"/>
      <c r="J16" s="2031"/>
      <c r="K16" s="2084"/>
      <c r="L16" s="2085"/>
      <c r="M16" s="2085"/>
      <c r="N16" s="2086"/>
      <c r="O16" s="2085"/>
      <c r="P16" s="2086"/>
      <c r="Q16" s="2031"/>
      <c r="R16" s="2031"/>
    </row>
    <row r="17" spans="1:22" ht="18" customHeight="1">
      <c r="A17" s="2088" t="s">
        <v>1801</v>
      </c>
      <c r="B17" s="2037" t="s">
        <v>1802</v>
      </c>
      <c r="C17" s="1057">
        <f>'数据-汇总表'!E3</f>
        <v>270.51</v>
      </c>
      <c r="D17" s="2089" t="s">
        <v>1803</v>
      </c>
      <c r="E17" s="3046" t="s">
        <v>3055</v>
      </c>
      <c r="F17" s="3047"/>
      <c r="G17" s="3047"/>
      <c r="H17" s="3047"/>
      <c r="I17" s="3048"/>
      <c r="J17" s="2031"/>
      <c r="K17" s="2090"/>
      <c r="L17" s="2085"/>
      <c r="M17" s="2085"/>
      <c r="N17" s="2086"/>
      <c r="O17" s="2085"/>
      <c r="P17" s="2086"/>
      <c r="Q17" s="2031"/>
      <c r="R17" s="2031"/>
      <c r="S17" s="2031"/>
      <c r="T17" s="2031"/>
      <c r="U17" s="2031"/>
      <c r="V17" s="2031"/>
    </row>
    <row r="18" spans="1:22" ht="36" customHeight="1" thickBot="1">
      <c r="A18" s="2091" t="s">
        <v>1804</v>
      </c>
      <c r="B18" s="2040" t="s">
        <v>1805</v>
      </c>
      <c r="C18" s="1446">
        <f>'数据-汇总表'!D3</f>
        <v>0</v>
      </c>
      <c r="D18" s="2092" t="s">
        <v>1803</v>
      </c>
      <c r="E18" s="3049"/>
      <c r="F18" s="3050"/>
      <c r="G18" s="3050"/>
      <c r="H18" s="3050"/>
      <c r="I18" s="3051"/>
      <c r="J18" s="2031"/>
      <c r="K18" s="2090"/>
      <c r="L18" s="2085"/>
      <c r="M18" s="2085"/>
      <c r="N18" s="2086"/>
      <c r="O18" s="2085"/>
      <c r="P18" s="2086"/>
      <c r="Q18" s="2031"/>
      <c r="R18" s="2031"/>
      <c r="S18" s="2031"/>
      <c r="T18" s="2031"/>
      <c r="U18" s="2031"/>
      <c r="V18" s="2031"/>
    </row>
    <row r="19" spans="1:22" ht="37.5" customHeight="1" thickTop="1" thickBot="1">
      <c r="A19" s="373" t="s">
        <v>1806</v>
      </c>
      <c r="B19" s="352" t="s">
        <v>1807</v>
      </c>
      <c r="C19" s="2093"/>
      <c r="D19" s="2094" t="s">
        <v>1808</v>
      </c>
      <c r="E19" s="2095"/>
      <c r="F19" s="2096" t="str">
        <f>IF(AND(C19="是",E19="否"),"是否提供他项权证或相关说明","")</f>
        <v/>
      </c>
      <c r="G19" s="2097"/>
      <c r="H19" s="2044"/>
      <c r="I19" s="2044"/>
      <c r="J19" s="2044"/>
      <c r="K19" s="2055"/>
      <c r="L19" s="2030"/>
      <c r="M19" s="2030"/>
      <c r="N19" s="2086"/>
      <c r="O19" s="2085"/>
      <c r="P19" s="2086"/>
      <c r="Q19" s="2031"/>
      <c r="R19" s="2031"/>
      <c r="S19" s="2031"/>
      <c r="T19" s="2031"/>
      <c r="U19" s="2031"/>
      <c r="V19" s="2031"/>
    </row>
    <row r="20" spans="1:22" ht="18" customHeight="1">
      <c r="A20" s="2098" t="s">
        <v>1809</v>
      </c>
      <c r="B20" s="3036" t="s">
        <v>1810</v>
      </c>
      <c r="C20" s="3037"/>
      <c r="D20" s="3038" t="s">
        <v>1811</v>
      </c>
      <c r="E20" s="3039"/>
      <c r="F20" s="2099" t="s">
        <v>1812</v>
      </c>
      <c r="G20" s="2044"/>
      <c r="H20" s="2044"/>
      <c r="I20" s="2044"/>
      <c r="J20" s="2044"/>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1814</v>
      </c>
      <c r="C21" s="2101" t="s">
        <v>1815</v>
      </c>
      <c r="D21" s="2102" t="s">
        <v>1816</v>
      </c>
      <c r="E21" s="2103" t="s">
        <v>1815</v>
      </c>
      <c r="F21" s="2104"/>
      <c r="G21" s="2044"/>
      <c r="H21" s="2044"/>
      <c r="I21" s="2044"/>
      <c r="J21" s="2044"/>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1817</v>
      </c>
      <c r="C22" s="2101" t="s">
        <v>1818</v>
      </c>
      <c r="D22" s="2028"/>
      <c r="E22" s="2028"/>
      <c r="F22" s="2106"/>
      <c r="G22" s="2044"/>
      <c r="H22" s="2044"/>
      <c r="I22" s="2044"/>
      <c r="J22" s="2044"/>
      <c r="K22" s="3035"/>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1819</v>
      </c>
      <c r="B23" s="183" t="s">
        <v>1820</v>
      </c>
      <c r="C23" s="2108"/>
      <c r="D23" s="2109" t="s">
        <v>1820</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1821</v>
      </c>
      <c r="C24" s="2113"/>
      <c r="D24" s="2107" t="s">
        <v>1821</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1822</v>
      </c>
      <c r="C25" s="2113"/>
      <c r="D25" s="2107" t="s">
        <v>1822</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1823</v>
      </c>
      <c r="C26" s="2117"/>
      <c r="D26" s="2118" t="s">
        <v>1824</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053" t="s">
        <v>1825</v>
      </c>
      <c r="B27" s="2064" t="s">
        <v>1826</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53"/>
      <c r="B28" s="2037" t="s">
        <v>1827</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53"/>
      <c r="B29" s="2037" t="s">
        <v>1828</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54"/>
      <c r="B30" s="2037" t="s">
        <v>1829</v>
      </c>
      <c r="C30" s="3055"/>
      <c r="D30" s="3056"/>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57" t="s">
        <v>1830</v>
      </c>
      <c r="B31" s="2128"/>
      <c r="C31" s="2129" t="str">
        <f>IF(B31="现房","成新及维护状况正常否",IF(B31="在建","工程状态是否正常",IF(B31="土地","是否闲置","-")))</f>
        <v>-</v>
      </c>
      <c r="D31" s="2130"/>
      <c r="E31" s="2131"/>
      <c r="F31" s="2044"/>
      <c r="G31" s="2044"/>
      <c r="H31" s="2044"/>
      <c r="I31" s="2044"/>
      <c r="J31" s="2044"/>
      <c r="K31" s="2053"/>
      <c r="L31" s="2030"/>
      <c r="M31" s="2030"/>
      <c r="N31" s="2031"/>
      <c r="O31" s="2032"/>
      <c r="P31" s="2031"/>
      <c r="Q31" s="2031"/>
      <c r="R31" s="2031"/>
      <c r="S31" s="2031"/>
      <c r="T31" s="2031"/>
      <c r="U31" s="2031"/>
      <c r="V31" s="2031"/>
    </row>
    <row r="32" spans="1:22" ht="18" customHeight="1">
      <c r="A32" s="3058"/>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058"/>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1831</v>
      </c>
      <c r="B34" s="2135"/>
      <c r="C34" s="2135"/>
      <c r="D34" s="2135"/>
      <c r="E34" s="2135"/>
      <c r="F34" s="2135"/>
      <c r="G34" s="2135"/>
      <c r="H34" s="2135"/>
      <c r="I34" s="2044"/>
      <c r="J34" s="2044"/>
      <c r="K34" s="1797">
        <f>COUNTIF(B34:H34,"——")</f>
        <v>0</v>
      </c>
      <c r="L34" s="2076" t="s">
        <v>1832</v>
      </c>
      <c r="M34" s="2076" t="s">
        <v>1833</v>
      </c>
      <c r="N34" s="2076" t="s">
        <v>1834</v>
      </c>
      <c r="O34" s="2076" t="s">
        <v>1835</v>
      </c>
      <c r="P34" s="2076" t="s">
        <v>1836</v>
      </c>
      <c r="Q34" s="2076" t="s">
        <v>1837</v>
      </c>
      <c r="R34" s="2076" t="s">
        <v>1838</v>
      </c>
      <c r="S34" s="3052" t="s">
        <v>1839</v>
      </c>
      <c r="T34" s="2136" t="str">
        <f>NUMBERSTRING(7-K34,1)&amp;"通"</f>
        <v>七通</v>
      </c>
      <c r="U34" s="2031"/>
      <c r="V34" s="2031"/>
    </row>
    <row r="35" spans="1:22" ht="18" customHeight="1">
      <c r="A35" s="2137"/>
      <c r="B35" s="3059" t="s">
        <v>1840</v>
      </c>
      <c r="C35" s="3059"/>
      <c r="D35" s="3059"/>
      <c r="E35" s="3059"/>
      <c r="F35" s="2138">
        <f>C10</f>
        <v>0</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31"/>
      <c r="V35" s="2031"/>
    </row>
    <row r="36" spans="1:22" ht="18" customHeight="1">
      <c r="A36" s="2139"/>
      <c r="B36" s="2138" t="s">
        <v>1841</v>
      </c>
      <c r="C36" s="2138" t="s">
        <v>1842</v>
      </c>
      <c r="D36" s="2138" t="s">
        <v>1843</v>
      </c>
      <c r="E36" s="2138" t="s">
        <v>1844</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1845</v>
      </c>
      <c r="B37" s="2142"/>
      <c r="C37" s="2142"/>
      <c r="D37" s="2142"/>
      <c r="E37" s="2142"/>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1846</v>
      </c>
      <c r="B38" s="2144"/>
      <c r="C38" s="2144"/>
      <c r="D38" s="2144"/>
      <c r="E38" s="2144"/>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1848</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1849</v>
      </c>
      <c r="B42" s="1797" t="s">
        <v>1850</v>
      </c>
      <c r="C42" s="1797" t="s">
        <v>1851</v>
      </c>
      <c r="D42" s="1797" t="s">
        <v>1852</v>
      </c>
      <c r="E42" s="1797" t="s">
        <v>1853</v>
      </c>
      <c r="F42" s="1797" t="s">
        <v>1854</v>
      </c>
      <c r="G42" s="1797" t="s">
        <v>1855</v>
      </c>
      <c r="H42" s="1797" t="s">
        <v>1856</v>
      </c>
      <c r="I42" s="1797" t="s">
        <v>1857</v>
      </c>
      <c r="J42" s="2154" t="s">
        <v>1858</v>
      </c>
      <c r="K42" s="2077" t="s">
        <v>1859</v>
      </c>
      <c r="L42" s="2077" t="s">
        <v>1860</v>
      </c>
      <c r="M42" s="2077" t="s">
        <v>1861</v>
      </c>
      <c r="N42" s="1797" t="s">
        <v>1862</v>
      </c>
      <c r="O42" s="1797" t="s">
        <v>1863</v>
      </c>
      <c r="P42" s="1797" t="s">
        <v>1864</v>
      </c>
      <c r="Q42" s="2076" t="s">
        <v>1865</v>
      </c>
      <c r="R42" s="2076" t="s">
        <v>1866</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9" sqref="M3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3344.6200000000026</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5"/>
      <c r="C5" s="1805"/>
      <c r="D5" s="1808"/>
      <c r="E5" s="16" t="s">
        <v>1</v>
      </c>
      <c r="F5" s="16">
        <f>SUM(F13:F587)</f>
        <v>0</v>
      </c>
      <c r="G5" s="16">
        <f>SUM(G13:G587)</f>
        <v>3344.6200000000026</v>
      </c>
      <c r="H5" s="16">
        <f t="shared" ref="H5:AT5" si="0">SUM(H13:H656)</f>
        <v>3344.6200000000026</v>
      </c>
      <c r="I5" s="16">
        <f t="shared" si="0"/>
        <v>2410.12</v>
      </c>
      <c r="J5" s="16">
        <f t="shared" si="0"/>
        <v>0</v>
      </c>
      <c r="K5" s="16">
        <f t="shared" si="0"/>
        <v>934.49999999999977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270.51</v>
      </c>
      <c r="BA5" s="18">
        <f t="shared" si="1"/>
        <v>270.51</v>
      </c>
      <c r="BB5" s="18">
        <f t="shared" si="1"/>
        <v>208.21</v>
      </c>
      <c r="BC5" s="18">
        <f t="shared" si="1"/>
        <v>62.3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1885</v>
      </c>
      <c r="AV7" s="23" t="s">
        <v>1886</v>
      </c>
      <c r="AW7" s="2168" t="s">
        <v>1887</v>
      </c>
      <c r="AX7" s="23" t="s">
        <v>1880</v>
      </c>
      <c r="AY7" s="1805"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0"/>
      <c r="K8" s="1820"/>
      <c r="L8" s="1820"/>
      <c r="M8" s="1820"/>
      <c r="N8" s="1820"/>
      <c r="O8" s="1820"/>
      <c r="P8" s="1820"/>
      <c r="Q8" s="1820"/>
      <c r="R8" s="1820"/>
      <c r="S8" s="1820"/>
      <c r="T8" s="1820"/>
      <c r="U8" s="1820"/>
      <c r="V8" s="2188"/>
      <c r="W8" s="1820"/>
      <c r="X8" s="1820"/>
      <c r="Y8" s="1820"/>
      <c r="Z8" s="1820"/>
      <c r="AA8" s="2188"/>
      <c r="AB8" s="2189"/>
      <c r="AC8" s="984" t="s">
        <v>1891</v>
      </c>
      <c r="AD8" s="2190"/>
      <c r="AE8" s="2182"/>
      <c r="AF8" s="1820"/>
      <c r="AG8" s="1820"/>
      <c r="AH8" s="1820"/>
      <c r="AI8" s="1820"/>
      <c r="AJ8" s="1820"/>
      <c r="AK8" s="1820"/>
      <c r="AL8" s="1820"/>
      <c r="AM8" s="1820"/>
      <c r="AN8" s="1820"/>
      <c r="AO8" s="1820"/>
      <c r="AP8" s="1820"/>
      <c r="AQ8" s="1820"/>
      <c r="AR8" s="1820"/>
      <c r="AS8" s="1820"/>
      <c r="AT8" s="1294" t="s">
        <v>1892</v>
      </c>
      <c r="AU8" s="2184" t="s">
        <v>1893</v>
      </c>
      <c r="AV8" s="1294"/>
      <c r="AW8" s="2167"/>
      <c r="AX8" s="1294"/>
      <c r="AY8" s="2168"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1896</v>
      </c>
      <c r="I9" s="2193" t="s">
        <v>3056</v>
      </c>
      <c r="J9" s="984"/>
      <c r="K9" s="2193" t="s">
        <v>3057</v>
      </c>
      <c r="L9" s="984"/>
      <c r="M9" s="2193"/>
      <c r="N9" s="984"/>
      <c r="O9" s="2193"/>
      <c r="P9" s="984"/>
      <c r="Q9" s="2193"/>
      <c r="R9" s="984"/>
      <c r="S9" s="2193"/>
      <c r="T9" s="984"/>
      <c r="U9" s="2193"/>
      <c r="V9" s="984"/>
      <c r="W9" s="2193"/>
      <c r="X9" s="2194"/>
      <c r="Y9" s="2193"/>
      <c r="Z9" s="984"/>
      <c r="AA9" s="2193"/>
      <c r="AB9" s="984"/>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20"/>
      <c r="BN9" s="2187"/>
      <c r="BO9" s="1820"/>
      <c r="BP9" s="1820"/>
      <c r="BQ9" s="1820"/>
      <c r="BR9" s="1820"/>
      <c r="BS9" s="1820"/>
      <c r="BT9" s="26"/>
    </row>
    <row r="10" spans="1:72" s="2191" customFormat="1" ht="12.75">
      <c r="A10" s="2184"/>
      <c r="B10" s="2184"/>
      <c r="C10" s="2184"/>
      <c r="D10" s="2184"/>
      <c r="E10" s="2184"/>
      <c r="F10" s="2184"/>
      <c r="G10" s="1294"/>
      <c r="H10" s="28"/>
      <c r="I10" s="2193" t="s">
        <v>27</v>
      </c>
      <c r="J10" s="984"/>
      <c r="K10" s="2199" t="s">
        <v>3058</v>
      </c>
      <c r="L10" s="984"/>
      <c r="M10" s="2199"/>
      <c r="N10" s="984"/>
      <c r="O10" s="2199"/>
      <c r="P10" s="984"/>
      <c r="Q10" s="2199"/>
      <c r="R10" s="984"/>
      <c r="S10" s="2199"/>
      <c r="T10" s="984"/>
      <c r="U10" s="2199"/>
      <c r="V10" s="984"/>
      <c r="W10" s="2199"/>
      <c r="X10" s="984"/>
      <c r="Y10" s="2199"/>
      <c r="Z10" s="984"/>
      <c r="AA10" s="2199"/>
      <c r="AB10" s="984"/>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1906</v>
      </c>
      <c r="AE11" s="1821"/>
      <c r="AF11" s="2206" t="s">
        <v>1906</v>
      </c>
      <c r="AG11" s="1821"/>
      <c r="AH11" s="2206" t="s">
        <v>1907</v>
      </c>
      <c r="AI11" s="2207"/>
      <c r="AJ11" s="2206" t="s">
        <v>1907</v>
      </c>
      <c r="AK11" s="1821"/>
      <c r="AL11" s="1819"/>
      <c r="AM11" s="1821"/>
      <c r="AN11" s="1819"/>
      <c r="AO11" s="1821"/>
      <c r="AP11" s="1819"/>
      <c r="AQ11" s="1821"/>
      <c r="AR11" s="1819"/>
      <c r="AS11" s="1821"/>
      <c r="AT11" s="2167"/>
      <c r="AU11" s="2184"/>
      <c r="AV11" s="1294"/>
      <c r="AW11" s="2167"/>
      <c r="AX11" s="1294"/>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1"/>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3068</v>
      </c>
      <c r="D13" s="2215" t="s">
        <v>3059</v>
      </c>
      <c r="E13" s="16">
        <f>IF($C$3="是",ROUND($A$3*G13/$B$3,2),ROUND($A$3*(G13-AT13)/$B$3,2))</f>
        <v>0</v>
      </c>
      <c r="F13" s="32"/>
      <c r="G13" s="33">
        <f>H13+AC13+AT13</f>
        <v>208.21</v>
      </c>
      <c r="H13" s="20">
        <f>SUMIF(I$12:AB$12,"总值",I13:AB13)</f>
        <v>208.21</v>
      </c>
      <c r="I13" s="2216">
        <v>208.21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20A</v>
      </c>
      <c r="AY13" s="1808">
        <f>ROUND($AY$6*AZ13/$AZ$5,2)</f>
        <v>0</v>
      </c>
      <c r="AZ13" s="16">
        <f>BA13+BL13</f>
        <v>208.21</v>
      </c>
      <c r="BA13" s="16">
        <f>SUM(BB13:BK13)</f>
        <v>208.21</v>
      </c>
      <c r="BB13" s="16">
        <f>IF($D13="是",I13-J13,0)</f>
        <v>208.21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3069</v>
      </c>
      <c r="D14" s="2215" t="s">
        <v>3067</v>
      </c>
      <c r="E14" s="16">
        <f>IF($C$3="是",ROUND($A$3*G14/$B$3,2),ROUND($A$3*(G14-AT14)/$B$3,2))</f>
        <v>0</v>
      </c>
      <c r="F14" s="32"/>
      <c r="G14" s="33">
        <f>H14+AC14+AT14</f>
        <v>395.51</v>
      </c>
      <c r="H14" s="20">
        <f>SUMIF(I$12:AB$12,"总值",I14:AB14)</f>
        <v>395.51</v>
      </c>
      <c r="I14" s="2216">
        <v>395.51</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20B</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1274" t="s">
        <v>3070</v>
      </c>
      <c r="D15" s="2215" t="s">
        <v>3067</v>
      </c>
      <c r="E15" s="16">
        <f>IF($C$3="是",ROUND($A$3*G15/$B$3,2),ROUND($A$3*(G15-AT15)/$B$3,2))</f>
        <v>0</v>
      </c>
      <c r="F15" s="32"/>
      <c r="G15" s="33">
        <f>H15+AC15+AT15</f>
        <v>205.83</v>
      </c>
      <c r="H15" s="20">
        <f>SUMIF(I$12:AB$12,"总值",I15:AB15)</f>
        <v>205.83</v>
      </c>
      <c r="I15" s="2216">
        <v>205.83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20C</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3071</v>
      </c>
      <c r="D16" s="2215" t="s">
        <v>3067</v>
      </c>
      <c r="E16" s="16">
        <f>IF($C$3="是",ROUND($A$3*G16/$B$3,2),ROUND($A$3*(G16-AT16)/$B$3,2))</f>
        <v>0</v>
      </c>
      <c r="F16" s="32"/>
      <c r="G16" s="33">
        <f>H16+AC16+AT16</f>
        <v>395.51</v>
      </c>
      <c r="H16" s="20">
        <f>SUMIF(I$12:AB$12,"总值",I16:AB16)</f>
        <v>395.51</v>
      </c>
      <c r="I16" s="2216">
        <v>395.51</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20D</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1274" t="s">
        <v>3072</v>
      </c>
      <c r="D17" s="2215" t="s">
        <v>3067</v>
      </c>
      <c r="E17" s="16">
        <f>IF($C$3="是",ROUND($A$3*G17/$B$3,2),ROUND($A$3*(G17-AT17)/$B$3,2))</f>
        <v>0</v>
      </c>
      <c r="F17" s="32"/>
      <c r="G17" s="33">
        <f>H17+AC17+AT17</f>
        <v>208.21</v>
      </c>
      <c r="H17" s="20">
        <f>SUMIF(I$12:AB$12,"总值",I17:AB17)</f>
        <v>208.21</v>
      </c>
      <c r="I17" s="2216">
        <v>208.21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21A</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3073</v>
      </c>
      <c r="D18" s="2215" t="s">
        <v>3067</v>
      </c>
      <c r="E18" s="35">
        <f t="shared" ref="E18:E112" si="7">IF($C$3="是",ROUND($A$3*G18/$B$3,2),ROUND($A$3*(G18-AT18)/$B$3,2))</f>
        <v>0</v>
      </c>
      <c r="F18" s="36"/>
      <c r="G18" s="37">
        <f t="shared" ref="G18:G109" si="8">H18+AC18+AT18</f>
        <v>395.51</v>
      </c>
      <c r="H18" s="38">
        <f t="shared" ref="H18:H109" si="9">SUMIF(I$12:AB$12,"总值",I18:AB18)</f>
        <v>395.51</v>
      </c>
      <c r="I18" s="2216">
        <v>395.51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t="str">
        <f t="shared" ref="AX18:AX112" si="13">C18</f>
        <v>21B</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t="s">
        <v>3074</v>
      </c>
      <c r="D19" s="2215" t="s">
        <v>3067</v>
      </c>
      <c r="E19" s="35">
        <f t="shared" si="7"/>
        <v>0</v>
      </c>
      <c r="F19" s="36"/>
      <c r="G19" s="37">
        <f t="shared" si="8"/>
        <v>205.83</v>
      </c>
      <c r="H19" s="38">
        <f t="shared" si="9"/>
        <v>205.83</v>
      </c>
      <c r="I19" s="2216">
        <v>205.83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t="str">
        <f t="shared" si="13"/>
        <v>21C</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t="s">
        <v>3075</v>
      </c>
      <c r="D20" s="2215" t="s">
        <v>3067</v>
      </c>
      <c r="E20" s="35">
        <f t="shared" si="7"/>
        <v>0</v>
      </c>
      <c r="F20" s="36"/>
      <c r="G20" s="37">
        <f t="shared" si="8"/>
        <v>395.51</v>
      </c>
      <c r="H20" s="38">
        <f t="shared" si="9"/>
        <v>395.51</v>
      </c>
      <c r="I20" s="2216">
        <v>395.51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t="str">
        <f t="shared" si="13"/>
        <v>21D</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3059</v>
      </c>
      <c r="E21" s="35">
        <f t="shared" si="7"/>
        <v>0</v>
      </c>
      <c r="F21" s="36"/>
      <c r="G21" s="37">
        <f t="shared" si="8"/>
        <v>62.3</v>
      </c>
      <c r="H21" s="38">
        <f t="shared" si="9"/>
        <v>62.3</v>
      </c>
      <c r="I21" s="39"/>
      <c r="J21" s="39"/>
      <c r="K21" s="39">
        <v>62.3</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62.3</v>
      </c>
      <c r="BA21" s="35">
        <f t="shared" si="16"/>
        <v>62.3</v>
      </c>
      <c r="BB21" s="35">
        <f t="shared" si="17"/>
        <v>0</v>
      </c>
      <c r="BC21" s="35">
        <f t="shared" si="18"/>
        <v>62.3</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3067</v>
      </c>
      <c r="E22" s="35">
        <f t="shared" si="7"/>
        <v>0</v>
      </c>
      <c r="F22" s="36"/>
      <c r="G22" s="37">
        <f t="shared" si="8"/>
        <v>62.3</v>
      </c>
      <c r="H22" s="38">
        <f t="shared" si="9"/>
        <v>62.3</v>
      </c>
      <c r="I22" s="39"/>
      <c r="J22" s="39"/>
      <c r="K22" s="39">
        <v>62.3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3067</v>
      </c>
      <c r="E23" s="35">
        <f t="shared" si="7"/>
        <v>0</v>
      </c>
      <c r="F23" s="36"/>
      <c r="G23" s="37">
        <f t="shared" si="8"/>
        <v>62.3</v>
      </c>
      <c r="H23" s="38">
        <f t="shared" si="9"/>
        <v>62.3</v>
      </c>
      <c r="I23" s="39"/>
      <c r="J23" s="39"/>
      <c r="K23" s="39">
        <v>62.3</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3067</v>
      </c>
      <c r="E24" s="35">
        <f t="shared" si="7"/>
        <v>0</v>
      </c>
      <c r="F24" s="36"/>
      <c r="G24" s="37">
        <f t="shared" si="8"/>
        <v>62.3</v>
      </c>
      <c r="H24" s="38">
        <f t="shared" si="9"/>
        <v>62.3</v>
      </c>
      <c r="I24" s="39"/>
      <c r="J24" s="39"/>
      <c r="K24" s="39">
        <v>62.3</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3067</v>
      </c>
      <c r="E25" s="35">
        <f t="shared" si="7"/>
        <v>0</v>
      </c>
      <c r="F25" s="36"/>
      <c r="G25" s="37">
        <f t="shared" si="8"/>
        <v>62.3</v>
      </c>
      <c r="H25" s="38">
        <f t="shared" si="9"/>
        <v>62.3</v>
      </c>
      <c r="I25" s="39"/>
      <c r="J25" s="39"/>
      <c r="K25" s="39">
        <v>62.3</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3067</v>
      </c>
      <c r="E26" s="35">
        <f t="shared" si="7"/>
        <v>0</v>
      </c>
      <c r="F26" s="36"/>
      <c r="G26" s="37">
        <f t="shared" si="8"/>
        <v>62.3</v>
      </c>
      <c r="H26" s="38">
        <f t="shared" si="9"/>
        <v>62.3</v>
      </c>
      <c r="I26" s="39"/>
      <c r="J26" s="39"/>
      <c r="K26" s="39">
        <v>62.3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t="s">
        <v>3067</v>
      </c>
      <c r="E27" s="35">
        <f t="shared" si="7"/>
        <v>0</v>
      </c>
      <c r="F27" s="36"/>
      <c r="G27" s="37">
        <f t="shared" si="8"/>
        <v>62.3</v>
      </c>
      <c r="H27" s="38">
        <f t="shared" si="9"/>
        <v>62.3</v>
      </c>
      <c r="I27" s="39"/>
      <c r="J27" s="39"/>
      <c r="K27" s="39">
        <v>62.3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t="s">
        <v>3067</v>
      </c>
      <c r="E28" s="35">
        <f t="shared" si="7"/>
        <v>0</v>
      </c>
      <c r="F28" s="36"/>
      <c r="G28" s="37">
        <f t="shared" si="8"/>
        <v>62.3</v>
      </c>
      <c r="H28" s="38">
        <f t="shared" si="9"/>
        <v>62.3</v>
      </c>
      <c r="I28" s="39"/>
      <c r="J28" s="39"/>
      <c r="K28" s="39">
        <v>62.3</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t="s">
        <v>3067</v>
      </c>
      <c r="E29" s="35">
        <f t="shared" si="7"/>
        <v>0</v>
      </c>
      <c r="F29" s="36"/>
      <c r="G29" s="37">
        <f t="shared" si="8"/>
        <v>62.3</v>
      </c>
      <c r="H29" s="38">
        <f t="shared" si="9"/>
        <v>62.3</v>
      </c>
      <c r="I29" s="39"/>
      <c r="J29" s="39"/>
      <c r="K29" s="39">
        <v>62.3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3067</v>
      </c>
      <c r="E30" s="35">
        <f t="shared" si="7"/>
        <v>0</v>
      </c>
      <c r="F30" s="36"/>
      <c r="G30" s="37">
        <f t="shared" si="8"/>
        <v>62.3</v>
      </c>
      <c r="H30" s="38">
        <f t="shared" si="9"/>
        <v>62.3</v>
      </c>
      <c r="I30" s="39"/>
      <c r="J30" s="39"/>
      <c r="K30" s="39">
        <v>62.3</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t="s">
        <v>3067</v>
      </c>
      <c r="E31" s="35">
        <f t="shared" si="7"/>
        <v>0</v>
      </c>
      <c r="F31" s="36"/>
      <c r="G31" s="37">
        <f t="shared" si="8"/>
        <v>62.3</v>
      </c>
      <c r="H31" s="38">
        <f t="shared" si="9"/>
        <v>62.3</v>
      </c>
      <c r="I31" s="39"/>
      <c r="J31" s="39"/>
      <c r="K31" s="39">
        <v>62.3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t="s">
        <v>3067</v>
      </c>
      <c r="E32" s="35">
        <f t="shared" si="7"/>
        <v>0</v>
      </c>
      <c r="F32" s="36"/>
      <c r="G32" s="37">
        <f t="shared" si="8"/>
        <v>62.3</v>
      </c>
      <c r="H32" s="38">
        <f t="shared" si="9"/>
        <v>62.3</v>
      </c>
      <c r="I32" s="39"/>
      <c r="J32" s="39"/>
      <c r="K32" s="39">
        <v>62.3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t="s">
        <v>3067</v>
      </c>
      <c r="E33" s="35">
        <f t="shared" si="7"/>
        <v>0</v>
      </c>
      <c r="F33" s="36"/>
      <c r="G33" s="37">
        <f t="shared" si="8"/>
        <v>62.3</v>
      </c>
      <c r="H33" s="38">
        <f t="shared" si="9"/>
        <v>62.3</v>
      </c>
      <c r="I33" s="39"/>
      <c r="J33" s="39"/>
      <c r="K33" s="39">
        <v>62.3</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t="s">
        <v>3067</v>
      </c>
      <c r="E34" s="35">
        <f t="shared" si="7"/>
        <v>0</v>
      </c>
      <c r="F34" s="36"/>
      <c r="G34" s="37">
        <f t="shared" si="8"/>
        <v>62.3</v>
      </c>
      <c r="H34" s="38">
        <f t="shared" si="9"/>
        <v>62.3</v>
      </c>
      <c r="I34" s="39"/>
      <c r="J34" s="39"/>
      <c r="K34" s="39">
        <v>62.3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t="s">
        <v>3067</v>
      </c>
      <c r="E35" s="35">
        <f t="shared" si="7"/>
        <v>0</v>
      </c>
      <c r="F35" s="36"/>
      <c r="G35" s="37">
        <f t="shared" si="8"/>
        <v>62.3</v>
      </c>
      <c r="H35" s="38">
        <f t="shared" si="9"/>
        <v>62.3</v>
      </c>
      <c r="I35" s="39"/>
      <c r="J35" s="39"/>
      <c r="K35" s="39">
        <v>62.3</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71" t="s">
        <v>1936</v>
      </c>
      <c r="B2" s="3071"/>
      <c r="C2" s="3071"/>
      <c r="D2" s="970" t="s">
        <v>1912</v>
      </c>
      <c r="E2" s="2229" t="s">
        <v>1913</v>
      </c>
      <c r="F2" s="1394"/>
      <c r="G2" s="2230"/>
      <c r="H2" s="2231"/>
      <c r="I2" s="2232" t="s">
        <v>1937</v>
      </c>
      <c r="J2" s="1394"/>
      <c r="K2" s="1394"/>
      <c r="L2" s="1394"/>
      <c r="M2" s="1394"/>
      <c r="N2" s="1429"/>
      <c r="O2" s="1394"/>
      <c r="P2" s="1394"/>
    </row>
    <row r="3" spans="1:16" ht="15.75" thickBot="1">
      <c r="A3" s="3072" t="s">
        <v>1910</v>
      </c>
      <c r="B3" s="3072"/>
      <c r="C3" s="3072"/>
      <c r="D3" s="46">
        <f>'数据-基础表'!AY6</f>
        <v>0</v>
      </c>
      <c r="E3" s="46">
        <f>'数据-基础表'!AZ5</f>
        <v>270.51</v>
      </c>
      <c r="F3" s="1394"/>
      <c r="G3" s="1401"/>
      <c r="H3" s="1249" t="s">
        <v>1911</v>
      </c>
      <c r="I3" s="55" t="e">
        <f>ROUND('数据-基础表'!B3/'数据-基础表'!A3,2)</f>
        <v>#DIV/0!</v>
      </c>
      <c r="J3" s="1394"/>
      <c r="K3" s="1394"/>
      <c r="L3" s="1394"/>
      <c r="M3" s="1394"/>
      <c r="N3" s="1429"/>
      <c r="O3" s="1394"/>
      <c r="P3" s="1394"/>
    </row>
    <row r="4" spans="1:16" ht="15">
      <c r="A4" s="3073"/>
      <c r="B4" s="3074"/>
      <c r="C4" s="3075"/>
      <c r="D4" s="2233" t="s">
        <v>1912</v>
      </c>
      <c r="E4" s="2234" t="s">
        <v>1913</v>
      </c>
      <c r="F4" s="1394"/>
      <c r="G4" s="2235" t="s">
        <v>1938</v>
      </c>
      <c r="H4" s="1249" t="s">
        <v>1918</v>
      </c>
      <c r="I4" s="55" t="e">
        <f>ROUND(SUMIF('数据-基础表'!I9:AS9,"地上",'数据-基础表'!I5:AS5)/'数据-基础表'!A3,2)</f>
        <v>#DIV/0!</v>
      </c>
      <c r="J4" s="1394"/>
      <c r="K4" s="1394"/>
      <c r="L4" s="1394"/>
      <c r="M4" s="1394"/>
      <c r="N4" s="1429"/>
      <c r="O4" s="1394"/>
      <c r="P4" s="1394"/>
    </row>
    <row r="5" spans="1:16">
      <c r="A5" s="47" t="s">
        <v>1914</v>
      </c>
      <c r="B5" s="3076" t="s">
        <v>1915</v>
      </c>
      <c r="C5" s="3076"/>
      <c r="D5" s="48">
        <f>ROUND($D$3*E5/$E$3,2)</f>
        <v>0</v>
      </c>
      <c r="E5" s="49">
        <f>SUMIF('数据-基础表'!$11:$11,"住宅",'数据-基础表'!$5:$5)</f>
        <v>0</v>
      </c>
      <c r="F5" s="1394"/>
      <c r="G5" s="1401"/>
      <c r="H5" s="1249" t="s">
        <v>1911</v>
      </c>
      <c r="I5" s="55" t="e">
        <f>ROUND(E31/D31,2)</f>
        <v>#DIV/0!</v>
      </c>
      <c r="J5" s="1394"/>
      <c r="K5" s="1394"/>
      <c r="L5" s="1394"/>
      <c r="M5" s="1394"/>
      <c r="N5" s="1394"/>
      <c r="O5" s="1394"/>
      <c r="P5" s="1394"/>
    </row>
    <row r="6" spans="1:16" ht="15" thickBot="1">
      <c r="A6" s="2236"/>
      <c r="B6" s="3076" t="s">
        <v>1916</v>
      </c>
      <c r="C6" s="3076"/>
      <c r="D6" s="48">
        <f>ROUND($D$3*E6/$E$3,2)</f>
        <v>0</v>
      </c>
      <c r="E6" s="49">
        <f>E3-E5</f>
        <v>270.51</v>
      </c>
      <c r="F6" s="1394"/>
      <c r="G6" s="2237" t="s">
        <v>1917</v>
      </c>
      <c r="H6" s="1401" t="s">
        <v>1918</v>
      </c>
      <c r="I6" s="942" t="e">
        <f>ROUND(F31/D31,2)</f>
        <v>#DIV/0!</v>
      </c>
      <c r="J6" s="1394"/>
      <c r="K6" s="1394"/>
      <c r="L6" s="1394"/>
      <c r="M6" s="1394"/>
      <c r="N6" s="1394"/>
      <c r="O6" s="1394"/>
      <c r="P6" s="1394"/>
    </row>
    <row r="7" spans="1:16" ht="15">
      <c r="A7" s="3068"/>
      <c r="B7" s="3069"/>
      <c r="C7" s="3070"/>
      <c r="D7" s="2233" t="s">
        <v>1912</v>
      </c>
      <c r="E7" s="2238" t="s">
        <v>1919</v>
      </c>
      <c r="F7" s="1394"/>
      <c r="G7" s="2230" t="s">
        <v>1920</v>
      </c>
      <c r="H7" s="64"/>
      <c r="I7" s="420">
        <f>ROUND(47500/6252,2)</f>
        <v>7.6</v>
      </c>
      <c r="J7" s="1394"/>
      <c r="K7" s="1394"/>
      <c r="L7" s="1394"/>
      <c r="M7" s="1394"/>
      <c r="N7" s="1394"/>
      <c r="O7" s="1394"/>
      <c r="P7" s="1394"/>
    </row>
    <row r="8" spans="1:16">
      <c r="A8" s="47" t="s">
        <v>1921</v>
      </c>
      <c r="B8" s="50" t="s">
        <v>1922</v>
      </c>
      <c r="C8" s="48" t="s">
        <v>1923</v>
      </c>
      <c r="D8" s="48">
        <f t="shared" ref="D8:D15" si="0">ROUND($D$3*E8/$E$3,2)</f>
        <v>0</v>
      </c>
      <c r="E8" s="51">
        <f>SUMIF('数据-基础表'!BB10:BK10,"地上",'数据-基础表'!BB5:BK5)</f>
        <v>208.21</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0</v>
      </c>
      <c r="E15" s="51">
        <f>SUMPRODUCT(('数据-基础表'!BB10:BK10="地下")*('数据-基础表'!BB11:BK11="车库—办公")*('数据-基础表'!BB5:BK5))</f>
        <v>62.3</v>
      </c>
      <c r="F15" s="1394"/>
      <c r="G15" s="2239"/>
      <c r="H15" s="2239"/>
      <c r="I15" s="1394"/>
      <c r="J15" s="1394"/>
      <c r="K15" s="1394"/>
      <c r="L15" s="1394"/>
      <c r="M15" s="1394"/>
      <c r="N15" s="1394"/>
      <c r="O15" s="1394"/>
      <c r="P15" s="1394"/>
    </row>
    <row r="16" spans="1:16" ht="15.75" thickBot="1">
      <c r="A16" s="2236"/>
      <c r="B16" s="2241"/>
      <c r="C16" s="50" t="s">
        <v>1928</v>
      </c>
      <c r="D16" s="50">
        <f>SUM(D8:D15)</f>
        <v>0</v>
      </c>
      <c r="E16" s="53">
        <f>SUM(E8:E15)</f>
        <v>270.51</v>
      </c>
      <c r="F16" s="1394"/>
      <c r="G16" s="2239"/>
      <c r="H16" s="2242" t="s">
        <v>1940</v>
      </c>
      <c r="I16" s="2243"/>
      <c r="J16" s="1394"/>
      <c r="K16" s="3065" t="s">
        <v>1940</v>
      </c>
      <c r="L16" s="3066"/>
      <c r="M16" s="3066"/>
      <c r="N16" s="3066"/>
      <c r="O16" s="3066"/>
      <c r="P16" s="3067"/>
    </row>
    <row r="17" spans="1:19" ht="15">
      <c r="A17" s="2244" t="s">
        <v>1941</v>
      </c>
      <c r="B17" s="2245" t="s">
        <v>1942</v>
      </c>
      <c r="C17" s="2246" t="s">
        <v>1943</v>
      </c>
      <c r="D17" s="2247" t="s">
        <v>1931</v>
      </c>
      <c r="E17" s="2248" t="s">
        <v>1932</v>
      </c>
      <c r="F17" s="2249"/>
      <c r="G17" s="2250"/>
      <c r="H17" s="2251" t="s">
        <v>1944</v>
      </c>
      <c r="I17" s="2252" t="s">
        <v>1929</v>
      </c>
      <c r="J17" s="1394"/>
      <c r="K17" s="3062" t="s">
        <v>1945</v>
      </c>
      <c r="L17" s="3063"/>
      <c r="M17" s="3064"/>
      <c r="N17" s="3062" t="s">
        <v>1946</v>
      </c>
      <c r="O17" s="3063"/>
      <c r="P17" s="3064"/>
      <c r="R17" s="2230" t="s">
        <v>1947</v>
      </c>
      <c r="S17" s="64"/>
    </row>
    <row r="18" spans="1:19" ht="15">
      <c r="A18" s="2240"/>
      <c r="B18" s="2253"/>
      <c r="C18" s="2254"/>
      <c r="D18" s="2255"/>
      <c r="E18" s="2256" t="s">
        <v>1948</v>
      </c>
      <c r="F18" s="2257" t="s">
        <v>1949</v>
      </c>
      <c r="G18" s="2258" t="s">
        <v>1950</v>
      </c>
      <c r="H18" s="1264" t="s">
        <v>1951</v>
      </c>
      <c r="I18" s="2259" t="s">
        <v>1952</v>
      </c>
      <c r="J18" s="1394"/>
      <c r="K18" s="1264" t="s">
        <v>1953</v>
      </c>
      <c r="L18" s="2260" t="s">
        <v>1954</v>
      </c>
      <c r="M18" s="1049" t="s">
        <v>1955</v>
      </c>
      <c r="N18" s="1264" t="s">
        <v>1953</v>
      </c>
      <c r="O18" s="2260" t="s">
        <v>1954</v>
      </c>
      <c r="P18" s="1049" t="s">
        <v>1955</v>
      </c>
      <c r="R18" s="1249" t="s">
        <v>1956</v>
      </c>
      <c r="S18" s="1249" t="s">
        <v>1957</v>
      </c>
    </row>
    <row r="19" spans="1:19">
      <c r="A19" s="2261"/>
      <c r="B19" s="50" t="s">
        <v>1930</v>
      </c>
      <c r="C19" s="2967" t="s">
        <v>3048</v>
      </c>
      <c r="D19" s="48">
        <f>ROUND($D$3*E19/$E$3,2)</f>
        <v>0</v>
      </c>
      <c r="E19" s="56">
        <f t="shared" ref="E19:E26" si="1">SUM(F19:G19)</f>
        <v>208.21</v>
      </c>
      <c r="F19" s="57">
        <f>'数据-基础表'!I13</f>
        <v>208.21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208.21</v>
      </c>
    </row>
    <row r="20" spans="1:19">
      <c r="A20" s="2265"/>
      <c r="B20" s="50" t="s">
        <v>1958</v>
      </c>
      <c r="C20" s="2967" t="s">
        <v>3050</v>
      </c>
      <c r="D20" s="48">
        <f t="shared" ref="D20:D26" si="6">ROUND($D$3*E20/$E$3,2)</f>
        <v>0</v>
      </c>
      <c r="E20" s="56">
        <f t="shared" si="1"/>
        <v>62.3</v>
      </c>
      <c r="F20" s="57"/>
      <c r="G20" s="58">
        <f>'数据-基础表'!K21</f>
        <v>62.3</v>
      </c>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62.3</v>
      </c>
    </row>
    <row r="21" spans="1:19">
      <c r="A21" s="2265"/>
      <c r="B21" s="50" t="s">
        <v>1958</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1959</v>
      </c>
      <c r="D27" s="1395">
        <f>SUM(D19:D26)</f>
        <v>0</v>
      </c>
      <c r="E27" s="1396">
        <f>IF(SUM(E19:E26)='数据-基础表'!BA5,SUM(E19:E26),IF(F27="地上面积有误","面积有误","地下面积有误"))</f>
        <v>270.51</v>
      </c>
      <c r="F27" s="1395">
        <f>IF(SUM(F19:F26)=E8,SUM(F19:F26),"地上面积有误")</f>
        <v>208.21</v>
      </c>
      <c r="G27" s="1397">
        <f>SUM(G19:G26)</f>
        <v>62.3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270.51</v>
      </c>
    </row>
    <row r="28" spans="1:19">
      <c r="A28" s="2265"/>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1960</v>
      </c>
      <c r="C29" s="2269"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1963</v>
      </c>
      <c r="D31" s="729">
        <f>D27+D30</f>
        <v>0</v>
      </c>
      <c r="E31" s="729">
        <f>E27+E30</f>
        <v>270.51</v>
      </c>
      <c r="F31" s="730">
        <f>F27+F30</f>
        <v>208.21</v>
      </c>
      <c r="G31" s="731">
        <f>G27+G30</f>
        <v>62.3</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19" sqref="AO1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43270</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3060</v>
      </c>
      <c r="O5" s="2298" t="s">
        <v>1986</v>
      </c>
      <c r="P5" s="2301" t="s">
        <v>1987</v>
      </c>
      <c r="Q5" s="69" t="s">
        <v>1988</v>
      </c>
      <c r="R5" s="2302" t="s">
        <v>1989</v>
      </c>
      <c r="S5" s="2303" t="s">
        <v>1990</v>
      </c>
      <c r="T5" s="2304" t="s">
        <v>1991</v>
      </c>
      <c r="U5" s="1269" t="s">
        <v>1992</v>
      </c>
      <c r="V5" s="1270" t="s">
        <v>1993</v>
      </c>
      <c r="W5" s="1270" t="s">
        <v>1994</v>
      </c>
      <c r="X5" s="71"/>
      <c r="Y5" s="70" t="s">
        <v>1995</v>
      </c>
      <c r="Z5" s="2305" t="s">
        <v>1992</v>
      </c>
      <c r="AA5" s="1270" t="s">
        <v>1993</v>
      </c>
      <c r="AB5" s="1270" t="s">
        <v>1994</v>
      </c>
      <c r="AC5" s="71"/>
      <c r="AD5" s="71" t="s">
        <v>1995</v>
      </c>
      <c r="AE5" s="1269" t="s">
        <v>1996</v>
      </c>
      <c r="AF5" s="1270" t="s">
        <v>1997</v>
      </c>
      <c r="AG5" s="70" t="s">
        <v>1998</v>
      </c>
      <c r="AH5" s="1269" t="s">
        <v>1999</v>
      </c>
      <c r="AI5" s="2305" t="s">
        <v>2000</v>
      </c>
      <c r="AJ5" s="2305" t="s">
        <v>2001</v>
      </c>
      <c r="AK5" s="1270" t="s">
        <v>2002</v>
      </c>
      <c r="AL5" s="1270" t="s">
        <v>2003</v>
      </c>
      <c r="AM5" s="70" t="s">
        <v>2004</v>
      </c>
      <c r="AN5" s="2306" t="s">
        <v>2005</v>
      </c>
      <c r="AO5" s="2076" t="s">
        <v>2006</v>
      </c>
      <c r="AP5" s="1251"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52500</v>
      </c>
      <c r="F6" s="72">
        <f>SUMIF(项目基本情况!D$12:I$12,C6,项目基本情况!D$15:I$15)</f>
        <v>25.28</v>
      </c>
      <c r="G6" s="73">
        <f>IF(ISERROR(ROUND(POWER(1+H6,D6-F6)*(POWER(1+H6,F6)-1)/(POWER(1+H6,D6)-1),3)),0,ROUND(POWER(1+H6,D6-F6)*(POWER(1+H6,F6)-1)/(POWER(1+H6,D6)-1),3))</f>
        <v>0.77600000000000002</v>
      </c>
      <c r="H6" s="802">
        <v>0.05</v>
      </c>
      <c r="I6" s="802">
        <v>5.5E-2</v>
      </c>
      <c r="J6" s="74">
        <v>8.5000000000000006E-2</v>
      </c>
      <c r="K6" s="1253">
        <f>SUMIF('数据-汇总表'!C$19:C$33,A6,'数据-汇总表'!E$19:E$33)</f>
        <v>208.21</v>
      </c>
      <c r="L6" s="803">
        <v>2800</v>
      </c>
      <c r="M6" s="75">
        <f t="shared" ref="M6:M14" si="0">ROUND(K6*L6/10000,0)</f>
        <v>58</v>
      </c>
      <c r="N6" s="801">
        <f>ROUND((((1-(2018-1999)/60)+85%)/2),2)</f>
        <v>0.77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5">
        <f>ROUND($L$14*S6/10000,0)</f>
        <v>0</v>
      </c>
      <c r="U6" s="78">
        <v>5.5</v>
      </c>
      <c r="V6" s="79">
        <v>3.5000000000000003E-2</v>
      </c>
      <c r="W6" s="79">
        <v>0.05</v>
      </c>
      <c r="X6" s="1263"/>
      <c r="Y6" s="80">
        <f>N6</f>
        <v>0.77</v>
      </c>
      <c r="Z6" s="81"/>
      <c r="AA6" s="74"/>
      <c r="AB6" s="74"/>
      <c r="AC6" s="1263"/>
      <c r="AD6" s="82"/>
      <c r="AE6" s="1264">
        <f ca="1">IF(AN6="",0,SUMIF(INDIRECT("'"&amp;AN6&amp;"'"&amp;"!E:E"),$AE$5,INDIRECT("'"&amp;AN6&amp;"'"&amp;"!F:F")))</f>
        <v>25.28</v>
      </c>
      <c r="AF6" s="1806"/>
      <c r="AG6" s="147">
        <f>IF(AF6="",0,AE6-AF6)</f>
        <v>0</v>
      </c>
      <c r="AH6" s="83"/>
      <c r="AI6" s="85">
        <v>365</v>
      </c>
      <c r="AJ6" s="86"/>
      <c r="AK6" s="87">
        <v>1.4999999999999999E-2</v>
      </c>
      <c r="AL6" s="88">
        <v>1.5E-3</v>
      </c>
      <c r="AM6" s="89">
        <v>1.4999999999999999E-2</v>
      </c>
      <c r="AN6" s="2311" t="s">
        <v>3141</v>
      </c>
      <c r="AO6" s="55">
        <f ca="1">SUMIF(INDIRECT("'"&amp;AN6&amp;"'"&amp;"!A:A"),"总价",INDIRECT("'"&amp;AN6&amp;"'"&amp;"!B:B"))</f>
        <v>596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车库</v>
      </c>
      <c r="B7" s="2309" t="str">
        <f t="shared" ref="B7:B13" si="1">IF(A7=0,"","经营性")</f>
        <v>经营性</v>
      </c>
      <c r="C7" s="2310" t="s">
        <v>3049</v>
      </c>
      <c r="D7" s="1054">
        <f>SUMIF(项目基本情况!D$12:I$12,C7,项目基本情况!D$14:I$14)</f>
        <v>50</v>
      </c>
      <c r="E7" s="1051">
        <f>IF(B7="","",SUMIF(项目基本情况!D$12:I$12,C7,项目基本情况!D$13:I$13))</f>
        <v>52500</v>
      </c>
      <c r="F7" s="72">
        <f>SUMIF(项目基本情况!D$12:I$12,C7,项目基本情况!D$15:I$15)</f>
        <v>25.28</v>
      </c>
      <c r="G7" s="73">
        <f t="shared" ref="G7:G11" si="2">IF(ISERROR(ROUND(POWER(1+H7,D7-F7)*(POWER(1+H7,F7)-1)/(POWER(1+H7,D7)-1),3)),0,ROUND(POWER(1+H7,D7-F7)*(POWER(1+H7,F7)-1)/(POWER(1+H7,D7)-1),3))</f>
        <v>0.755</v>
      </c>
      <c r="H7" s="802">
        <v>4.4999999999999998E-2</v>
      </c>
      <c r="I7" s="802">
        <v>0.05</v>
      </c>
      <c r="J7" s="74">
        <v>8.5000000000000006E-2</v>
      </c>
      <c r="K7" s="1253">
        <f>SUMIF('数据-汇总表'!C$19:C$33,A7,'数据-汇总表'!E$19:E$33)</f>
        <v>62.3</v>
      </c>
      <c r="L7" s="803">
        <v>2000</v>
      </c>
      <c r="M7" s="75">
        <f t="shared" si="0"/>
        <v>12</v>
      </c>
      <c r="N7" s="801">
        <f>ROUND((((1-(2018-1999)/60)+85%)/2),2)</f>
        <v>0.77</v>
      </c>
      <c r="O7" s="75" t="str">
        <f t="shared" ref="O7:O14" si="3">IF($N$5="成新度","——",ROUND(M7*N7,0))</f>
        <v>——</v>
      </c>
      <c r="P7" s="76" t="str">
        <f t="shared" ref="P7:P14" si="4">IF($N$5="成新度","——",M7-O7)</f>
        <v>——</v>
      </c>
      <c r="Q7" s="804">
        <v>0.03</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1200</v>
      </c>
      <c r="V7" s="79">
        <v>3.5000000000000003E-2</v>
      </c>
      <c r="W7" s="79">
        <v>0.05</v>
      </c>
      <c r="X7" s="1263"/>
      <c r="Y7" s="80">
        <f>N7</f>
        <v>0.77</v>
      </c>
      <c r="Z7" s="81"/>
      <c r="AA7" s="74"/>
      <c r="AB7" s="74"/>
      <c r="AC7" s="1263"/>
      <c r="AD7" s="82"/>
      <c r="AE7" s="1264">
        <f t="shared" ref="AE7:AE13" ca="1" si="6">IF(AN7="",0,SUMIF(INDIRECT("'"&amp;AN7&amp;"'"&amp;"!E:E"),$AE$5,INDIRECT("'"&amp;AN7&amp;"'"&amp;"!F:F")))</f>
        <v>25.28</v>
      </c>
      <c r="AF7" s="1806"/>
      <c r="AG7" s="147">
        <f t="shared" ref="AG7:AG13" si="7">IF(AF7="",0,AE7-AF7)</f>
        <v>0</v>
      </c>
      <c r="AH7" s="83">
        <v>1</v>
      </c>
      <c r="AI7" s="85">
        <v>12</v>
      </c>
      <c r="AJ7" s="86"/>
      <c r="AK7" s="87">
        <v>1.4999999999999999E-2</v>
      </c>
      <c r="AL7" s="88">
        <v>1.5E-3</v>
      </c>
      <c r="AM7" s="89">
        <v>0.01</v>
      </c>
      <c r="AN7" s="2311" t="s">
        <v>3143</v>
      </c>
      <c r="AO7" s="55">
        <f t="shared" ref="AO7:AO13" ca="1" si="8">SUMIF(INDIRECT("'"&amp;AN7&amp;"'"&amp;"!A:A"),"总价",INDIRECT("'"&amp;AN7&amp;"'"&amp;"!B:B"))</f>
        <v>18</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7"/>
      <c r="C16" s="1008"/>
      <c r="D16" s="2316"/>
      <c r="E16" s="97"/>
      <c r="F16" s="97"/>
      <c r="G16" s="98">
        <f>ROUND(SUMPRODUCT(G6:G13,K6:K13)/SUMPRODUCT((G6:G13&gt;0)*(K6:K13)),3)</f>
        <v>0.77100000000000002</v>
      </c>
      <c r="H16" s="99">
        <f>ROUND(SUMPRODUCT(H6:H13,K6:K13)/SUMPRODUCT((H6:H13&gt;0)*(K6:K13)),3)</f>
        <v>4.9000000000000002E-2</v>
      </c>
      <c r="I16" s="100"/>
      <c r="J16" s="100"/>
      <c r="K16" s="101">
        <f>SUM(K6:K15)</f>
        <v>270.51</v>
      </c>
      <c r="L16" s="102">
        <f>ROUND(M16*10000/SUM(K6:K14),0)</f>
        <v>2588</v>
      </c>
      <c r="M16" s="102">
        <f>SUM(M6:M14)</f>
        <v>70</v>
      </c>
      <c r="N16" s="103">
        <f>ROUND(SUMPRODUCT(M6:M14,N6:N14)/M16,3)</f>
        <v>0.77</v>
      </c>
      <c r="O16" s="102">
        <f>SUM(O6:O14)</f>
        <v>0</v>
      </c>
      <c r="P16" s="102">
        <f>SUM(P6:P14)</f>
        <v>0</v>
      </c>
      <c r="Q16" s="104">
        <f>ROUND(SUMPRODUCT(Q6:Q13,K6:K13)/SUMPRODUCT((Q6:Q13&gt;0)*(K6:K13)),2)</f>
        <v>0.12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2">
        <v>0</v>
      </c>
      <c r="C19" s="2279" t="s">
        <v>2017</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3">
        <v>1</v>
      </c>
      <c r="C20" s="2279" t="s">
        <v>2019</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4">
        <f>B19+B20</f>
        <v>1</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6">
        <v>430</v>
      </c>
      <c r="C27" s="1766" t="s">
        <v>2028</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430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v>0</v>
      </c>
      <c r="C29" s="1766" t="s">
        <v>2031</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0.05</v>
      </c>
      <c r="C33" s="1765" t="s">
        <v>2036</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5" t="s">
        <v>2038</v>
      </c>
      <c r="D34" s="2280" t="s">
        <v>2039</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5" t="s">
        <v>2041</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5" t="s">
        <v>2043</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4">
        <v>1.4999999999999999E-2</v>
      </c>
      <c r="C37" s="1765" t="s">
        <v>2045</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2">
        <v>0.02</v>
      </c>
      <c r="C38" s="1765" t="s">
        <v>2045</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4.3499999999999997E-2</v>
      </c>
      <c r="C40" s="1765" t="s">
        <v>2049</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8">
        <v>7.0000000000000007E-2</v>
      </c>
      <c r="C44" s="1765" t="s">
        <v>2054</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6">
        <v>0.03</v>
      </c>
      <c r="C45" s="1766" t="s">
        <v>2056</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6">
        <v>0.02</v>
      </c>
      <c r="C46" s="1766" t="s">
        <v>2058</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9"/>
      <c r="C47" s="1766" t="s">
        <v>2060</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30">
        <v>0.03</v>
      </c>
      <c r="C48" s="1773" t="s">
        <v>2062</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6">
        <v>5.0000000000000001E-4</v>
      </c>
      <c r="C49" s="1773" t="s">
        <v>2064</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3">
        <f>SUMIF(A54:A63,B53,B54:B63)</f>
        <v>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c r="C53" s="1429" t="s">
        <v>2069</v>
      </c>
      <c r="D53" s="2339" t="s">
        <v>2070</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77" t="s">
        <v>2081</v>
      </c>
      <c r="B1" s="3078"/>
      <c r="C1" s="3078"/>
      <c r="D1" s="3078"/>
      <c r="E1" s="3078"/>
      <c r="F1" s="3078"/>
      <c r="G1" s="307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0"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7"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1"/>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1"/>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7" t="s">
        <v>2098</v>
      </c>
      <c r="C8" s="2378" t="s">
        <v>2099</v>
      </c>
      <c r="D8" s="2379"/>
      <c r="E8" s="2379"/>
      <c r="F8" s="1136"/>
      <c r="G8" s="1136"/>
      <c r="H8" s="2370"/>
      <c r="I8" s="2370"/>
      <c r="J8" s="2370"/>
      <c r="K8" s="2370"/>
      <c r="L8" s="2370"/>
      <c r="M8" s="2370"/>
      <c r="N8" s="2370"/>
      <c r="O8" s="2370"/>
      <c r="P8" s="2370"/>
      <c r="Q8" s="2370"/>
      <c r="R8" s="2370"/>
    </row>
    <row r="9" spans="1:29" ht="27">
      <c r="A9" s="431"/>
      <c r="B9" s="1797"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69" t="s">
        <v>2085</v>
      </c>
      <c r="C15" s="2405" t="str">
        <f>C3</f>
        <v>估价对象周边居住用地比例、居住小区规模和社区发展完善程度，综合评价居住社区成熟度一般</v>
      </c>
      <c r="D15" s="2373"/>
      <c r="E15" s="2406" t="s">
        <v>2109</v>
      </c>
      <c r="F15" s="1269"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1"/>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1"/>
      <c r="D19" s="2373"/>
      <c r="E19" s="2409"/>
      <c r="F19" s="1797"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7" t="s">
        <v>2114</v>
      </c>
      <c r="G20" s="136" t="str">
        <f>G6</f>
        <v>估价对象所在区域基础设施水平</v>
      </c>
    </row>
    <row r="21" spans="1:18" ht="28.5">
      <c r="A21" s="645"/>
      <c r="B21" s="1797" t="s">
        <v>2095</v>
      </c>
      <c r="C21" s="136" t="str">
        <f>C7</f>
        <v>估价对象所在区域公共配套设施齐备情况</v>
      </c>
      <c r="D21" s="2373"/>
      <c r="E21" s="2409"/>
      <c r="F21" s="2410" t="s">
        <v>2115</v>
      </c>
      <c r="G21" s="2411"/>
    </row>
    <row r="22" spans="1:18" ht="13.5" customHeight="1">
      <c r="A22" s="645"/>
      <c r="B22" s="1797" t="s">
        <v>2098</v>
      </c>
      <c r="C22" s="136" t="str">
        <f>C8</f>
        <v>估价对象所在区域基础设施水平</v>
      </c>
      <c r="D22" s="2373"/>
      <c r="E22" s="2409"/>
      <c r="F22" s="2410" t="s">
        <v>2104</v>
      </c>
      <c r="G22" s="1571"/>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3" sqref="G33"/>
    </sheetView>
  </sheetViews>
  <sheetFormatPr defaultRowHeight="13.5"/>
  <cols>
    <col min="1" max="1" width="23.375" style="1740" customWidth="1"/>
    <col min="2" max="9" width="15.75" style="1740" customWidth="1"/>
    <col min="10" max="16384" width="9" style="1740"/>
  </cols>
  <sheetData>
    <row r="1" spans="1:10" ht="16.5">
      <c r="A1" s="1745" t="s">
        <v>1363</v>
      </c>
      <c r="B1" s="1745">
        <f>SUM(B14:B23)</f>
        <v>3344.62</v>
      </c>
      <c r="C1" s="1744"/>
      <c r="D1" s="1744"/>
      <c r="E1" s="1744"/>
      <c r="F1" s="1744"/>
      <c r="G1" s="1742"/>
    </row>
    <row r="2" spans="1:10" ht="16.5">
      <c r="A2" s="1745" t="s">
        <v>1351</v>
      </c>
      <c r="B2" s="1745">
        <f>SUM(C14:C23)</f>
        <v>0</v>
      </c>
      <c r="C2" s="1744"/>
      <c r="D2" s="1744"/>
      <c r="E2" s="1744"/>
      <c r="F2" s="1744"/>
      <c r="G2" s="1742"/>
    </row>
    <row r="3" spans="1:10" ht="16.5">
      <c r="A3" s="1745" t="s">
        <v>1360</v>
      </c>
      <c r="B3" s="1746">
        <f>项目基本情况!D3</f>
        <v>43270</v>
      </c>
      <c r="C3" s="1744"/>
      <c r="D3" s="1744"/>
      <c r="E3" s="1744"/>
      <c r="F3" s="1744"/>
      <c r="G3" s="1742"/>
    </row>
    <row r="4" spans="1:10" ht="33">
      <c r="A4" s="1745" t="s">
        <v>1359</v>
      </c>
      <c r="B4" s="1745" t="s">
        <v>1358</v>
      </c>
      <c r="C4" s="1745" t="s">
        <v>1357</v>
      </c>
      <c r="D4" s="1745" t="s">
        <v>1356</v>
      </c>
      <c r="E4" s="1744"/>
      <c r="F4" s="1742"/>
      <c r="G4" s="1742"/>
    </row>
    <row r="5" spans="1:10" ht="16.5">
      <c r="A5" s="1745" t="s">
        <v>1355</v>
      </c>
      <c r="B5" s="1745">
        <f ca="1">SUM(D14:D23)</f>
        <v>8080</v>
      </c>
      <c r="C5" s="1745">
        <f ca="1">ROUND(B5*10000/$B$1,0)</f>
        <v>24158</v>
      </c>
      <c r="D5" s="1745" t="e">
        <f ca="1">ROUND(B5*10000/$B$2,0)</f>
        <v>#DIV/0!</v>
      </c>
      <c r="E5" s="1744"/>
      <c r="F5" s="1742"/>
      <c r="G5" s="1742"/>
    </row>
    <row r="6" spans="1:10" ht="16.5">
      <c r="A6" s="1745" t="s">
        <v>1354</v>
      </c>
      <c r="B6" s="1745">
        <f ca="1">SUM(G14:G23)</f>
        <v>665</v>
      </c>
      <c r="C6" s="1745">
        <f ca="1">ROUND(B6*10000/$B$1,0)</f>
        <v>1988</v>
      </c>
      <c r="D6" s="1745" t="e">
        <f ca="1">ROUND(B6*10000/$B$2,0)</f>
        <v>#DIV/0!</v>
      </c>
      <c r="E6" s="1744"/>
      <c r="F6" s="1742"/>
      <c r="G6" s="1742"/>
    </row>
    <row r="7" spans="1:10" ht="16.5">
      <c r="A7" s="1745" t="s">
        <v>1362</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1353</v>
      </c>
      <c r="B9" s="1747"/>
      <c r="C9" s="1744"/>
      <c r="D9" s="1744"/>
      <c r="E9" s="1744"/>
      <c r="F9" s="1742"/>
      <c r="G9" s="1742"/>
    </row>
    <row r="10" spans="1:10" ht="16.5">
      <c r="A10" s="1745" t="s">
        <v>1352</v>
      </c>
      <c r="B10" s="1747"/>
      <c r="C10" s="1744"/>
      <c r="D10" s="1744"/>
      <c r="E10" s="1744"/>
      <c r="F10" s="1742"/>
      <c r="G10" s="1742"/>
    </row>
    <row r="11" spans="1:10" ht="16.5">
      <c r="A11" s="1745" t="s">
        <v>1368</v>
      </c>
      <c r="B11" s="1747"/>
      <c r="C11" s="1744"/>
      <c r="D11" s="1744"/>
      <c r="E11" s="1744"/>
      <c r="F11" s="1742"/>
      <c r="G11" s="1742"/>
    </row>
    <row r="12" spans="1:10" ht="16.5">
      <c r="A12" s="1744"/>
      <c r="B12" s="1744"/>
      <c r="C12" s="1744"/>
      <c r="D12" s="1744"/>
      <c r="E12" s="1744"/>
      <c r="F12" s="1742"/>
      <c r="G12" s="1742"/>
    </row>
    <row r="13" spans="1:10" ht="33">
      <c r="A13" s="1750" t="s">
        <v>1367</v>
      </c>
      <c r="B13" s="1743" t="s">
        <v>1364</v>
      </c>
      <c r="C13" s="1743" t="s">
        <v>1366</v>
      </c>
      <c r="D13" s="1743" t="s">
        <v>1365</v>
      </c>
      <c r="E13" s="1745" t="s">
        <v>1357</v>
      </c>
      <c r="F13" s="1745" t="s">
        <v>1356</v>
      </c>
      <c r="G13" s="1743" t="s">
        <v>1350</v>
      </c>
      <c r="H13" s="1743" t="s">
        <v>1361</v>
      </c>
      <c r="I13" s="1743" t="s">
        <v>1349</v>
      </c>
      <c r="J13" s="1742"/>
    </row>
    <row r="14" spans="1:10" ht="16.5">
      <c r="A14" s="1741" t="s">
        <v>3112</v>
      </c>
      <c r="B14" s="1743">
        <f>'典型户型修正-办公'!B22</f>
        <v>2410.12</v>
      </c>
      <c r="C14" s="1743">
        <f>'结果表-办公'!C118</f>
        <v>0</v>
      </c>
      <c r="D14" s="1743">
        <f ca="1">'典型户型修正-办公'!S22</f>
        <v>7720</v>
      </c>
      <c r="E14" s="1743">
        <f ca="1">ROUND(D14*10000/B14,0)</f>
        <v>32032</v>
      </c>
      <c r="F14" s="1743" t="e">
        <f ca="1">ROUND(D14*10000/C14,0)</f>
        <v>#DIV/0!</v>
      </c>
      <c r="G14" s="1743">
        <f ca="1">'结果表-办公'!D122</f>
        <v>665</v>
      </c>
      <c r="H14" s="1743" t="str">
        <f>'结果表-办公'!D124</f>
        <v>——</v>
      </c>
      <c r="I14" s="1743" t="str">
        <f>'结果表-办公'!D126</f>
        <v>——</v>
      </c>
      <c r="J14" s="1742"/>
    </row>
    <row r="15" spans="1:10" ht="16.5">
      <c r="A15" s="1741" t="s">
        <v>3113</v>
      </c>
      <c r="B15" s="1748">
        <f>'典型户型修正-车库'!B22</f>
        <v>934.49999999999977</v>
      </c>
      <c r="C15" s="1748"/>
      <c r="D15" s="1748">
        <f ca="1">'典型户型修正-车库'!S22</f>
        <v>360</v>
      </c>
      <c r="E15" s="1743">
        <f t="shared" ref="E15:E23" ca="1" si="0">ROUND(D15*10000/B15,0)</f>
        <v>3852</v>
      </c>
      <c r="F15" s="1743" t="e">
        <f t="shared" ref="F15:F23" ca="1"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0" sqref="F1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27</v>
      </c>
      <c r="D1" s="2421"/>
      <c r="E1" s="2421"/>
      <c r="F1" s="2423" t="s">
        <v>2119</v>
      </c>
      <c r="G1" s="2072" t="s">
        <v>3084</v>
      </c>
      <c r="H1" s="2424" t="str">
        <f>IF(G1="现房","——","估价对象范围")</f>
        <v>——</v>
      </c>
      <c r="I1" s="2425" t="s">
        <v>3085</v>
      </c>
    </row>
    <row r="2" spans="1:12" ht="21.75" customHeight="1" thickBot="1">
      <c r="A2" s="3151" t="str">
        <f>项目基本情况!S2</f>
        <v>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8" t="s">
        <v>2121</v>
      </c>
      <c r="B4" s="2429" t="s">
        <v>2122</v>
      </c>
      <c r="C4" s="2430" t="s">
        <v>3086</v>
      </c>
      <c r="D4" s="2430" t="s">
        <v>3141</v>
      </c>
      <c r="E4" s="3135" t="s">
        <v>2123</v>
      </c>
      <c r="F4" s="3148"/>
      <c r="G4" s="3148"/>
      <c r="H4" s="3148"/>
      <c r="I4" s="3136"/>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26" t="s">
        <v>2124</v>
      </c>
      <c r="B5" s="3052">
        <v>25</v>
      </c>
      <c r="C5" s="3156"/>
      <c r="D5" s="3144"/>
      <c r="E5" s="140" t="s">
        <v>2125</v>
      </c>
      <c r="F5" s="2432"/>
      <c r="G5" s="2432"/>
      <c r="H5" s="2432"/>
      <c r="I5" s="1833"/>
    </row>
    <row r="6" spans="1:12" ht="12.75">
      <c r="A6" s="3126"/>
      <c r="B6" s="3052"/>
      <c r="C6" s="3158"/>
      <c r="D6" s="3144"/>
      <c r="E6" s="140" t="s">
        <v>2126</v>
      </c>
      <c r="F6" s="2432"/>
      <c r="G6" s="2432"/>
      <c r="H6" s="2432"/>
      <c r="I6" s="1833"/>
    </row>
    <row r="7" spans="1:12" ht="12.75">
      <c r="A7" s="3126"/>
      <c r="B7" s="3052"/>
      <c r="C7" s="3157"/>
      <c r="D7" s="3144"/>
      <c r="E7" s="140" t="s">
        <v>2127</v>
      </c>
      <c r="F7" s="2432"/>
      <c r="G7" s="2432"/>
      <c r="H7" s="2432"/>
      <c r="I7" s="1833"/>
    </row>
    <row r="8" spans="1:12" ht="12.75">
      <c r="A8" s="3126" t="s">
        <v>2128</v>
      </c>
      <c r="B8" s="3052">
        <v>15</v>
      </c>
      <c r="C8" s="3156"/>
      <c r="D8" s="3144"/>
      <c r="E8" s="140" t="s">
        <v>2129</v>
      </c>
      <c r="F8" s="2432"/>
      <c r="G8" s="2432"/>
      <c r="H8" s="2432"/>
      <c r="I8" s="1833"/>
    </row>
    <row r="9" spans="1:12" ht="12.75">
      <c r="A9" s="3126"/>
      <c r="B9" s="3052"/>
      <c r="C9" s="3157"/>
      <c r="D9" s="3144"/>
      <c r="E9" s="140" t="s">
        <v>2130</v>
      </c>
      <c r="F9" s="2432"/>
      <c r="G9" s="2432"/>
      <c r="H9" s="2432"/>
      <c r="I9" s="1833"/>
    </row>
    <row r="10" spans="1:12" ht="12.75">
      <c r="A10" s="3126" t="s">
        <v>2131</v>
      </c>
      <c r="B10" s="3052">
        <v>15</v>
      </c>
      <c r="C10" s="3156"/>
      <c r="D10" s="3144"/>
      <c r="E10" s="140" t="s">
        <v>2132</v>
      </c>
      <c r="F10" s="2432"/>
      <c r="G10" s="2432"/>
      <c r="H10" s="2432"/>
      <c r="I10" s="1833"/>
    </row>
    <row r="11" spans="1:12" ht="12.75">
      <c r="A11" s="3126"/>
      <c r="B11" s="3052"/>
      <c r="C11" s="3157"/>
      <c r="D11" s="3144"/>
      <c r="E11" s="140" t="s">
        <v>2133</v>
      </c>
      <c r="F11" s="2432"/>
      <c r="G11" s="2432"/>
      <c r="H11" s="2432"/>
      <c r="I11" s="1833"/>
    </row>
    <row r="12" spans="1:12" ht="12.75">
      <c r="A12" s="3126" t="s">
        <v>2134</v>
      </c>
      <c r="B12" s="3052">
        <v>15</v>
      </c>
      <c r="C12" s="3156"/>
      <c r="D12" s="3144"/>
      <c r="E12" s="140" t="s">
        <v>2135</v>
      </c>
      <c r="F12" s="2432"/>
      <c r="G12" s="2432"/>
      <c r="H12" s="2432"/>
      <c r="I12" s="1833"/>
    </row>
    <row r="13" spans="1:12" ht="12.75">
      <c r="A13" s="3126"/>
      <c r="B13" s="3052"/>
      <c r="C13" s="3157"/>
      <c r="D13" s="3144"/>
      <c r="E13" s="140" t="s">
        <v>2136</v>
      </c>
      <c r="F13" s="2432"/>
      <c r="G13" s="2432"/>
      <c r="H13" s="2432"/>
      <c r="I13" s="1833"/>
    </row>
    <row r="14" spans="1:12" ht="12.75">
      <c r="A14" s="3126" t="s">
        <v>2137</v>
      </c>
      <c r="B14" s="3052">
        <v>30</v>
      </c>
      <c r="C14" s="3156">
        <v>5</v>
      </c>
      <c r="D14" s="3144">
        <v>5</v>
      </c>
      <c r="E14" s="140" t="s">
        <v>2138</v>
      </c>
      <c r="F14" s="2432"/>
      <c r="G14" s="2432"/>
      <c r="H14" s="2432"/>
      <c r="I14" s="1833"/>
    </row>
    <row r="15" spans="1:12" ht="12.75">
      <c r="A15" s="3126"/>
      <c r="B15" s="3052"/>
      <c r="C15" s="3158"/>
      <c r="D15" s="3144"/>
      <c r="E15" s="140" t="s">
        <v>2139</v>
      </c>
      <c r="F15" s="2432"/>
      <c r="G15" s="2432"/>
      <c r="H15" s="2432"/>
      <c r="I15" s="1833"/>
    </row>
    <row r="16" spans="1:12" ht="12.75">
      <c r="A16" s="3126"/>
      <c r="B16" s="3052"/>
      <c r="C16" s="3157"/>
      <c r="D16" s="3144"/>
      <c r="E16" s="140" t="s">
        <v>2140</v>
      </c>
      <c r="F16" s="2432"/>
      <c r="G16" s="2432"/>
      <c r="H16" s="2432"/>
      <c r="I16" s="1833"/>
    </row>
    <row r="17" spans="1:35" ht="15">
      <c r="A17" s="2433" t="s">
        <v>2141</v>
      </c>
      <c r="B17" s="64"/>
      <c r="C17" s="141">
        <f>SUM(C5:C16)</f>
        <v>5</v>
      </c>
      <c r="D17" s="141">
        <f>SUM(D5:D16)</f>
        <v>5</v>
      </c>
      <c r="E17" s="138"/>
      <c r="F17" s="138"/>
      <c r="G17" s="138"/>
      <c r="H17" s="138"/>
      <c r="I17" s="138"/>
      <c r="K17" s="2431"/>
      <c r="L17" s="2434" t="s">
        <v>2142</v>
      </c>
      <c r="M17" s="2434" t="s">
        <v>2143</v>
      </c>
    </row>
    <row r="18" spans="1:35" ht="15.75" thickBot="1">
      <c r="A18" s="2435" t="s">
        <v>2144</v>
      </c>
      <c r="B18" s="2436"/>
      <c r="C18" s="142">
        <f>ROUND(C17/SUM(C17:D17),2)</f>
        <v>0.5</v>
      </c>
      <c r="D18" s="142">
        <f>1-C18</f>
        <v>0.5</v>
      </c>
      <c r="E18" s="138"/>
      <c r="F18" s="138"/>
      <c r="G18" s="138"/>
      <c r="H18" s="138"/>
      <c r="I18" s="138"/>
      <c r="K18" s="2431" t="s">
        <v>2145</v>
      </c>
      <c r="L18" s="2431">
        <f>IF(C1="",'数据-汇总表'!E3,SUMIF(项目类型,C1,'数据-汇总表'!E17:E26)+SUMIF(项目类型,C1,'数据-汇总表'!I17:I26))</f>
        <v>208.21</v>
      </c>
      <c r="M18" s="2431">
        <f>IF(C1="",'数据-汇总表'!E3,SUMIF(项目类型,C1,'数据-汇总表'!E17:E26))</f>
        <v>208.21</v>
      </c>
    </row>
    <row r="19" spans="1:35" ht="15">
      <c r="A19" s="2437" t="s">
        <v>2146</v>
      </c>
      <c r="B19" s="2438" t="s">
        <v>2147</v>
      </c>
      <c r="C19" s="143">
        <f ca="1">SUMIF(INDIRECT("'"&amp;C4&amp;"'"&amp;"!A:A"),'结果表-办公'!B19,INDIRECT("'"&amp;C4&amp;"'"&amp;"!B:B"))</f>
        <v>733</v>
      </c>
      <c r="D19" s="144">
        <f ca="1">SUMIF(INDIRECT("'"&amp;D4&amp;"'"&amp;"!A:A"),'结果表-办公'!B19,INDIRECT("'"&amp;D4&amp;"'"&amp;"!B:B"))</f>
        <v>596</v>
      </c>
      <c r="E19" s="2437" t="s">
        <v>2148</v>
      </c>
      <c r="F19" s="2438" t="s">
        <v>2147</v>
      </c>
      <c r="G19" s="145">
        <f ca="1">ROUND(C19*$C$18+D19*$D$18,0)</f>
        <v>665</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SUMIF(INDIRECT("'"&amp;C4&amp;"'"&amp;"!A:A"),'结果表-办公'!B20,INDIRECT("'"&amp;C4&amp;"'"&amp;"!B:B"))</f>
        <v>35208</v>
      </c>
      <c r="D20" s="147">
        <f ca="1">SUMIF(INDIRECT("'"&amp;D4&amp;"'"&amp;"!A:A"),'结果表-办公'!B20,INDIRECT("'"&amp;D4&amp;"'"&amp;"!B:B"))</f>
        <v>28642</v>
      </c>
      <c r="E20" s="2440"/>
      <c r="F20" s="1249" t="s">
        <v>2151</v>
      </c>
      <c r="G20" s="148">
        <f ca="1">ROUND(C20*$C$18+D20*$D$18,0)</f>
        <v>31925</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0.22986577181208045</v>
      </c>
      <c r="E22" s="138"/>
      <c r="F22" s="138"/>
      <c r="G22" s="138"/>
      <c r="H22" s="138"/>
      <c r="I22" s="138"/>
    </row>
    <row r="23" spans="1:35" ht="13.5" thickBot="1">
      <c r="A23" s="2421"/>
      <c r="B23" s="2421"/>
      <c r="C23" s="2421"/>
      <c r="D23" s="2421"/>
      <c r="E23" s="138"/>
      <c r="F23" s="138"/>
      <c r="G23" s="138"/>
      <c r="H23" s="138"/>
      <c r="I23" s="138"/>
    </row>
    <row r="24" spans="1:35" ht="14.25">
      <c r="A24" s="3165" t="s">
        <v>2155</v>
      </c>
      <c r="B24" s="2438" t="s">
        <v>2147</v>
      </c>
      <c r="C24" s="145">
        <f>IF(B30=0,0,D30)</f>
        <v>0</v>
      </c>
      <c r="D24" s="2445"/>
      <c r="E24" s="138"/>
      <c r="F24" s="138"/>
      <c r="G24" s="138"/>
      <c r="H24" s="138"/>
      <c r="I24" s="138"/>
    </row>
    <row r="25" spans="1:35" ht="14.25">
      <c r="A25" s="3166"/>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665</v>
      </c>
      <c r="D32" s="2452" t="s">
        <v>2162</v>
      </c>
      <c r="E32" s="138"/>
      <c r="F32" s="138"/>
      <c r="G32" s="138"/>
      <c r="H32" s="138"/>
      <c r="I32" s="138"/>
    </row>
    <row r="33" spans="1:15" ht="15">
      <c r="A33" s="960" t="s">
        <v>2163</v>
      </c>
      <c r="B33" s="2453"/>
      <c r="C33" s="2454"/>
      <c r="D33" s="2455"/>
      <c r="E33" s="2456" t="s">
        <v>2164</v>
      </c>
      <c r="F33" s="2457"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145" t="s">
        <v>2169</v>
      </c>
      <c r="B36" s="2464" t="s">
        <v>2170</v>
      </c>
      <c r="C36" s="154"/>
      <c r="D36" s="2465"/>
      <c r="E36" s="2466"/>
      <c r="F36" s="2467"/>
      <c r="G36" s="138"/>
      <c r="H36" s="138"/>
      <c r="I36" s="138"/>
    </row>
    <row r="37" spans="1:15" ht="15.75" thickBot="1">
      <c r="A37" s="3146"/>
      <c r="B37" s="2269" t="s">
        <v>2171</v>
      </c>
      <c r="C37" s="156"/>
      <c r="D37" s="1394"/>
      <c r="E37" s="1394"/>
      <c r="F37" s="2467"/>
      <c r="G37" s="138"/>
      <c r="H37" s="138"/>
      <c r="I37" s="138"/>
    </row>
    <row r="38" spans="1:15" ht="15.75" thickBot="1">
      <c r="A38" s="3147"/>
      <c r="B38" s="2468" t="s">
        <v>2172</v>
      </c>
      <c r="C38" s="727"/>
      <c r="D38" s="2469" t="s">
        <v>2173</v>
      </c>
      <c r="E38" s="1394"/>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62" t="s">
        <v>2183</v>
      </c>
      <c r="B45" s="3163"/>
      <c r="C45" s="3164"/>
      <c r="D45" s="164">
        <f ca="1">ROUND(H101*F45,0)</f>
        <v>665</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3"/>
      <c r="I46" s="168"/>
      <c r="J46" s="1811">
        <v>1</v>
      </c>
      <c r="K46" s="3081" t="s">
        <v>2188</v>
      </c>
      <c r="L46" s="3081"/>
      <c r="M46" s="3082"/>
      <c r="N46" s="3082"/>
      <c r="O46" s="3082"/>
    </row>
    <row r="47" spans="1:15" ht="12" customHeight="1">
      <c r="A47" s="169" t="s">
        <v>2189</v>
      </c>
      <c r="B47" s="170"/>
      <c r="C47" s="171"/>
      <c r="D47" s="172" t="s">
        <v>2190</v>
      </c>
      <c r="E47" s="24" t="s">
        <v>2191</v>
      </c>
      <c r="F47" s="173" t="s">
        <v>2192</v>
      </c>
      <c r="G47" s="174" t="s">
        <v>2193</v>
      </c>
      <c r="H47" s="2483"/>
      <c r="I47" s="168"/>
      <c r="J47" s="1811">
        <v>2</v>
      </c>
      <c r="K47" s="3081" t="s">
        <v>2194</v>
      </c>
      <c r="L47" s="3081"/>
      <c r="M47" s="3083">
        <f>'数据-取费表'!B2</f>
        <v>43270</v>
      </c>
      <c r="N47" s="3083"/>
      <c r="O47" s="3083"/>
    </row>
    <row r="48" spans="1:15" ht="25.5">
      <c r="A48" s="3149" t="s">
        <v>2195</v>
      </c>
      <c r="B48" s="3150"/>
      <c r="C48" s="3150"/>
      <c r="D48" s="140">
        <f>IF(H48="情况1",0,IF(H48="情况2",D52,IF(H48="情况3",D53,IF(H48="情况4",D54))))</f>
        <v>0</v>
      </c>
      <c r="E48" s="1800" t="str">
        <f>IF(H48="情况4","(销售额-原购置价)×税（费）率","销售额×税（费）率")</f>
        <v>销售额×税（费）率</v>
      </c>
      <c r="F48" s="175" t="str">
        <f>IF(H48="情况1","免征",'数据-取费表'!B41)</f>
        <v>免征</v>
      </c>
      <c r="G48" s="2484" t="s">
        <v>2196</v>
      </c>
      <c r="H48" s="2485" t="s">
        <v>2197</v>
      </c>
      <c r="I48" s="2483"/>
      <c r="J48" s="1811">
        <v>3</v>
      </c>
      <c r="K48" s="3081" t="s">
        <v>2198</v>
      </c>
      <c r="L48" s="3081"/>
      <c r="M48" s="3084">
        <f ca="1">H101</f>
        <v>665</v>
      </c>
      <c r="N48" s="3084"/>
      <c r="O48" s="3084"/>
    </row>
    <row r="49" spans="1:35" ht="25.5" customHeight="1">
      <c r="A49" s="176" t="s">
        <v>2199</v>
      </c>
      <c r="B49" s="3129" t="s">
        <v>2200</v>
      </c>
      <c r="C49" s="3129"/>
      <c r="D49" s="177">
        <v>0</v>
      </c>
      <c r="E49" s="23" t="s">
        <v>2201</v>
      </c>
      <c r="F49" s="28" t="s">
        <v>34</v>
      </c>
      <c r="G49" s="3110"/>
      <c r="H49" s="138"/>
      <c r="I49" s="2486"/>
      <c r="J49" s="1811">
        <v>4</v>
      </c>
      <c r="K49" s="3081" t="str">
        <f>IF(项目基本情况!E8="房地产抵押价值","房地产抵押价值","抵押担保权已注销时的房地产抵押价值")</f>
        <v>房地产抵押价值</v>
      </c>
      <c r="L49" s="3081"/>
      <c r="M49" s="3084">
        <f ca="1">IF(项目基本情况!E8="房地产抵押价值",H107,H109)</f>
        <v>665</v>
      </c>
      <c r="N49" s="3084"/>
      <c r="O49" s="3084"/>
    </row>
    <row r="50" spans="1:35" ht="25.5" customHeight="1">
      <c r="A50" s="178"/>
      <c r="B50" s="3129" t="s">
        <v>2202</v>
      </c>
      <c r="C50" s="3129"/>
      <c r="D50" s="179"/>
      <c r="E50" s="31"/>
      <c r="F50" s="180"/>
      <c r="G50" s="3111"/>
      <c r="H50" s="138"/>
      <c r="I50" s="2486"/>
      <c r="J50" s="3081" t="s">
        <v>2203</v>
      </c>
      <c r="K50" s="3081"/>
      <c r="L50" s="3081"/>
      <c r="M50" s="3081"/>
      <c r="N50" s="3081"/>
      <c r="O50" s="3081"/>
    </row>
    <row r="51" spans="1:35" ht="12" customHeight="1">
      <c r="A51" s="181"/>
      <c r="B51" s="3129" t="s">
        <v>2204</v>
      </c>
      <c r="C51" s="3129"/>
      <c r="D51" s="182"/>
      <c r="E51" s="30"/>
      <c r="F51" s="180"/>
      <c r="G51" s="3112"/>
      <c r="H51" s="138"/>
      <c r="I51" s="2486"/>
      <c r="J51" s="2487" t="s">
        <v>2205</v>
      </c>
      <c r="K51" s="3081" t="s">
        <v>2206</v>
      </c>
      <c r="L51" s="3081"/>
      <c r="M51" s="2487" t="s">
        <v>2207</v>
      </c>
      <c r="N51" s="2487" t="s">
        <v>2208</v>
      </c>
      <c r="O51" s="2487" t="s">
        <v>2209</v>
      </c>
    </row>
    <row r="52" spans="1:35" ht="24" customHeight="1">
      <c r="A52" s="183" t="s">
        <v>2210</v>
      </c>
      <c r="B52" s="3129" t="s">
        <v>2211</v>
      </c>
      <c r="C52" s="3129"/>
      <c r="D52" s="182">
        <f ca="1">ROUND(D45*'数据-取费表'!B41/(1+'数据-取费表'!C42),0)</f>
        <v>35</v>
      </c>
      <c r="E52" s="11" t="s">
        <v>2212</v>
      </c>
      <c r="F52" s="184">
        <f>'数据-取费表'!B41</f>
        <v>5.6000000000000001E-2</v>
      </c>
      <c r="G52" s="2488"/>
      <c r="H52" s="138"/>
      <c r="I52" s="2486"/>
      <c r="J52" s="1811">
        <v>1</v>
      </c>
      <c r="K52" s="3104" t="s">
        <v>2213</v>
      </c>
      <c r="L52" s="3104"/>
      <c r="M52" s="1753">
        <f>D48</f>
        <v>0</v>
      </c>
      <c r="N52" s="1811" t="str">
        <f>E48</f>
        <v>销售额×税（费）率</v>
      </c>
      <c r="O52" s="1754" t="str">
        <f>F48</f>
        <v>免征</v>
      </c>
    </row>
    <row r="53" spans="1:35" ht="12" customHeight="1">
      <c r="A53" s="183" t="s">
        <v>2214</v>
      </c>
      <c r="B53" s="3130" t="s">
        <v>2215</v>
      </c>
      <c r="C53" s="3131"/>
      <c r="D53" s="182">
        <f ca="1">ROUND(D45*'数据-取费表'!B41/(1+'数据-取费表'!C42),0)</f>
        <v>35</v>
      </c>
      <c r="E53" s="11" t="s">
        <v>2212</v>
      </c>
      <c r="F53" s="184">
        <f>'数据-取费表'!B41</f>
        <v>5.6000000000000001E-2</v>
      </c>
      <c r="G53" s="2488"/>
      <c r="H53" s="138"/>
      <c r="I53" s="2486"/>
      <c r="J53" s="1811">
        <v>2</v>
      </c>
      <c r="K53" s="3104" t="s">
        <v>2216</v>
      </c>
      <c r="L53" s="3104"/>
      <c r="M53" s="1753">
        <f t="shared" ref="M53:O54" ca="1" si="0">D55</f>
        <v>0</v>
      </c>
      <c r="N53" s="1811" t="str">
        <f t="shared" si="0"/>
        <v>销售额×税（费）率</v>
      </c>
      <c r="O53" s="1754">
        <f t="shared" si="0"/>
        <v>5.0000000000000001E-4</v>
      </c>
    </row>
    <row r="54" spans="1:35" ht="12" customHeight="1">
      <c r="A54" s="183" t="s">
        <v>2217</v>
      </c>
      <c r="B54" s="3130" t="s">
        <v>2218</v>
      </c>
      <c r="C54" s="3131"/>
      <c r="D54" s="182">
        <f ca="1">C68</f>
        <v>35</v>
      </c>
      <c r="E54" s="30" t="s">
        <v>2219</v>
      </c>
      <c r="F54" s="184">
        <f>'数据-取费表'!B41</f>
        <v>5.6000000000000001E-2</v>
      </c>
      <c r="G54" s="2488"/>
      <c r="H54" s="2489"/>
      <c r="I54" s="2486"/>
      <c r="J54" s="1811">
        <v>3</v>
      </c>
      <c r="K54" s="3104" t="s">
        <v>2220</v>
      </c>
      <c r="L54" s="3104"/>
      <c r="M54" s="1753">
        <f t="shared" ca="1" si="0"/>
        <v>376</v>
      </c>
      <c r="N54" s="1811" t="str">
        <f t="shared" si="0"/>
        <v>增值额×税（费）率</v>
      </c>
      <c r="O54" s="1755" t="str">
        <f t="shared" si="0"/>
        <v>——</v>
      </c>
    </row>
    <row r="55" spans="1:35" ht="24" customHeight="1">
      <c r="A55" s="3168" t="s">
        <v>2221</v>
      </c>
      <c r="B55" s="3150"/>
      <c r="C55" s="3150"/>
      <c r="D55" s="185">
        <f ca="1">IF(H55="个人住宅",0,ROUND(D45*I55,0))</f>
        <v>0</v>
      </c>
      <c r="E55" s="11" t="s">
        <v>2222</v>
      </c>
      <c r="F55" s="184">
        <f>IF(H55="正常",I55,"免征")</f>
        <v>5.0000000000000001E-4</v>
      </c>
      <c r="G55" s="2488"/>
      <c r="H55" s="2485" t="s">
        <v>2223</v>
      </c>
      <c r="I55" s="186">
        <f>'数据-取费表'!B49</f>
        <v>5.0000000000000001E-4</v>
      </c>
      <c r="J55" s="1811" t="str">
        <f>IF(H59="非个人房产","",4)</f>
        <v/>
      </c>
      <c r="K55" s="3104" t="str">
        <f>IF(H59="非个人房产","——","个人所得税")</f>
        <v>——</v>
      </c>
      <c r="L55" s="3104"/>
      <c r="M55" s="1756" t="str">
        <f>D59</f>
        <v>——</v>
      </c>
      <c r="N55" s="1809" t="str">
        <f>E59</f>
        <v>——</v>
      </c>
      <c r="O55" s="1757" t="str">
        <f>F59</f>
        <v>——</v>
      </c>
    </row>
    <row r="56" spans="1:35" ht="24.75">
      <c r="A56" s="3168" t="s">
        <v>2224</v>
      </c>
      <c r="B56" s="3150"/>
      <c r="C56" s="3150"/>
      <c r="D56" s="185">
        <f ca="1">IF(H56="个人住宅",D57,D58)</f>
        <v>376</v>
      </c>
      <c r="E56" s="11" t="s">
        <v>2225</v>
      </c>
      <c r="F56" s="184" t="str">
        <f>IF(H56="正常",F58,"免征")</f>
        <v>——</v>
      </c>
      <c r="G56" s="2490" t="s">
        <v>2226</v>
      </c>
      <c r="H56" s="2491" t="s">
        <v>2223</v>
      </c>
      <c r="I56" s="2492"/>
      <c r="J56" s="1811" t="str">
        <f>IF(项目基本情况!K6="上海银行",IF(J55="",4,J55+1),"")</f>
        <v/>
      </c>
      <c r="K56" s="3087" t="str">
        <f>IF(项目基本情况!K6="上海银行","其他处置费用","")</f>
        <v/>
      </c>
      <c r="L56" s="3088"/>
      <c r="M56" s="1753"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8"/>
      <c r="H57" s="2492"/>
      <c r="I57" s="2492"/>
      <c r="J57" s="3104">
        <f>IF(AND(J55="",J56=""),4,IF(项目基本情况!K6="上海银行",'结果表-办公'!J56+1,'结果表-办公'!J55+1))</f>
        <v>4</v>
      </c>
      <c r="K57" s="3104" t="s">
        <v>2228</v>
      </c>
      <c r="L57" s="2493" t="s">
        <v>2229</v>
      </c>
      <c r="M57" s="1758"/>
      <c r="N57" s="1759">
        <f ca="1">SUMIF(M52:M56,"&lt;9e307")</f>
        <v>376</v>
      </c>
      <c r="O57" s="2494"/>
      <c r="P57" s="1752">
        <f ca="1">N57/M49</f>
        <v>0.56541353383458648</v>
      </c>
    </row>
    <row r="58" spans="1:35" ht="24.75">
      <c r="A58" s="183" t="s">
        <v>2210</v>
      </c>
      <c r="B58" s="3135" t="s">
        <v>2230</v>
      </c>
      <c r="C58" s="3148"/>
      <c r="D58" s="185">
        <f ca="1">IF(H58="转让取得",C81,C97)</f>
        <v>376</v>
      </c>
      <c r="E58" s="11" t="s">
        <v>2225</v>
      </c>
      <c r="F58" s="24" t="s">
        <v>34</v>
      </c>
      <c r="G58" s="2488"/>
      <c r="H58" s="2491" t="s">
        <v>2231</v>
      </c>
      <c r="I58" s="2492"/>
      <c r="J58" s="3104"/>
      <c r="K58" s="3104"/>
      <c r="L58" s="2493" t="s">
        <v>2232</v>
      </c>
      <c r="M58" s="1760"/>
      <c r="N58" s="2495" t="str">
        <f ca="1">NUMBERSTRING(INT(N57*10000),2)&amp;"元整"</f>
        <v>叁佰柒拾陆万元整</v>
      </c>
      <c r="O58" s="2496"/>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06">
        <f>J57+1</f>
        <v>5</v>
      </c>
      <c r="K59" s="3104" t="s">
        <v>2235</v>
      </c>
      <c r="L59" s="1811" t="s">
        <v>2229</v>
      </c>
      <c r="M59" s="1761"/>
      <c r="N59" s="1762">
        <f ca="1">M49-N57</f>
        <v>289</v>
      </c>
      <c r="O59" s="2498"/>
    </row>
    <row r="60" spans="1:35" ht="12" customHeight="1">
      <c r="A60" s="2499"/>
      <c r="B60" s="2421"/>
      <c r="C60" s="2421"/>
      <c r="D60" s="2421"/>
      <c r="E60" s="2168"/>
      <c r="F60" s="2492"/>
      <c r="G60" s="2492"/>
      <c r="H60" s="2500"/>
      <c r="I60" s="138"/>
      <c r="J60" s="3107"/>
      <c r="K60" s="3104"/>
      <c r="L60" s="2493" t="s">
        <v>2232</v>
      </c>
      <c r="M60" s="1760"/>
      <c r="N60" s="2495" t="str">
        <f ca="1">NUMBERSTRING(INT(N59*10000),2)&amp;"元整"</f>
        <v>贰佰捌拾玖万元整</v>
      </c>
      <c r="O60" s="2496"/>
    </row>
    <row r="61" spans="1:35" ht="13.5" thickBot="1">
      <c r="A61" s="3167" t="s">
        <v>2236</v>
      </c>
      <c r="B61" s="3167"/>
      <c r="C61" s="3167"/>
      <c r="D61" s="3167"/>
      <c r="E61" s="3167"/>
      <c r="F61" s="2492"/>
      <c r="G61" s="2492"/>
      <c r="H61" s="2500"/>
      <c r="I61" s="138"/>
      <c r="J61" s="1811">
        <f>J59+1</f>
        <v>6</v>
      </c>
      <c r="K61" s="3104" t="s">
        <v>2237</v>
      </c>
      <c r="L61" s="3104"/>
      <c r="M61" s="1763"/>
      <c r="N61" s="1764">
        <f ca="1">ROUND(N59*10000/'数据-汇总表'!E3,0)</f>
        <v>10684</v>
      </c>
      <c r="O61" s="2501"/>
    </row>
    <row r="62" spans="1:35" ht="12.75">
      <c r="A62" s="3124" t="s">
        <v>2238</v>
      </c>
      <c r="B62" s="3125"/>
      <c r="C62" s="1803"/>
      <c r="D62" s="1803" t="s">
        <v>2239</v>
      </c>
      <c r="E62" s="192" t="s">
        <v>2240</v>
      </c>
      <c r="F62" s="2492"/>
      <c r="G62" s="2492"/>
      <c r="H62" s="2500"/>
      <c r="I62" s="138"/>
    </row>
    <row r="63" spans="1:35" ht="12.75">
      <c r="A63" s="203" t="s">
        <v>775</v>
      </c>
      <c r="B63" s="193" t="s">
        <v>2241</v>
      </c>
      <c r="C63" s="194">
        <f ca="1">ROUND((C64+C65)/(1+'数据-取费表'!C42),0)</f>
        <v>633</v>
      </c>
      <c r="D63" s="195"/>
      <c r="E63" s="196"/>
      <c r="F63" s="2492"/>
      <c r="G63" s="2492"/>
      <c r="H63" s="2500"/>
      <c r="I63" s="138"/>
      <c r="J63" s="3089" t="s">
        <v>2242</v>
      </c>
      <c r="K63" s="2502" t="s">
        <v>2243</v>
      </c>
      <c r="L63" s="1751">
        <f ca="1">IF(M49&gt;10000,M49*0.5%,IF(AND(M49&gt;1000,M49&lt;=10000),M49*1%,IF(AND(M49&gt;100,M49&lt;=1000),M49*3%,IF(AND(M49&gt;10,M49&lt;=100),M49*5%,M49*8%))))</f>
        <v>19.95</v>
      </c>
      <c r="M63" s="24">
        <f ca="1">ROUND(L63,1)</f>
        <v>20</v>
      </c>
      <c r="Z63" s="2426"/>
      <c r="AI63" s="2427"/>
    </row>
    <row r="64" spans="1:35" ht="14.25" customHeight="1">
      <c r="A64" s="197" t="s">
        <v>770</v>
      </c>
      <c r="B64" s="198" t="s">
        <v>2244</v>
      </c>
      <c r="C64" s="199">
        <f ca="1">D45</f>
        <v>665</v>
      </c>
      <c r="D64" s="200" t="s">
        <v>32</v>
      </c>
      <c r="E64" s="201"/>
      <c r="F64" s="2492"/>
      <c r="G64" s="2492"/>
      <c r="H64" s="2500"/>
      <c r="I64" s="138"/>
      <c r="J64" s="3089"/>
      <c r="K64" s="2502" t="s">
        <v>2245</v>
      </c>
      <c r="L64" s="1751">
        <f ca="1">IF(M49&gt;2000,M49*0.5%,IF(AND(M49&gt;1000,M49&lt;=2000),M49*0.6%,IF(AND(M49&gt;500,M49&lt;=1000),M49*0.7%,IF(AND(M49&gt;200,M49&lt;=500),M49*0.8%,IF(AND(M49&gt;100,M49&lt;=200),M49*0.9%,IF(AND(M49&gt;50,M49&lt;=100),M49*1%,IF(AND(M49&gt;20,M49&lt;=50),M49*1.5%,IF(AND(M49&gt;10,M49&lt;=20),M49*2%,IF(AND(M49&gt;1,M49&lt;=10),M49*2.5%)))))))))</f>
        <v>4.6549999999999994</v>
      </c>
      <c r="M64" s="24">
        <f t="shared" ref="M64:M65" ca="1" si="1">ROUND(L64,1)</f>
        <v>4.7</v>
      </c>
      <c r="N64" s="138" t="s">
        <v>2246</v>
      </c>
      <c r="Z64" s="2426"/>
      <c r="AI64" s="2427"/>
    </row>
    <row r="65" spans="1:35" ht="14.25" customHeight="1">
      <c r="A65" s="197" t="s">
        <v>771</v>
      </c>
      <c r="B65" s="198" t="s">
        <v>2247</v>
      </c>
      <c r="C65" s="202"/>
      <c r="D65" s="200"/>
      <c r="E65" s="201"/>
      <c r="F65" s="2492"/>
      <c r="G65" s="2492"/>
      <c r="H65" s="2500"/>
      <c r="I65" s="138"/>
      <c r="J65" s="3089"/>
      <c r="K65" s="2502" t="s">
        <v>2248</v>
      </c>
      <c r="L65" s="1751">
        <f ca="1">IF(M49&gt;1000,M49*0.1%,IF(AND(M49&gt;500,M49&lt;=1000),M49*0.5%,IF(AND(M49&gt;50,M49&lt;=500),M49*1%,IF(AND(M49&gt;1,M49&lt;=50),M49*1.5%))))</f>
        <v>3.3250000000000002</v>
      </c>
      <c r="M65" s="24">
        <f t="shared" ca="1" si="1"/>
        <v>3.3</v>
      </c>
      <c r="N65" s="138" t="s">
        <v>2246</v>
      </c>
      <c r="Z65" s="2426"/>
      <c r="AI65" s="2427"/>
    </row>
    <row r="66" spans="1:35" ht="14.25" customHeight="1">
      <c r="A66" s="203" t="s">
        <v>772</v>
      </c>
      <c r="B66" s="204" t="s">
        <v>2249</v>
      </c>
      <c r="C66" s="205"/>
      <c r="D66" s="206" t="s">
        <v>32</v>
      </c>
      <c r="E66" s="1775" t="s">
        <v>1369</v>
      </c>
      <c r="F66" s="2492"/>
      <c r="G66" s="2492"/>
      <c r="H66" s="2500"/>
      <c r="I66" s="138"/>
      <c r="J66" s="3089"/>
      <c r="K66" s="2502" t="s">
        <v>2250</v>
      </c>
      <c r="L66" s="1751">
        <f ca="1">M49*0.5%</f>
        <v>3.3250000000000002</v>
      </c>
      <c r="M66" s="24">
        <f ca="1">IF(L66&gt;0.5,0.5,ROUND(L66,0))</f>
        <v>0.5</v>
      </c>
      <c r="N66" s="138" t="s">
        <v>2251</v>
      </c>
      <c r="Z66" s="2426"/>
      <c r="AI66" s="2427"/>
    </row>
    <row r="67" spans="1:35" ht="14.25" customHeight="1">
      <c r="A67" s="203" t="s">
        <v>773</v>
      </c>
      <c r="B67" s="204" t="s">
        <v>2252</v>
      </c>
      <c r="C67" s="207">
        <f ca="1">C63-C66</f>
        <v>633</v>
      </c>
      <c r="D67" s="200" t="s">
        <v>32</v>
      </c>
      <c r="E67" s="201"/>
      <c r="F67" s="2492"/>
      <c r="G67" s="2492"/>
      <c r="H67" s="2500"/>
      <c r="I67" s="138"/>
      <c r="J67" s="3089"/>
      <c r="K67" s="2502" t="s">
        <v>2253</v>
      </c>
      <c r="L67" s="1751">
        <f ca="1">IF(M49&gt;=10000,(8.25+(M49-10000)*0.01%),IF(AND(M49&gt;=8000,M49&lt;10000),(7.85+(M49-8000)*0.02%),IF(AND(M49&gt;=5000,M49&lt;8000),(6.65+(M49-5000)*0.04%),IF(AND(M49&gt;=2000,M49&lt;5000),(4.25+(PM49-2000)*0.08%),IF(AND(M49&gt;=1000,M49&lt;2000),(2.75+(M49-1000)*0.15%),IF(AND(M49&gt;=100,M49&lt;1000),(0.5+(M49-100)*0.25%),IF(AND(M49&gt;0,M49&lt;100),M49*0.5%)))))))</f>
        <v>1.9125000000000001</v>
      </c>
      <c r="M67" s="24">
        <f ca="1">ROUND(L67*0.9,1)</f>
        <v>1.7</v>
      </c>
      <c r="Z67" s="2426"/>
      <c r="AI67" s="2427"/>
    </row>
    <row r="68" spans="1:35" ht="14.25" customHeight="1" thickBot="1">
      <c r="A68" s="208" t="s">
        <v>774</v>
      </c>
      <c r="B68" s="209" t="s">
        <v>2254</v>
      </c>
      <c r="C68" s="210">
        <f ca="1">IF(C67&lt;=0,0,ROUND(C67*D68,0))</f>
        <v>35</v>
      </c>
      <c r="D68" s="211">
        <f>'数据-取费表'!B41</f>
        <v>5.6000000000000001E-2</v>
      </c>
      <c r="E68" s="212"/>
      <c r="F68" s="2492"/>
      <c r="G68" s="2492"/>
      <c r="H68" s="2500"/>
      <c r="I68" s="138"/>
      <c r="J68" s="3089"/>
      <c r="K68" s="2502" t="s">
        <v>2255</v>
      </c>
      <c r="L68" s="1751">
        <f ca="1">IF(M49&gt;10000,M49*0.5%,IF(AND(M49&gt;5000,M49&lt;=10000),M49*1%,IF(AND(M49&gt;1000,M49&lt;=5000),M49*2%,IF(AND(M49&gt;200,M49&lt;=1000),M49*3%,M49*5%))))</f>
        <v>19.95</v>
      </c>
      <c r="M68" s="24">
        <f ca="1">ROUND(L68,1)</f>
        <v>20</v>
      </c>
      <c r="Z68" s="2426"/>
      <c r="AI68" s="2427"/>
    </row>
    <row r="69" spans="1:35" s="2449" customFormat="1" ht="16.5" customHeight="1">
      <c r="A69" s="2503"/>
      <c r="B69" s="2504"/>
      <c r="C69" s="2505"/>
      <c r="D69" s="2506"/>
      <c r="E69" s="2507"/>
      <c r="F69" s="2168"/>
      <c r="G69" s="2168"/>
      <c r="H69" s="2167"/>
      <c r="I69" s="2421"/>
      <c r="J69" s="3089"/>
      <c r="K69" s="2502" t="s">
        <v>2256</v>
      </c>
      <c r="L69" s="2508"/>
      <c r="M69" s="24">
        <f ca="1">ROUND(SUM(M63:M68),0)</f>
        <v>50</v>
      </c>
      <c r="N69" s="1752">
        <f ca="1">M69/M49</f>
        <v>7.5187969924812026E-2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33" t="s">
        <v>2257</v>
      </c>
      <c r="B70" s="3134"/>
      <c r="C70" s="3134"/>
      <c r="D70" s="3134"/>
      <c r="E70" s="3134"/>
      <c r="F70" s="3134"/>
      <c r="G70" s="3134"/>
      <c r="H70" s="313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24" t="s">
        <v>2238</v>
      </c>
      <c r="B71" s="3125"/>
      <c r="C71" s="1803"/>
      <c r="D71" s="1803"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633</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4</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30" t="s">
        <v>2266</v>
      </c>
      <c r="F76" s="3129"/>
      <c r="G76" s="3129"/>
      <c r="H76" s="313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4</v>
      </c>
      <c r="D78" s="226">
        <f>'数据-取费表'!B43</f>
        <v>6.000000000000001E-3</v>
      </c>
      <c r="E78" s="3121" t="s">
        <v>2271</v>
      </c>
      <c r="F78" s="3122"/>
      <c r="G78" s="3122"/>
      <c r="H78" s="312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629</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157.25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376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33" t="s">
        <v>2275</v>
      </c>
      <c r="B83" s="3134"/>
      <c r="C83" s="3134"/>
      <c r="D83" s="3134"/>
      <c r="E83" s="3134"/>
      <c r="F83" s="3134"/>
      <c r="G83" s="3134"/>
      <c r="H83" s="313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24" t="s">
        <v>2238</v>
      </c>
      <c r="B84" s="3125"/>
      <c r="C84" s="1803"/>
      <c r="D84" s="1803"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633</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799"/>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21" t="s">
        <v>2284</v>
      </c>
      <c r="F91" s="3122"/>
      <c r="G91" s="3122"/>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21" t="s">
        <v>2288</v>
      </c>
      <c r="F92" s="3122"/>
      <c r="G92" s="3122"/>
      <c r="H92" s="312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4</v>
      </c>
      <c r="D93" s="226">
        <f>'数据-取费表'!B43</f>
        <v>6.000000000000001E-3</v>
      </c>
      <c r="E93" s="3121" t="s">
        <v>2271</v>
      </c>
      <c r="F93" s="3122"/>
      <c r="G93" s="3122"/>
      <c r="H93" s="312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169" t="s">
        <v>2292</v>
      </c>
      <c r="F94" s="3170"/>
      <c r="G94" s="3170"/>
      <c r="H94" s="317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629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157.25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376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比较法-办公</v>
      </c>
      <c r="D101" s="737" t="str">
        <f>D4</f>
        <v>收益法 (元)-办公</v>
      </c>
      <c r="E101" s="3085" t="s">
        <v>2297</v>
      </c>
      <c r="F101" s="3086"/>
      <c r="G101" s="2523" t="s">
        <v>2298</v>
      </c>
      <c r="H101" s="1048">
        <f ca="1">H118</f>
        <v>665</v>
      </c>
      <c r="I101" s="138"/>
    </row>
    <row r="102" spans="1:35" ht="18.75" customHeight="1">
      <c r="A102" s="3115" t="s">
        <v>2299</v>
      </c>
      <c r="B102" s="2523" t="s">
        <v>2298</v>
      </c>
      <c r="C102" s="736">
        <f ca="1">C19</f>
        <v>733</v>
      </c>
      <c r="D102" s="737">
        <f ca="1">D19</f>
        <v>596</v>
      </c>
      <c r="E102" s="3085"/>
      <c r="F102" s="3086"/>
      <c r="G102" s="2523" t="s">
        <v>2300</v>
      </c>
      <c r="H102" s="371">
        <f ca="1">I118</f>
        <v>31939</v>
      </c>
      <c r="I102" s="138"/>
    </row>
    <row r="103" spans="1:35" ht="42.75" customHeight="1">
      <c r="A103" s="3115"/>
      <c r="B103" s="2523" t="s">
        <v>2300</v>
      </c>
      <c r="C103" s="738">
        <f ca="1">C20</f>
        <v>35208</v>
      </c>
      <c r="D103" s="739">
        <f ca="1">D20</f>
        <v>28642</v>
      </c>
      <c r="E103" s="3079" t="s">
        <v>2301</v>
      </c>
      <c r="F103" s="3080"/>
      <c r="G103" s="2524" t="s">
        <v>2302</v>
      </c>
      <c r="H103" s="1048">
        <f>IF(D36="正常操作",H104+H105+H106,H105+H106)</f>
        <v>0</v>
      </c>
      <c r="I103" s="138"/>
    </row>
    <row r="104" spans="1:35" ht="18.75" customHeight="1">
      <c r="A104" s="3115" t="s">
        <v>2303</v>
      </c>
      <c r="B104" s="2525" t="s">
        <v>2298</v>
      </c>
      <c r="C104" s="740">
        <f ca="1">H118</f>
        <v>665</v>
      </c>
      <c r="D104" s="741"/>
      <c r="E104" s="2269" t="s">
        <v>2304</v>
      </c>
      <c r="F104" s="2260"/>
      <c r="G104" s="2524" t="s">
        <v>2302</v>
      </c>
      <c r="H104" s="1049">
        <f>IF(D36="同一抵押权人同一抵押物续贷",C36&amp;"（未扣减，详见特别提示）",C36)</f>
        <v>0</v>
      </c>
      <c r="I104" s="138"/>
    </row>
    <row r="105" spans="1:35" ht="18.75" customHeight="1" thickBot="1">
      <c r="A105" s="3127"/>
      <c r="B105" s="2526" t="s">
        <v>2300</v>
      </c>
      <c r="C105" s="742">
        <f ca="1">I118</f>
        <v>31939</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6" t="str">
        <f>IF(项目基本情况!E8="已注销","——","3.房地产抵押价值")</f>
        <v>3.房地产抵押价值</v>
      </c>
      <c r="F107" s="3086"/>
      <c r="G107" s="2523" t="s">
        <v>2298</v>
      </c>
      <c r="H107" s="1048">
        <f ca="1">IF(E107="——","——",H101-H103)</f>
        <v>665</v>
      </c>
      <c r="I107" s="138"/>
    </row>
    <row r="108" spans="1:35" ht="18.75" customHeight="1">
      <c r="A108" s="138"/>
      <c r="B108" s="138"/>
      <c r="C108" s="138"/>
      <c r="D108" s="138"/>
      <c r="E108" s="3116"/>
      <c r="F108" s="3086"/>
      <c r="G108" s="2523" t="s">
        <v>2300</v>
      </c>
      <c r="H108" s="371">
        <f ca="1">ROUND(H107*10000/'数据-汇总表'!E3,0)</f>
        <v>24583</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3" t="s">
        <v>2298</v>
      </c>
      <c r="H109" s="348" t="str">
        <f>IF(E109="——","——",H101-H105-H106)</f>
        <v>——</v>
      </c>
      <c r="I109" s="138"/>
    </row>
    <row r="110" spans="1:35" ht="18.75" customHeight="1">
      <c r="A110" s="138"/>
      <c r="B110" s="138"/>
      <c r="C110" s="138"/>
      <c r="D110" s="138"/>
      <c r="E110" s="3116"/>
      <c r="F110" s="3086"/>
      <c r="G110" s="2523"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3" t="s">
        <v>2298</v>
      </c>
      <c r="H111" s="1048" t="str">
        <f>IF(E111="——","——",N59)</f>
        <v>——</v>
      </c>
      <c r="I111" s="138"/>
    </row>
    <row r="112" spans="1:35" ht="18.75" customHeight="1" thickBot="1">
      <c r="A112" s="138"/>
      <c r="B112" s="138"/>
      <c r="C112" s="138"/>
      <c r="D112" s="138"/>
      <c r="E112" s="3119"/>
      <c r="F112" s="3120"/>
      <c r="G112" s="2528"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21"/>
      <c r="B114" s="2421"/>
      <c r="C114" s="2421"/>
      <c r="D114" s="2421"/>
      <c r="E114" s="2499"/>
      <c r="F114" s="2499"/>
      <c r="G114" s="2499"/>
      <c r="H114" s="2499"/>
      <c r="I114" s="2421"/>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1797" t="s">
        <v>2315</v>
      </c>
      <c r="E117" s="1797" t="s">
        <v>2316</v>
      </c>
      <c r="F117" s="1797" t="s">
        <v>2315</v>
      </c>
      <c r="G117" s="1797" t="s">
        <v>2317</v>
      </c>
      <c r="H117" s="1797" t="s">
        <v>2315</v>
      </c>
      <c r="I117" s="1797" t="s">
        <v>2317</v>
      </c>
    </row>
    <row r="118" spans="1:11" ht="24.75" customHeight="1">
      <c r="A118" s="2529" t="str">
        <f>项目基本情况!S2</f>
        <v>房地产</v>
      </c>
      <c r="B118" s="1797">
        <f>M18</f>
        <v>208.21</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665</v>
      </c>
      <c r="I118" s="1797">
        <f ca="1">ROUND(IF(D32="楼面单价",C32,H118*10000/B118),0)</f>
        <v>31939</v>
      </c>
    </row>
    <row r="119" spans="1:11" ht="18.75" customHeight="1">
      <c r="A119" s="3052" t="s">
        <v>2318</v>
      </c>
      <c r="B119" s="3052"/>
      <c r="C119" s="3052"/>
      <c r="D119" s="3097" t="e">
        <f ca="1">NUMBERSTRING(INT(D118*10000),2)&amp;"元整"</f>
        <v>#REF!</v>
      </c>
      <c r="E119" s="3098"/>
      <c r="F119" s="3097" t="e">
        <f ca="1">NUMBERSTRING(INT(F118*10000),2)&amp;"元整"</f>
        <v>#REF!</v>
      </c>
      <c r="G119" s="3098"/>
      <c r="H119" s="3097" t="str">
        <f ca="1">NUMBERSTRING(INT(H118*10000),2)&amp;"元整"</f>
        <v>陆佰陆拾伍万元整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6"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665</v>
      </c>
      <c r="E122" s="3093"/>
      <c r="F122" s="3093"/>
      <c r="G122" s="3093"/>
      <c r="H122" s="3093"/>
      <c r="I122" s="3094"/>
    </row>
    <row r="123" spans="1:11" ht="18.75" customHeight="1">
      <c r="A123" s="3052" t="s">
        <v>2318</v>
      </c>
      <c r="B123" s="3052"/>
      <c r="C123" s="3052"/>
      <c r="D123" s="3097" t="str">
        <f ca="1">NUMBERSTRING(INT(D122*10000),2)&amp;"元整"</f>
        <v>陆佰陆拾伍万元整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8</v>
      </c>
    </row>
    <row r="2" spans="1:9" s="244" customFormat="1" ht="18" customHeight="1">
      <c r="A2" s="245" t="s">
        <v>2328</v>
      </c>
      <c r="B2" s="246">
        <f ca="1">IF(D2="——",C52,C52-E2)</f>
        <v>84</v>
      </c>
      <c r="C2" s="243" t="s">
        <v>2329</v>
      </c>
      <c r="D2" s="2552" t="s">
        <v>70</v>
      </c>
      <c r="E2" s="1442"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3105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5"/>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430</v>
      </c>
      <c r="F9" s="265"/>
      <c r="G9" s="2556"/>
      <c r="H9" s="1392"/>
      <c r="I9" s="2557" t="s">
        <v>2345</v>
      </c>
    </row>
    <row r="10" spans="1:9" s="258" customFormat="1" ht="13.5" customHeight="1">
      <c r="A10" s="953" t="s">
        <v>801</v>
      </c>
      <c r="B10" s="268" t="s">
        <v>2346</v>
      </c>
      <c r="C10" s="269">
        <f ca="1">ROUND(D10*E10/10000,0)</f>
        <v>12</v>
      </c>
      <c r="D10" s="1035">
        <f ca="1">IF(B1="",'数据-汇总表'!E6,IF(INDIRECT("'数据-取费表'!c"&amp;$G$1)="住宅",INDIRECT("'数据-取费表'!s"&amp;$G$1),INDIRECT("'数据-取费表'!k"&amp;$G$1)+INDIRECT("'数据-取费表'!s"&amp;$G$1)))</f>
        <v>270.51</v>
      </c>
      <c r="E10" s="269">
        <f>'数据-取费表'!B28</f>
        <v>430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5</v>
      </c>
      <c r="D19" s="1039">
        <f ca="1">D9+D10</f>
        <v>270.51</v>
      </c>
      <c r="E19" s="255">
        <f>'数据-取费表'!B31</f>
        <v>200</v>
      </c>
      <c r="F19" s="275"/>
      <c r="G19" s="2555"/>
    </row>
    <row r="20" spans="1:7" s="258" customFormat="1" ht="13.5" customHeight="1">
      <c r="A20" s="299" t="s">
        <v>2359</v>
      </c>
      <c r="B20" s="254" t="s">
        <v>2360</v>
      </c>
      <c r="C20" s="276">
        <f ca="1">ROUND((C5+C19)*F20,0)</f>
        <v>0</v>
      </c>
      <c r="D20" s="276"/>
      <c r="E20" s="276"/>
      <c r="F20" s="277">
        <f>'数据-取费表'!B37</f>
        <v>1.4999999999999999E-2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0</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1</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ROUND((C5+C19+C20)*F27*'数据-取费表'!B21/'数据-取费表'!B20,0)</f>
        <v>1</v>
      </c>
      <c r="D28" s="279"/>
      <c r="E28" s="280"/>
      <c r="F28" s="290"/>
      <c r="G28" s="291"/>
    </row>
    <row r="29" spans="1:7" s="258" customFormat="1" ht="13.5" customHeight="1">
      <c r="A29" s="954" t="s">
        <v>792</v>
      </c>
      <c r="B29" s="292" t="s">
        <v>2383</v>
      </c>
      <c r="C29" s="282">
        <f ca="1">ROUND(C21*F27*'数据-取费表'!B21/'数据-取费表'!B20,4)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2392</v>
      </c>
    </row>
    <row r="35" spans="1:7" ht="13.5" customHeight="1">
      <c r="A35" s="954" t="s">
        <v>796</v>
      </c>
      <c r="B35" s="259" t="s">
        <v>2393</v>
      </c>
      <c r="C35" s="264">
        <f ca="1">ROUND(C34*F35,0)</f>
        <v>4</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v>
      </c>
      <c r="D37" s="261">
        <f ca="1">D19</f>
        <v>270.51</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2</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2</v>
      </c>
      <c r="D42" s="282"/>
      <c r="E42" s="282"/>
      <c r="F42" s="283"/>
      <c r="G42" s="3172" t="s">
        <v>2410</v>
      </c>
    </row>
    <row r="43" spans="1:7" ht="13.5" customHeight="1">
      <c r="A43" s="954" t="s">
        <v>792</v>
      </c>
      <c r="B43" s="259" t="s">
        <v>2411</v>
      </c>
      <c r="C43" s="282">
        <f ca="1">ROUND(IF('数据-取费表'!B22&lt;=1,C39*F22*'数据-取费表'!B21/2,C39*(POWER((1+F22),'数据-取费表'!B21/2)-1)),0)</f>
        <v>0</v>
      </c>
      <c r="D43" s="282"/>
      <c r="E43" s="282"/>
      <c r="F43" s="283"/>
      <c r="G43" s="3173"/>
    </row>
    <row r="44" spans="1:7" ht="13.5" customHeight="1">
      <c r="A44" s="954" t="s">
        <v>793</v>
      </c>
      <c r="B44" s="259" t="s">
        <v>2412</v>
      </c>
      <c r="C44" s="282">
        <f ca="1">ROUND(IF('数据-取费表'!B22&lt;=1,C40*F22*'数据-取费表'!B21/2,C40*(POWER((1+F22),'数据-取费表'!B21/2)-1)),4)</f>
        <v>4.0000000000000002E-4</v>
      </c>
      <c r="D44" s="282"/>
      <c r="E44" s="282"/>
      <c r="F44" s="283"/>
      <c r="G44" s="3174"/>
    </row>
    <row r="45" spans="1:7" s="258" customFormat="1" ht="13.5" customHeight="1">
      <c r="A45" s="299" t="s">
        <v>2413</v>
      </c>
      <c r="B45" s="288" t="s">
        <v>2379</v>
      </c>
      <c r="C45" s="289">
        <f ca="1">C46</f>
        <v>10</v>
      </c>
      <c r="D45" s="279">
        <f ca="1">C47</f>
        <v>2.3999999999999998E-3</v>
      </c>
      <c r="E45" s="280" t="s">
        <v>2405</v>
      </c>
      <c r="F45" s="290"/>
      <c r="G45" s="291" t="s">
        <v>2414</v>
      </c>
    </row>
    <row r="46" spans="1:7" s="258" customFormat="1" ht="13.5" customHeight="1">
      <c r="A46" s="954" t="s">
        <v>791</v>
      </c>
      <c r="B46" s="292" t="s">
        <v>2415</v>
      </c>
      <c r="C46" s="293">
        <f ca="1">ROUND((C33+C39)*F27,0)</f>
        <v>10</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101</v>
      </c>
      <c r="D49" s="276"/>
      <c r="E49" s="276"/>
      <c r="F49" s="308"/>
      <c r="G49" s="278" t="s">
        <v>2420</v>
      </c>
    </row>
    <row r="50" spans="1:7" s="302" customFormat="1" ht="24">
      <c r="A50" s="299" t="s">
        <v>2421</v>
      </c>
      <c r="B50" s="254" t="s">
        <v>2422</v>
      </c>
      <c r="C50" s="276"/>
      <c r="D50" s="276"/>
      <c r="E50" s="276"/>
      <c r="F50" s="308">
        <f>IF('数据-取费表'!B24=0,'数据-取费表'!N16,1)</f>
        <v>0.77</v>
      </c>
      <c r="G50" s="291" t="s">
        <v>2423</v>
      </c>
    </row>
    <row r="51" spans="1:7" ht="16.5" customHeight="1">
      <c r="A51" s="299" t="s">
        <v>2424</v>
      </c>
      <c r="B51" s="254" t="s">
        <v>2425</v>
      </c>
      <c r="C51" s="276">
        <f ca="1">ROUND(C49*F50,0)</f>
        <v>78</v>
      </c>
      <c r="D51" s="276"/>
      <c r="E51" s="276"/>
      <c r="F51" s="308"/>
      <c r="G51" s="278" t="s">
        <v>2426</v>
      </c>
    </row>
    <row r="52" spans="1:7" s="252" customFormat="1" ht="16.5" thickBot="1">
      <c r="A52" s="309" t="s">
        <v>2427</v>
      </c>
      <c r="B52" s="310"/>
      <c r="C52" s="311">
        <f ca="1">C31+C51</f>
        <v>84</v>
      </c>
      <c r="D52" s="310"/>
      <c r="E52" s="310"/>
      <c r="F52" s="310"/>
      <c r="G52" s="312"/>
    </row>
    <row r="55" spans="1:7" ht="15">
      <c r="B55" s="314" t="s">
        <v>2428</v>
      </c>
      <c r="C55" s="315"/>
    </row>
    <row r="56" spans="1:7">
      <c r="B56" s="317" t="s">
        <v>1511</v>
      </c>
      <c r="C56" s="319">
        <f ca="1">1-C57</f>
        <v>7.0999999999999952E-2</v>
      </c>
    </row>
    <row r="57" spans="1:7">
      <c r="B57" s="317" t="s">
        <v>1512</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6" t="str">
        <f>项目基本情况!B1</f>
        <v>房地产抵押价值预评估</v>
      </c>
      <c r="C37" s="2986"/>
      <c r="D37" s="2986"/>
      <c r="E37" s="2986"/>
      <c r="F37" s="2986"/>
      <c r="G37" s="2986"/>
      <c r="H37" s="2986"/>
      <c r="I37" s="2986"/>
    </row>
    <row r="38" spans="1:9">
      <c r="A38" s="1019"/>
      <c r="B38" s="1019"/>
    </row>
    <row r="39" spans="1:9">
      <c r="A39" s="1017" t="s">
        <v>818</v>
      </c>
      <c r="B39" s="1017" t="s">
        <v>820</v>
      </c>
    </row>
    <row r="40" spans="1:9">
      <c r="A40" s="1017"/>
      <c r="B40" s="1944" t="str">
        <f>项目基本情况!B5</f>
        <v>五矿国际信托有限公司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8" t="s">
        <v>2429</v>
      </c>
      <c r="D1" s="242"/>
      <c r="E1" s="242"/>
      <c r="F1" s="242"/>
      <c r="G1" s="1381">
        <f>MATCH(B1,'数据-取费表'!A6:A16,0)+5</f>
        <v>8</v>
      </c>
      <c r="H1" s="1284" t="str">
        <f>IF(ISERROR(FIND("住宅",B1)),"非住宅","住宅")</f>
        <v>非住宅</v>
      </c>
    </row>
    <row r="2" spans="1:8" s="244" customFormat="1" ht="18" customHeight="1">
      <c r="A2" s="245" t="s">
        <v>2328</v>
      </c>
      <c r="B2" s="246">
        <f ca="1">ROUND(IF(D2="——",C52/10000,C52/10000-E2),0)</f>
        <v>100</v>
      </c>
      <c r="C2" s="243" t="s">
        <v>2329</v>
      </c>
      <c r="D2" s="2552" t="s">
        <v>70</v>
      </c>
      <c r="E2" s="1442"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3697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116319</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116319</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430</v>
      </c>
      <c r="F9" s="265"/>
      <c r="G9" s="270"/>
    </row>
    <row r="10" spans="1:8" s="258" customFormat="1" ht="13.5" customHeight="1">
      <c r="A10" s="953" t="s">
        <v>801</v>
      </c>
      <c r="B10" s="268" t="s">
        <v>2346</v>
      </c>
      <c r="C10" s="269">
        <f ca="1">ROUND(D10*E10,0)</f>
        <v>116319</v>
      </c>
      <c r="D10" s="1035">
        <f ca="1">IF(B1="",'数据-汇总表'!E6,IF(INDIRECT("'数据-取费表'!c"&amp;$G$1)="住宅",INDIRECT("'数据-取费表'!s"&amp;$G$1),INDIRECT("'数据-取费表'!k"&amp;$G$1)+INDIRECT("'数据-取费表'!s"&amp;$G$1)))</f>
        <v>270.51</v>
      </c>
      <c r="E10" s="269">
        <f>'数据-取费表'!B28</f>
        <v>430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54102</v>
      </c>
      <c r="D19" s="1039">
        <f ca="1">D9+D10</f>
        <v>270.51</v>
      </c>
      <c r="E19" s="255">
        <f>'数据-取费表'!B31</f>
        <v>200</v>
      </c>
      <c r="F19" s="275"/>
      <c r="G19" s="2555"/>
    </row>
    <row r="20" spans="1:7" s="258" customFormat="1" ht="13.5" customHeight="1">
      <c r="A20" s="299" t="s">
        <v>2440</v>
      </c>
      <c r="B20" s="254" t="s">
        <v>2441</v>
      </c>
      <c r="C20" s="276">
        <f ca="1">ROUND((C5+C19)*F20,0)</f>
        <v>2556</v>
      </c>
      <c r="D20" s="276"/>
      <c r="E20" s="276"/>
      <c r="F20" s="277">
        <f>'数据-取费表'!B37</f>
        <v>1.4999999999999999E-2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7469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3">
        <f ca="1">ROUND(IF('数据-取费表'!B22&lt;=1,C5*F22*'数据-取费表'!B22,C5*(POWER((1+F22),'数据-取费表'!B22)-1)),0)</f>
        <v>5060</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2353</v>
      </c>
      <c r="D24" s="282"/>
      <c r="E24" s="282"/>
      <c r="F24" s="283"/>
      <c r="G24" s="284" t="s">
        <v>2452</v>
      </c>
    </row>
    <row r="25" spans="1:7" s="258" customFormat="1" ht="24">
      <c r="A25" s="954" t="s">
        <v>2342</v>
      </c>
      <c r="B25" s="259" t="s">
        <v>2453</v>
      </c>
      <c r="C25" s="1383">
        <f ca="1">ROUND(IF('数据-取费表'!B22&lt;=1,C20*F22*'数据-取费表'!B22/2,C20*(POWER((1+F22),'数据-取费表'!B22/2)-1)),0)</f>
        <v>56</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20757</v>
      </c>
      <c r="D27" s="279">
        <f ca="1">C29</f>
        <v>2.3999999999999998E-3</v>
      </c>
      <c r="E27" s="280" t="s">
        <v>2380</v>
      </c>
      <c r="F27" s="290">
        <f ca="1">IF(B1="",'数据-取费表'!Q16,INDIRECT("'数据-取费表'!q"&amp;$G$1))</f>
        <v>0.12</v>
      </c>
      <c r="G27" s="291" t="s">
        <v>2381</v>
      </c>
    </row>
    <row r="28" spans="1:7" s="258" customFormat="1" ht="13.5" customHeight="1">
      <c r="A28" s="954" t="s">
        <v>791</v>
      </c>
      <c r="B28" s="292" t="s">
        <v>2382</v>
      </c>
      <c r="C28" s="293">
        <f ca="1">ROUND((C5+C19+C20)*F27,0)</f>
        <v>20757</v>
      </c>
      <c r="D28" s="279"/>
      <c r="E28" s="280"/>
      <c r="F28" s="290"/>
      <c r="G28" s="291"/>
    </row>
    <row r="29" spans="1:7" s="258" customFormat="1" ht="13.5" customHeight="1">
      <c r="A29" s="954" t="s">
        <v>792</v>
      </c>
      <c r="B29" s="292" t="s">
        <v>2383</v>
      </c>
      <c r="C29" s="282">
        <f ca="1">ROUND(C21*F27,4)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217776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807683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707588</v>
      </c>
      <c r="D34" s="261"/>
      <c r="E34" s="264"/>
      <c r="F34" s="301"/>
      <c r="G34" s="263"/>
    </row>
    <row r="35" spans="1:7" ht="13.5" customHeight="1">
      <c r="A35" s="954" t="s">
        <v>796</v>
      </c>
      <c r="B35" s="259" t="s">
        <v>2393</v>
      </c>
      <c r="C35" s="264">
        <f ca="1">ROUND(C34*F35,0)</f>
        <v>35379</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54102</v>
      </c>
      <c r="D37" s="261">
        <f ca="1">D19</f>
        <v>270.51</v>
      </c>
      <c r="E37" s="293">
        <f>'数据-取费表'!B35</f>
        <v>200</v>
      </c>
      <c r="F37" s="303"/>
      <c r="G37" s="305"/>
    </row>
    <row r="38" spans="1:7" ht="13.5" customHeight="1">
      <c r="A38" s="954" t="s">
        <v>799</v>
      </c>
      <c r="B38" s="259" t="s">
        <v>2399</v>
      </c>
      <c r="C38" s="264">
        <f ca="1">ROUND(C34*F38,0)</f>
        <v>10614</v>
      </c>
      <c r="D38" s="264"/>
      <c r="E38" s="264"/>
      <c r="F38" s="303">
        <f>'数据-取费表'!B36</f>
        <v>1.4999999999999999E-2</v>
      </c>
      <c r="G38" s="263" t="s">
        <v>2394</v>
      </c>
    </row>
    <row r="39" spans="1:7" s="258" customFormat="1" ht="13.5" customHeight="1">
      <c r="A39" s="299" t="s">
        <v>2400</v>
      </c>
      <c r="B39" s="254" t="s">
        <v>2401</v>
      </c>
      <c r="C39" s="276">
        <f ca="1">ROUND(C33*F20,0)</f>
        <v>12115</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17831</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17567</v>
      </c>
      <c r="D42" s="282"/>
      <c r="E42" s="282"/>
      <c r="F42" s="283"/>
      <c r="G42" s="3172" t="s">
        <v>2457</v>
      </c>
    </row>
    <row r="43" spans="1:7" ht="13.5" customHeight="1">
      <c r="A43" s="954" t="s">
        <v>792</v>
      </c>
      <c r="B43" s="259" t="s">
        <v>2411</v>
      </c>
      <c r="C43" s="282">
        <f ca="1">ROUND(IF('数据-取费表'!B22&lt;=1,C39*F22*'数据-取费表'!B20/2,C39*(POWER((1+F22),'数据-取费表'!B20/2)-1)),0)</f>
        <v>264</v>
      </c>
      <c r="D43" s="282"/>
      <c r="E43" s="282"/>
      <c r="F43" s="283"/>
      <c r="G43" s="3173"/>
    </row>
    <row r="44" spans="1:7" ht="13.5" customHeight="1">
      <c r="A44" s="954" t="s">
        <v>793</v>
      </c>
      <c r="B44" s="259" t="s">
        <v>2412</v>
      </c>
      <c r="C44" s="282">
        <f ca="1">ROUND(IF('数据-取费表'!B22&lt;=1,C40*F22*'数据-取费表'!B20/2,C40*(POWER((1+F22),'数据-取费表'!B20/2)-1)),4)</f>
        <v>4.0000000000000002E-4</v>
      </c>
      <c r="D44" s="282"/>
      <c r="E44" s="282"/>
      <c r="F44" s="283"/>
      <c r="G44" s="3174"/>
    </row>
    <row r="45" spans="1:7" s="258" customFormat="1" ht="13.5" customHeight="1">
      <c r="A45" s="299" t="s">
        <v>2413</v>
      </c>
      <c r="B45" s="288" t="s">
        <v>2379</v>
      </c>
      <c r="C45" s="289">
        <f ca="1">C46</f>
        <v>98376</v>
      </c>
      <c r="D45" s="279">
        <f ca="1">C47</f>
        <v>2.3999999999999998E-3</v>
      </c>
      <c r="E45" s="280" t="s">
        <v>2405</v>
      </c>
      <c r="F45" s="290"/>
      <c r="G45" s="291" t="s">
        <v>2414</v>
      </c>
    </row>
    <row r="46" spans="1:7" s="258" customFormat="1" ht="13.5" customHeight="1">
      <c r="A46" s="954" t="s">
        <v>791</v>
      </c>
      <c r="B46" s="292" t="s">
        <v>2415</v>
      </c>
      <c r="C46" s="293">
        <f ca="1">ROUND((C33+C39)*F27,0)</f>
        <v>98376</v>
      </c>
      <c r="D46" s="307"/>
      <c r="E46" s="280"/>
      <c r="F46" s="290"/>
      <c r="G46" s="291"/>
    </row>
    <row r="47" spans="1:7" s="258" customFormat="1" ht="13.5" customHeight="1">
      <c r="A47" s="954" t="s">
        <v>792</v>
      </c>
      <c r="B47" s="292" t="s">
        <v>2416</v>
      </c>
      <c r="C47" s="282">
        <f ca="1">ROUND(C40*F27,4)</f>
        <v>2.3999999999999998E-3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1013102</v>
      </c>
      <c r="D49" s="276"/>
      <c r="E49" s="276"/>
      <c r="F49" s="308"/>
      <c r="G49" s="278" t="s">
        <v>2420</v>
      </c>
    </row>
    <row r="50" spans="1:7" s="302" customFormat="1">
      <c r="A50" s="299" t="s">
        <v>2421</v>
      </c>
      <c r="B50" s="254" t="s">
        <v>2422</v>
      </c>
      <c r="C50" s="276"/>
      <c r="D50" s="276"/>
      <c r="E50" s="276"/>
      <c r="F50" s="308">
        <f>IF('数据-取费表'!B24=0,'数据-取费表'!N16,1)</f>
        <v>0.77</v>
      </c>
      <c r="G50" s="291"/>
    </row>
    <row r="51" spans="1:7" ht="16.5" customHeight="1">
      <c r="A51" s="299" t="s">
        <v>2424</v>
      </c>
      <c r="B51" s="254" t="s">
        <v>2459</v>
      </c>
      <c r="C51" s="276">
        <f ca="1">ROUND(C49*F50,0)</f>
        <v>780089</v>
      </c>
      <c r="D51" s="276"/>
      <c r="E51" s="276"/>
      <c r="F51" s="308"/>
      <c r="G51" s="278" t="s">
        <v>2426</v>
      </c>
    </row>
    <row r="52" spans="1:7" s="252" customFormat="1" ht="16.5" thickBot="1">
      <c r="A52" s="309" t="s">
        <v>2427</v>
      </c>
      <c r="B52" s="310"/>
      <c r="C52" s="311">
        <f ca="1">C31+C51</f>
        <v>997865</v>
      </c>
      <c r="D52" s="310"/>
      <c r="E52" s="310"/>
      <c r="F52" s="310"/>
      <c r="G52" s="312"/>
    </row>
    <row r="55" spans="1:7" ht="15">
      <c r="B55" s="314" t="s">
        <v>2428</v>
      </c>
      <c r="C55" s="315"/>
    </row>
    <row r="56" spans="1:7">
      <c r="B56" s="317" t="s">
        <v>1511</v>
      </c>
      <c r="C56" s="319">
        <f ca="1">1-C57</f>
        <v>0.21799999999999997</v>
      </c>
    </row>
    <row r="57" spans="1:7">
      <c r="B57" s="317" t="s">
        <v>1512</v>
      </c>
      <c r="C57" s="318">
        <f ca="1">ROUND(C51/C52,3)</f>
        <v>0.78200000000000003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-13</v>
      </c>
      <c r="C2" s="320" t="s">
        <v>2461</v>
      </c>
      <c r="D2" s="320"/>
      <c r="E2" s="320"/>
      <c r="F2" s="320"/>
      <c r="G2" s="320"/>
      <c r="H2" s="320"/>
      <c r="I2" s="320"/>
      <c r="J2" s="320"/>
      <c r="K2" s="320"/>
    </row>
    <row r="3" spans="1:33" ht="18" customHeight="1" thickBot="1">
      <c r="A3" s="247" t="s">
        <v>2330</v>
      </c>
      <c r="B3" s="248">
        <f ca="1">ROUND(B2*10000/IF(C1="",'数据-汇总表'!E3,INDIRECT("'数据-取费表'!K"&amp;$K$1)),0)</f>
        <v>-481</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270.51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270.51</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12</v>
      </c>
      <c r="D18" s="1036"/>
      <c r="E18" s="24"/>
      <c r="F18" s="979"/>
      <c r="G18" s="2561"/>
      <c r="H18" s="1579"/>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430</v>
      </c>
      <c r="F19" s="979"/>
      <c r="G19" s="15"/>
      <c r="H19" s="1581"/>
      <c r="I19" s="984"/>
      <c r="J19" s="984"/>
      <c r="K19" s="985"/>
    </row>
    <row r="20" spans="1:33" s="978" customFormat="1" ht="13.5" customHeight="1">
      <c r="A20" s="974" t="s">
        <v>806</v>
      </c>
      <c r="B20" s="975" t="s">
        <v>2496</v>
      </c>
      <c r="C20" s="24">
        <f ca="1">ROUND(D20*E20/10000,0)</f>
        <v>12</v>
      </c>
      <c r="D20" s="1036">
        <f ca="1">IF(C1="",'数据-汇总表'!E6,IF(INDIRECT("'数据-取费表'!c"&amp;$K$1)="住宅",INDIRECT("'数据-取费表'!s"&amp;$K$1),INDIRECT("'数据-取费表'!k"&amp;$K$1)+INDIRECT("'数据-取费表'!s"&amp;$K$1)))</f>
        <v>270.51</v>
      </c>
      <c r="E20" s="24">
        <f>'数据-取费表'!B28</f>
        <v>430</v>
      </c>
      <c r="F20" s="979"/>
      <c r="G20" s="15"/>
      <c r="H20" s="984"/>
      <c r="I20" s="984"/>
      <c r="J20" s="984"/>
      <c r="K20" s="985"/>
    </row>
    <row r="21" spans="1:33" s="978" customFormat="1" ht="13.5" customHeight="1">
      <c r="A21" s="964" t="s">
        <v>802</v>
      </c>
      <c r="B21" s="988" t="s">
        <v>2497</v>
      </c>
      <c r="C21" s="989">
        <f ca="1">C16+C17+C18</f>
        <v>12</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1.4999999999999999E-2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2510</v>
      </c>
      <c r="B28" s="2564" t="s">
        <v>2511</v>
      </c>
      <c r="C28" s="331">
        <f ca="1">C30</f>
        <v>1</v>
      </c>
      <c r="D28" s="324">
        <f ca="1">C29</f>
        <v>0</v>
      </c>
      <c r="E28" s="326" t="s">
        <v>15</v>
      </c>
      <c r="F28" s="332">
        <f ca="1">IF(C1="",'数据-取费表'!Q16,INDIRECT("'数据-取费表'!q"&amp;$K$1))</f>
        <v>0.12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v>
      </c>
      <c r="D30" s="328"/>
      <c r="E30" s="329"/>
      <c r="F30" s="334"/>
      <c r="G30" s="140"/>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48" sqref="L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2687</v>
      </c>
      <c r="C1" s="1622" t="s">
        <v>2531</v>
      </c>
      <c r="D1" s="1623" t="s">
        <v>27</v>
      </c>
      <c r="E1" s="1632"/>
      <c r="F1" s="2589" t="s">
        <v>3108</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733</v>
      </c>
      <c r="C2" s="2591" t="s">
        <v>70</v>
      </c>
      <c r="D2" s="136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35208</v>
      </c>
      <c r="C3" s="400" t="s">
        <v>2645</v>
      </c>
      <c r="D3" s="399">
        <f>IF(D1="",'数据-汇总表'!E3,SUMIF('数据-汇总表'!$C19:$C33,D1,'数据-汇总表'!$E19:$E33))</f>
        <v>208.21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00" t="s">
        <v>2652</v>
      </c>
      <c r="Q4" s="3201"/>
      <c r="R4" s="3180" t="s">
        <v>2648</v>
      </c>
      <c r="S4" s="3181"/>
      <c r="T4" s="3180" t="s">
        <v>2649</v>
      </c>
      <c r="U4" s="3181"/>
      <c r="V4" s="3208" t="s">
        <v>2650</v>
      </c>
      <c r="W4" s="3208"/>
      <c r="X4" s="2675"/>
      <c r="Y4" s="3180" t="s">
        <v>2652</v>
      </c>
      <c r="Z4" s="3181"/>
      <c r="AA4" s="3175" t="s">
        <v>2648</v>
      </c>
      <c r="AB4" s="3175" t="s">
        <v>2649</v>
      </c>
      <c r="AC4" s="3193" t="s">
        <v>2650</v>
      </c>
    </row>
    <row r="5" spans="1:29" ht="15">
      <c r="A5" s="404"/>
      <c r="B5" s="405"/>
      <c r="C5" s="3186" t="s">
        <v>2543</v>
      </c>
      <c r="D5" s="3187"/>
      <c r="E5" s="3184" t="s">
        <v>3087</v>
      </c>
      <c r="F5" s="3185"/>
      <c r="G5" s="3184" t="s">
        <v>3087</v>
      </c>
      <c r="H5" s="3185"/>
      <c r="I5" s="3184" t="s">
        <v>3087</v>
      </c>
      <c r="J5" s="3185"/>
      <c r="K5" s="610"/>
      <c r="L5" s="1133"/>
      <c r="M5" s="1134"/>
      <c r="N5" s="1134"/>
      <c r="O5" s="1134"/>
      <c r="P5" s="3202"/>
      <c r="Q5" s="3203"/>
      <c r="R5" s="3182"/>
      <c r="S5" s="3183"/>
      <c r="T5" s="3182"/>
      <c r="U5" s="3183"/>
      <c r="V5" s="3209"/>
      <c r="W5" s="3209"/>
      <c r="X5" s="1815"/>
      <c r="Y5" s="3182"/>
      <c r="Z5" s="3183"/>
      <c r="AA5" s="3176"/>
      <c r="AB5" s="3176"/>
      <c r="AC5" s="3194"/>
    </row>
    <row r="6" spans="1:29" ht="15.75" thickBot="1">
      <c r="A6" s="406"/>
      <c r="B6" s="407"/>
      <c r="C6" s="3188" t="s">
        <v>2547</v>
      </c>
      <c r="D6" s="3189"/>
      <c r="E6" s="3190" t="s">
        <v>2547</v>
      </c>
      <c r="F6" s="3191"/>
      <c r="G6" s="3188" t="s">
        <v>2547</v>
      </c>
      <c r="H6" s="3189"/>
      <c r="I6" s="3188" t="s">
        <v>2547</v>
      </c>
      <c r="J6" s="3189"/>
      <c r="K6" s="610" t="s">
        <v>2548</v>
      </c>
      <c r="L6" s="1133"/>
      <c r="M6" s="1134"/>
      <c r="N6" s="1134"/>
      <c r="O6" s="1134"/>
      <c r="P6" s="3204"/>
      <c r="Q6" s="3205"/>
      <c r="R6" s="3182"/>
      <c r="S6" s="3183"/>
      <c r="T6" s="3206"/>
      <c r="U6" s="3207"/>
      <c r="V6" s="3209"/>
      <c r="W6" s="3209"/>
      <c r="X6" s="1815"/>
      <c r="Y6" s="3206"/>
      <c r="Z6" s="3207"/>
      <c r="AA6" s="3177"/>
      <c r="AB6" s="3177"/>
      <c r="AC6" s="3195"/>
    </row>
    <row r="7" spans="1:29" s="117" customFormat="1" ht="15.75" thickBot="1">
      <c r="A7" s="408" t="s">
        <v>2549</v>
      </c>
      <c r="B7" s="409"/>
      <c r="C7" s="410">
        <f>'数据-取费表'!B2</f>
        <v>43270</v>
      </c>
      <c r="D7" s="411">
        <v>100</v>
      </c>
      <c r="E7" s="412">
        <f>C7</f>
        <v>43270</v>
      </c>
      <c r="F7" s="413">
        <f>SUMIF(59:59,YEAR(E7)&amp;"-"&amp;MONTH(E7),60:60)</f>
        <v>100</v>
      </c>
      <c r="G7" s="412">
        <f>E7</f>
        <v>43270</v>
      </c>
      <c r="H7" s="411">
        <f>SUMIF(59:59,YEAR(G7)&amp;"-"&amp;MONTH(G7),60:60)</f>
        <v>100</v>
      </c>
      <c r="I7" s="412">
        <f>G7</f>
        <v>43270</v>
      </c>
      <c r="J7" s="411">
        <f>SUMIF(59:59,YEAR(I7)&amp;"-"&amp;MONTH(I7),60:60)</f>
        <v>100</v>
      </c>
      <c r="K7" s="611"/>
      <c r="L7" s="1135"/>
      <c r="M7" s="1136"/>
      <c r="N7" s="1136"/>
      <c r="O7" s="1136"/>
      <c r="P7" s="3210" t="s">
        <v>2550</v>
      </c>
      <c r="Q7" s="3211"/>
      <c r="R7" s="770" t="s">
        <v>17</v>
      </c>
      <c r="S7" s="771">
        <f t="shared" ref="S7:S15" si="0">F7</f>
        <v>100</v>
      </c>
      <c r="T7" s="770" t="s">
        <v>17</v>
      </c>
      <c r="U7" s="771">
        <f t="shared" ref="U7:U15" si="1">H7</f>
        <v>100</v>
      </c>
      <c r="V7" s="770" t="s">
        <v>17</v>
      </c>
      <c r="W7" s="771">
        <f t="shared" ref="W7:W15" si="2">J7</f>
        <v>100</v>
      </c>
      <c r="X7" s="772"/>
      <c r="Y7" s="3178" t="s">
        <v>2550</v>
      </c>
      <c r="Z7" s="3179"/>
      <c r="AA7" s="773">
        <f>D7/F7</f>
        <v>1</v>
      </c>
      <c r="AB7" s="773">
        <f>D7/H7</f>
        <v>1</v>
      </c>
      <c r="AC7" s="2676">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5"/>
      <c r="M8" s="1136"/>
      <c r="N8" s="1136"/>
      <c r="O8" s="1136"/>
      <c r="P8" s="3210" t="s">
        <v>2553</v>
      </c>
      <c r="Q8" s="3179"/>
      <c r="R8" s="770" t="s">
        <v>17</v>
      </c>
      <c r="S8" s="771">
        <f t="shared" si="0"/>
        <v>100</v>
      </c>
      <c r="T8" s="770" t="s">
        <v>17</v>
      </c>
      <c r="U8" s="771">
        <f t="shared" si="1"/>
        <v>100</v>
      </c>
      <c r="V8" s="770" t="s">
        <v>17</v>
      </c>
      <c r="W8" s="771">
        <f t="shared" si="2"/>
        <v>100</v>
      </c>
      <c r="X8" s="772"/>
      <c r="Y8" s="3178" t="s">
        <v>2553</v>
      </c>
      <c r="Z8" s="3179"/>
      <c r="AA8" s="773">
        <f t="shared" ref="AA8:AA47" si="3">D8/F8</f>
        <v>1</v>
      </c>
      <c r="AB8" s="773">
        <f t="shared" ref="AB8:AB47" si="4">D8/H8</f>
        <v>1</v>
      </c>
      <c r="AC8" s="2676">
        <f t="shared" ref="AC8:AC47" si="5">D8/J8</f>
        <v>1</v>
      </c>
    </row>
    <row r="9" spans="1:29" s="117" customFormat="1">
      <c r="A9" s="415" t="s">
        <v>2554</v>
      </c>
      <c r="B9" s="71" t="s">
        <v>2555</v>
      </c>
      <c r="C9" s="2973" t="s">
        <v>3088</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92"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2676">
        <f t="shared" si="5"/>
        <v>1</v>
      </c>
    </row>
    <row r="10" spans="1:29" s="427" customFormat="1" ht="27.75" thickBot="1">
      <c r="A10" s="421"/>
      <c r="B10" s="422" t="s">
        <v>2558</v>
      </c>
      <c r="C10" s="423" t="s">
        <v>3089</v>
      </c>
      <c r="D10" s="136">
        <v>100</v>
      </c>
      <c r="E10" s="423" t="s">
        <v>3089</v>
      </c>
      <c r="F10" s="136">
        <f>SUMIF(66:66,E10,67:67)-SUMIF(66:66,C10,67:67)+100</f>
        <v>100</v>
      </c>
      <c r="G10" s="423" t="s">
        <v>3089</v>
      </c>
      <c r="H10" s="136">
        <f>SUMIF(66:66,G10,67:67)-SUMIF(66:66,C10,67:67)+100</f>
        <v>100</v>
      </c>
      <c r="I10" s="423" t="s">
        <v>3089</v>
      </c>
      <c r="J10" s="136">
        <f>SUMIF(66:66,I10,67:67)-SUMIF(66:66,C10,67:67)+100</f>
        <v>100</v>
      </c>
      <c r="K10" s="612">
        <v>2</v>
      </c>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6">
        <f t="shared" si="5"/>
        <v>1</v>
      </c>
    </row>
    <row r="11" spans="1:29" ht="15.75" hidden="1" thickBot="1">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192"/>
      <c r="Q11" s="1797" t="str">
        <f t="shared" si="6"/>
        <v>容积率</v>
      </c>
      <c r="R11" s="770" t="s">
        <v>17</v>
      </c>
      <c r="S11" s="771">
        <f t="shared" si="0"/>
        <v>100</v>
      </c>
      <c r="T11" s="770" t="s">
        <v>17</v>
      </c>
      <c r="U11" s="771">
        <f t="shared" si="1"/>
        <v>100</v>
      </c>
      <c r="V11" s="770" t="s">
        <v>17</v>
      </c>
      <c r="W11" s="771">
        <f t="shared" si="2"/>
        <v>100</v>
      </c>
      <c r="X11" s="772"/>
      <c r="Y11" s="3052"/>
      <c r="Z11" s="55" t="str">
        <f t="shared" si="7"/>
        <v>容积率</v>
      </c>
      <c r="AA11" s="773">
        <f t="shared" si="3"/>
        <v>1</v>
      </c>
      <c r="AB11" s="773">
        <f t="shared" si="4"/>
        <v>1</v>
      </c>
      <c r="AC11" s="2676">
        <f t="shared" si="5"/>
        <v>1</v>
      </c>
    </row>
    <row r="12" spans="1:29" s="117" customFormat="1" ht="15" hidden="1">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6">
        <f>D12/J12</f>
        <v>1</v>
      </c>
    </row>
    <row r="13" spans="1:29" ht="15" hidden="1">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6">
        <f t="shared" si="5"/>
        <v>1</v>
      </c>
    </row>
    <row r="14" spans="1:29" ht="15.75" hidden="1"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2"/>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12" t="s">
        <v>2561</v>
      </c>
      <c r="Q15" s="1812" t="str">
        <f t="shared" si="6"/>
        <v>办公集聚程度</v>
      </c>
      <c r="R15" s="774" t="s">
        <v>17</v>
      </c>
      <c r="S15" s="775">
        <f t="shared" si="0"/>
        <v>100</v>
      </c>
      <c r="T15" s="774" t="s">
        <v>17</v>
      </c>
      <c r="U15" s="775">
        <f t="shared" si="1"/>
        <v>100</v>
      </c>
      <c r="V15" s="774" t="s">
        <v>17</v>
      </c>
      <c r="W15" s="775">
        <f t="shared" si="2"/>
        <v>100</v>
      </c>
      <c r="X15" s="1815"/>
      <c r="Y15" s="3214" t="s">
        <v>2561</v>
      </c>
      <c r="Z15" s="1816" t="str">
        <f t="shared" si="7"/>
        <v>办公集聚程度</v>
      </c>
      <c r="AA15" s="1813">
        <f t="shared" si="3"/>
        <v>1</v>
      </c>
      <c r="AB15" s="1813">
        <f t="shared" si="4"/>
        <v>1</v>
      </c>
      <c r="AC15" s="2679">
        <f t="shared" si="5"/>
        <v>1</v>
      </c>
    </row>
    <row r="16" spans="1:29" ht="15">
      <c r="A16" s="428"/>
      <c r="B16" s="630"/>
      <c r="C16" s="2616" t="s">
        <v>3090</v>
      </c>
      <c r="D16" s="448"/>
      <c r="E16" s="2616" t="s">
        <v>3090</v>
      </c>
      <c r="F16" s="448"/>
      <c r="G16" s="2616" t="s">
        <v>3090</v>
      </c>
      <c r="H16" s="450"/>
      <c r="I16" s="2616" t="s">
        <v>3090</v>
      </c>
      <c r="J16" s="448"/>
      <c r="K16" s="615"/>
      <c r="L16" s="1143"/>
      <c r="M16" s="1134"/>
      <c r="N16" s="1134"/>
      <c r="O16" s="1134"/>
      <c r="P16" s="3213"/>
      <c r="Q16" s="1812"/>
      <c r="R16" s="774"/>
      <c r="S16" s="775"/>
      <c r="T16" s="774"/>
      <c r="U16" s="775"/>
      <c r="V16" s="774"/>
      <c r="W16" s="775"/>
      <c r="X16" s="1815"/>
      <c r="Y16" s="3215"/>
      <c r="Z16" s="1816"/>
      <c r="AA16" s="1813">
        <v>1</v>
      </c>
      <c r="AB16" s="1813">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2679">
        <f t="shared" si="5"/>
        <v>1</v>
      </c>
    </row>
    <row r="18" spans="1:29" ht="15">
      <c r="A18" s="428"/>
      <c r="B18" s="632"/>
      <c r="C18" s="2681" t="s">
        <v>3090</v>
      </c>
      <c r="D18" s="450"/>
      <c r="E18" s="2681" t="s">
        <v>3090</v>
      </c>
      <c r="F18" s="450"/>
      <c r="G18" s="2681" t="s">
        <v>3090</v>
      </c>
      <c r="H18" s="448"/>
      <c r="I18" s="2681" t="s">
        <v>3090</v>
      </c>
      <c r="J18" s="448"/>
      <c r="K18" s="615"/>
      <c r="L18" s="1143"/>
      <c r="M18" s="1134"/>
      <c r="N18" s="1134"/>
      <c r="O18" s="1134"/>
      <c r="P18" s="3213"/>
      <c r="Q18" s="1812"/>
      <c r="R18" s="774"/>
      <c r="S18" s="775"/>
      <c r="T18" s="774"/>
      <c r="U18" s="775"/>
      <c r="V18" s="774"/>
      <c r="W18" s="775"/>
      <c r="X18" s="1815"/>
      <c r="Y18" s="3215"/>
      <c r="Z18" s="1816"/>
      <c r="AA18" s="1813">
        <v>1</v>
      </c>
      <c r="AB18" s="1813">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2679">
        <f t="shared" si="5"/>
        <v>1</v>
      </c>
    </row>
    <row r="20" spans="1:29" ht="15">
      <c r="A20" s="428"/>
      <c r="B20" s="632"/>
      <c r="C20" s="2616" t="s">
        <v>3090</v>
      </c>
      <c r="D20" s="448"/>
      <c r="E20" s="2616" t="s">
        <v>3090</v>
      </c>
      <c r="F20" s="448"/>
      <c r="G20" s="2616" t="s">
        <v>3090</v>
      </c>
      <c r="H20" s="448"/>
      <c r="I20" s="2616" t="s">
        <v>3090</v>
      </c>
      <c r="J20" s="448"/>
      <c r="K20" s="615"/>
      <c r="L20" s="1143"/>
      <c r="M20" s="1134"/>
      <c r="N20" s="1134"/>
      <c r="O20" s="1134"/>
      <c r="P20" s="3213"/>
      <c r="Q20" s="1812"/>
      <c r="R20" s="774"/>
      <c r="S20" s="775"/>
      <c r="T20" s="774"/>
      <c r="U20" s="775"/>
      <c r="V20" s="774"/>
      <c r="W20" s="775"/>
      <c r="X20" s="1815"/>
      <c r="Y20" s="3215"/>
      <c r="Z20" s="1816"/>
      <c r="AA20" s="1813">
        <v>1</v>
      </c>
      <c r="AB20" s="1813">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3</v>
      </c>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2679">
        <f t="shared" ref="AC21" si="10">D21/J21</f>
        <v>1</v>
      </c>
    </row>
    <row r="22" spans="1:29" ht="15">
      <c r="A22" s="428"/>
      <c r="B22" s="633"/>
      <c r="C22" s="2681" t="s">
        <v>3091</v>
      </c>
      <c r="D22" s="448"/>
      <c r="E22" s="2681" t="s">
        <v>3091</v>
      </c>
      <c r="F22" s="448"/>
      <c r="G22" s="2681" t="s">
        <v>3091</v>
      </c>
      <c r="H22" s="448"/>
      <c r="I22" s="2681" t="s">
        <v>3091</v>
      </c>
      <c r="J22" s="448"/>
      <c r="K22" s="1385"/>
      <c r="L22" s="1143"/>
      <c r="M22" s="1134"/>
      <c r="N22" s="1134"/>
      <c r="O22" s="1134"/>
      <c r="P22" s="3213"/>
      <c r="Q22" s="1812"/>
      <c r="R22" s="774"/>
      <c r="S22" s="775"/>
      <c r="T22" s="774"/>
      <c r="U22" s="775"/>
      <c r="V22" s="774"/>
      <c r="W22" s="775"/>
      <c r="X22" s="1815"/>
      <c r="Y22" s="3215"/>
      <c r="Z22" s="1816"/>
      <c r="AA22" s="1813">
        <v>1</v>
      </c>
      <c r="AB22" s="1813">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43"/>
      <c r="M23" s="1134"/>
      <c r="N23" s="1134"/>
      <c r="O23" s="1134"/>
      <c r="P23" s="3213"/>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2679">
        <f t="shared" si="5"/>
        <v>1</v>
      </c>
    </row>
    <row r="24" spans="1:29" ht="15">
      <c r="A24" s="428"/>
      <c r="B24" s="633"/>
      <c r="C24" s="2616" t="s">
        <v>3092</v>
      </c>
      <c r="D24" s="448"/>
      <c r="E24" s="2616" t="s">
        <v>3092</v>
      </c>
      <c r="F24" s="448"/>
      <c r="G24" s="2616" t="s">
        <v>3092</v>
      </c>
      <c r="H24" s="448"/>
      <c r="I24" s="2616" t="s">
        <v>3092</v>
      </c>
      <c r="J24" s="448"/>
      <c r="K24" s="615"/>
      <c r="L24" s="1143"/>
      <c r="M24" s="1134"/>
      <c r="N24" s="1134"/>
      <c r="O24" s="1134"/>
      <c r="P24" s="3213"/>
      <c r="Q24" s="1812"/>
      <c r="R24" s="774"/>
      <c r="S24" s="775"/>
      <c r="T24" s="774"/>
      <c r="U24" s="775"/>
      <c r="V24" s="774"/>
      <c r="W24" s="775"/>
      <c r="X24" s="1815"/>
      <c r="Y24" s="3215"/>
      <c r="Z24" s="1816"/>
      <c r="AA24" s="1813">
        <v>1</v>
      </c>
      <c r="AB24" s="1813">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13"/>
      <c r="Q25" s="1812" t="str">
        <f>B25</f>
        <v>毗邻道路的类型与等级</v>
      </c>
      <c r="R25" s="774" t="s">
        <v>17</v>
      </c>
      <c r="S25" s="775">
        <f>F25</f>
        <v>100</v>
      </c>
      <c r="T25" s="774" t="s">
        <v>17</v>
      </c>
      <c r="U25" s="775">
        <f>H25</f>
        <v>100</v>
      </c>
      <c r="V25" s="774" t="s">
        <v>17</v>
      </c>
      <c r="W25" s="775">
        <f>J25</f>
        <v>100</v>
      </c>
      <c r="X25" s="1815"/>
      <c r="Y25" s="3215"/>
      <c r="Z25" s="1816" t="str">
        <f>Q25</f>
        <v>毗邻道路的类型与等级</v>
      </c>
      <c r="AA25" s="1813">
        <f t="shared" si="3"/>
        <v>1</v>
      </c>
      <c r="AB25" s="1813">
        <f t="shared" si="4"/>
        <v>1</v>
      </c>
      <c r="AC25" s="2679">
        <f t="shared" si="5"/>
        <v>1</v>
      </c>
    </row>
    <row r="26" spans="1:29" ht="15">
      <c r="A26" s="404"/>
      <c r="B26" s="632"/>
      <c r="C26" s="634" t="s">
        <v>3131</v>
      </c>
      <c r="D26" s="435"/>
      <c r="E26" s="634" t="s">
        <v>3131</v>
      </c>
      <c r="F26" s="435"/>
      <c r="G26" s="634" t="s">
        <v>3131</v>
      </c>
      <c r="H26" s="435"/>
      <c r="I26" s="634" t="s">
        <v>3131</v>
      </c>
      <c r="J26" s="435"/>
      <c r="K26" s="615"/>
      <c r="L26" s="1143"/>
      <c r="M26" s="1134"/>
      <c r="N26" s="1134"/>
      <c r="O26" s="1134"/>
      <c r="P26" s="3213"/>
      <c r="Q26" s="1812"/>
      <c r="R26" s="774"/>
      <c r="S26" s="775"/>
      <c r="T26" s="774"/>
      <c r="U26" s="775"/>
      <c r="V26" s="774"/>
      <c r="W26" s="775"/>
      <c r="X26" s="1815"/>
      <c r="Y26" s="3215"/>
      <c r="Z26" s="1816"/>
      <c r="AA26" s="1813">
        <v>1</v>
      </c>
      <c r="AB26" s="1813">
        <v>1</v>
      </c>
      <c r="AC26" s="2679">
        <v>1</v>
      </c>
    </row>
    <row r="27" spans="1:29" ht="15">
      <c r="A27" s="428"/>
      <c r="B27" s="632" t="s">
        <v>2660</v>
      </c>
      <c r="C27" s="634" t="s">
        <v>3079</v>
      </c>
      <c r="D27" s="435">
        <v>100</v>
      </c>
      <c r="E27" s="616" t="s">
        <v>3114</v>
      </c>
      <c r="F27" s="435">
        <f>SUMIF(89:89,E27,90:90)-SUMIF(89:89,C27,90:90)+100</f>
        <v>90</v>
      </c>
      <c r="G27" s="634" t="s">
        <v>3077</v>
      </c>
      <c r="H27" s="435">
        <f>SUMIF(89:89,G27,90:90)-SUMIF(89:89,C27,90:90)+100</f>
        <v>95</v>
      </c>
      <c r="I27" s="616" t="s">
        <v>3079</v>
      </c>
      <c r="J27" s="435">
        <f>SUMIF(89:89,I27,90:90)-SUMIF(89:89,C27,90:90)+100</f>
        <v>100</v>
      </c>
      <c r="K27" s="612">
        <v>5</v>
      </c>
      <c r="L27" s="1143"/>
      <c r="M27" s="1134"/>
      <c r="N27" s="1134"/>
      <c r="O27" s="1134"/>
      <c r="P27" s="3213"/>
      <c r="Q27" s="1812" t="str">
        <f t="shared" ref="Q27:Q47" si="11">B27</f>
        <v>楼层</v>
      </c>
      <c r="R27" s="774" t="s">
        <v>17</v>
      </c>
      <c r="S27" s="775">
        <f>F27</f>
        <v>90</v>
      </c>
      <c r="T27" s="774" t="s">
        <v>17</v>
      </c>
      <c r="U27" s="775">
        <f>H27</f>
        <v>95</v>
      </c>
      <c r="V27" s="774" t="s">
        <v>17</v>
      </c>
      <c r="W27" s="775">
        <f>J27</f>
        <v>100</v>
      </c>
      <c r="X27" s="1815"/>
      <c r="Y27" s="3215"/>
      <c r="Z27" s="1816" t="str">
        <f>Q27</f>
        <v>楼层</v>
      </c>
      <c r="AA27" s="1813">
        <f t="shared" si="3"/>
        <v>1.1111111111111112</v>
      </c>
      <c r="AB27" s="1813">
        <f t="shared" si="4"/>
        <v>1.0526315789473684</v>
      </c>
      <c r="AC27" s="2679">
        <f t="shared" si="5"/>
        <v>1</v>
      </c>
    </row>
    <row r="28" spans="1:29" s="117" customFormat="1" ht="15" hidden="1">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13"/>
      <c r="Q28" s="1797" t="str">
        <f t="shared" si="11"/>
        <v>朝向</v>
      </c>
      <c r="R28" s="770" t="s">
        <v>17</v>
      </c>
      <c r="S28" s="771">
        <f>F28</f>
        <v>100</v>
      </c>
      <c r="T28" s="770" t="s">
        <v>17</v>
      </c>
      <c r="U28" s="771">
        <f>H28</f>
        <v>100</v>
      </c>
      <c r="V28" s="770" t="s">
        <v>17</v>
      </c>
      <c r="W28" s="771">
        <f>J28</f>
        <v>100</v>
      </c>
      <c r="X28" s="772"/>
      <c r="Y28" s="3215"/>
      <c r="Z28" s="55" t="str">
        <f>Q28</f>
        <v>朝向</v>
      </c>
      <c r="AA28" s="1813">
        <f>D28/F28</f>
        <v>1</v>
      </c>
      <c r="AB28" s="1813">
        <f>D28/H28</f>
        <v>1</v>
      </c>
      <c r="AC28" s="2679">
        <f>D28/J28</f>
        <v>1</v>
      </c>
    </row>
    <row r="29" spans="1:29" ht="28.5" thickBot="1">
      <c r="A29" s="428"/>
      <c r="B29" s="2683">
        <v>111</v>
      </c>
      <c r="C29" s="2620"/>
      <c r="D29" s="435">
        <v>100</v>
      </c>
      <c r="E29" s="432" t="s">
        <v>3132</v>
      </c>
      <c r="F29" s="435">
        <f>SUMIF(93:93,E29,94:94)-SUMIF(93:93,C29,94:94)+100</f>
        <v>100</v>
      </c>
      <c r="G29" s="2677" t="s">
        <v>3133</v>
      </c>
      <c r="H29" s="435">
        <f>SUMIF(93:93,G29,94:94)-SUMIF(93:93,C29,94:94)+100</f>
        <v>100</v>
      </c>
      <c r="I29" s="432"/>
      <c r="J29" s="435">
        <f>SUMIF(93:93,I29,94:94)-SUMIF(93:93,C29,94:94)+100</f>
        <v>100</v>
      </c>
      <c r="K29" s="613"/>
      <c r="L29" s="1143"/>
      <c r="M29" s="1134"/>
      <c r="N29" s="1134"/>
      <c r="O29" s="1134"/>
      <c r="P29" s="3213"/>
      <c r="Q29" s="1812">
        <f t="shared" si="11"/>
        <v>111</v>
      </c>
      <c r="R29" s="774" t="s">
        <v>17</v>
      </c>
      <c r="S29" s="775">
        <f t="shared" ref="S29:S47" si="12">F29</f>
        <v>100</v>
      </c>
      <c r="T29" s="774" t="s">
        <v>17</v>
      </c>
      <c r="U29" s="775">
        <f t="shared" ref="U29:U47" si="13">H29</f>
        <v>100</v>
      </c>
      <c r="V29" s="774" t="s">
        <v>17</v>
      </c>
      <c r="W29" s="775">
        <f t="shared" ref="W29:W47" si="14">J29</f>
        <v>100</v>
      </c>
      <c r="X29" s="1815"/>
      <c r="Y29" s="3215"/>
      <c r="Z29" s="1816">
        <f t="shared" ref="Z29:Z47" si="15">Q29</f>
        <v>111</v>
      </c>
      <c r="AA29" s="1813">
        <f t="shared" si="3"/>
        <v>1</v>
      </c>
      <c r="AB29" s="1813">
        <f t="shared" si="4"/>
        <v>1</v>
      </c>
      <c r="AC29" s="2679">
        <f t="shared" si="5"/>
        <v>1</v>
      </c>
    </row>
    <row r="30" spans="1:29" ht="15" hidden="1">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2679">
        <f t="shared" si="5"/>
        <v>1</v>
      </c>
    </row>
    <row r="31" spans="1:29" ht="15" hidden="1">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2679">
        <f t="shared" si="5"/>
        <v>1</v>
      </c>
    </row>
    <row r="32" spans="1:29" ht="15.75" hidden="1"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13"/>
      <c r="Q32" s="1812">
        <f t="shared" si="11"/>
        <v>111</v>
      </c>
      <c r="R32" s="774" t="s">
        <v>17</v>
      </c>
      <c r="S32" s="775">
        <f t="shared" si="12"/>
        <v>100</v>
      </c>
      <c r="T32" s="774" t="s">
        <v>17</v>
      </c>
      <c r="U32" s="775">
        <f t="shared" si="13"/>
        <v>100</v>
      </c>
      <c r="V32" s="774" t="s">
        <v>17</v>
      </c>
      <c r="W32" s="775">
        <f t="shared" si="14"/>
        <v>100</v>
      </c>
      <c r="X32" s="1815"/>
      <c r="Y32" s="3215"/>
      <c r="Z32" s="1816">
        <f t="shared" si="15"/>
        <v>111</v>
      </c>
      <c r="AA32" s="1813">
        <f t="shared" si="3"/>
        <v>1</v>
      </c>
      <c r="AB32" s="1813">
        <f t="shared" si="4"/>
        <v>1</v>
      </c>
      <c r="AC32" s="2679">
        <f t="shared" si="5"/>
        <v>1</v>
      </c>
    </row>
    <row r="33" spans="1:29" ht="15">
      <c r="A33" s="440" t="s">
        <v>2564</v>
      </c>
      <c r="B33" s="71" t="s">
        <v>2694</v>
      </c>
      <c r="C33" s="2684" t="s">
        <v>3134</v>
      </c>
      <c r="D33" s="467">
        <v>100</v>
      </c>
      <c r="E33" s="2684" t="s">
        <v>3134</v>
      </c>
      <c r="F33" s="461">
        <f>SUMIF(101:101,E33,102:102)-SUMIF(101:101,C33,102:102)+100</f>
        <v>100</v>
      </c>
      <c r="G33" s="2684" t="s">
        <v>3134</v>
      </c>
      <c r="H33" s="435">
        <f>SUMIF(101:101,G33,102:102)-SUMIF(101:101,C33,102:102)+100</f>
        <v>100</v>
      </c>
      <c r="I33" s="2684" t="s">
        <v>3134</v>
      </c>
      <c r="J33" s="467">
        <f>SUMIF(101:101,I33,102:102)-SUMIF(101:101,C33,102:102)+100</f>
        <v>100</v>
      </c>
      <c r="K33" s="612"/>
      <c r="L33" s="1143"/>
      <c r="M33" s="1134"/>
      <c r="N33" s="1134"/>
      <c r="O33" s="1134"/>
      <c r="P33" s="3216" t="s">
        <v>2566</v>
      </c>
      <c r="Q33" s="1812" t="str">
        <f t="shared" si="11"/>
        <v>建筑类型</v>
      </c>
      <c r="R33" s="774" t="s">
        <v>17</v>
      </c>
      <c r="S33" s="775">
        <f t="shared" si="12"/>
        <v>100</v>
      </c>
      <c r="T33" s="774" t="s">
        <v>17</v>
      </c>
      <c r="U33" s="775">
        <f t="shared" si="13"/>
        <v>100</v>
      </c>
      <c r="V33" s="774" t="s">
        <v>17</v>
      </c>
      <c r="W33" s="775">
        <f t="shared" si="14"/>
        <v>100</v>
      </c>
      <c r="X33" s="1815"/>
      <c r="Y33" s="3219" t="s">
        <v>2566</v>
      </c>
      <c r="Z33" s="1816" t="str">
        <f t="shared" si="15"/>
        <v>建筑类型</v>
      </c>
      <c r="AA33" s="1813">
        <f t="shared" si="3"/>
        <v>1</v>
      </c>
      <c r="AB33" s="1813">
        <f t="shared" si="4"/>
        <v>1</v>
      </c>
      <c r="AC33" s="2679">
        <f t="shared" si="5"/>
        <v>1</v>
      </c>
    </row>
    <row r="34" spans="1:29" s="471" customFormat="1" ht="15">
      <c r="A34" s="468"/>
      <c r="B34" s="422" t="s">
        <v>2567</v>
      </c>
      <c r="C34" s="469">
        <v>47500</v>
      </c>
      <c r="D34" s="136">
        <v>100</v>
      </c>
      <c r="E34" s="430">
        <v>47500</v>
      </c>
      <c r="F34" s="425">
        <f>LOOKUP(E34,104:104,105:105)-LOOKUP(C34,104:104,105:105)+100</f>
        <v>100</v>
      </c>
      <c r="G34" s="429">
        <v>47500</v>
      </c>
      <c r="H34" s="136">
        <f>LOOKUP(G34,104:104,105:105)-LOOKUP(C34,104:104,105:105)+100</f>
        <v>100</v>
      </c>
      <c r="I34" s="429">
        <v>47500</v>
      </c>
      <c r="J34" s="136">
        <f>LOOKUP(I34,104:104,105:105)-LOOKUP(C34,104:104,105:105)+100</f>
        <v>100</v>
      </c>
      <c r="K34" s="613"/>
      <c r="L34" s="1141"/>
      <c r="M34" s="1144"/>
      <c r="N34" s="1144"/>
      <c r="O34" s="1144"/>
      <c r="P34" s="3217"/>
      <c r="Q34" s="776" t="str">
        <f t="shared" si="11"/>
        <v>项目建筑规模</v>
      </c>
      <c r="R34" s="777" t="s">
        <v>17</v>
      </c>
      <c r="S34" s="778">
        <f t="shared" si="12"/>
        <v>100</v>
      </c>
      <c r="T34" s="777" t="s">
        <v>17</v>
      </c>
      <c r="U34" s="778">
        <f t="shared" si="13"/>
        <v>100</v>
      </c>
      <c r="V34" s="777" t="s">
        <v>17</v>
      </c>
      <c r="W34" s="778">
        <f t="shared" si="14"/>
        <v>100</v>
      </c>
      <c r="X34" s="779"/>
      <c r="Y34" s="3219"/>
      <c r="Z34" s="780" t="str">
        <f t="shared" si="15"/>
        <v>项目建筑规模</v>
      </c>
      <c r="AA34" s="1813">
        <f t="shared" si="3"/>
        <v>1</v>
      </c>
      <c r="AB34" s="1813">
        <f t="shared" si="4"/>
        <v>1</v>
      </c>
      <c r="AC34" s="2679">
        <f t="shared" si="5"/>
        <v>1</v>
      </c>
    </row>
    <row r="35" spans="1:29" ht="15">
      <c r="A35" s="472"/>
      <c r="B35" s="422" t="s">
        <v>2568</v>
      </c>
      <c r="C35" s="460" t="s">
        <v>3065</v>
      </c>
      <c r="D35" s="435">
        <v>100</v>
      </c>
      <c r="E35" s="460" t="s">
        <v>3065</v>
      </c>
      <c r="F35" s="461">
        <f>SUMIF(106:106,E35,107:107)-SUMIF(106:106,C35,107:107)+100</f>
        <v>100</v>
      </c>
      <c r="G35" s="460" t="s">
        <v>3065</v>
      </c>
      <c r="H35" s="435">
        <f>SUMIF(106:106,G35,107:107)-SUMIF(106:106,C35,107:107)+100</f>
        <v>100</v>
      </c>
      <c r="I35" s="460" t="s">
        <v>3065</v>
      </c>
      <c r="J35" s="435">
        <f>SUMIF(106:106,I35,107:107)-SUMIF(106:106,C35,107:107)+100</f>
        <v>100</v>
      </c>
      <c r="K35" s="612"/>
      <c r="L35" s="1143"/>
      <c r="M35" s="1134"/>
      <c r="N35" s="1134"/>
      <c r="O35" s="1134"/>
      <c r="P35" s="3217"/>
      <c r="Q35" s="1812" t="str">
        <f t="shared" si="11"/>
        <v>建筑结构</v>
      </c>
      <c r="R35" s="774" t="s">
        <v>17</v>
      </c>
      <c r="S35" s="775">
        <f t="shared" si="12"/>
        <v>100</v>
      </c>
      <c r="T35" s="774" t="s">
        <v>17</v>
      </c>
      <c r="U35" s="775">
        <f t="shared" si="13"/>
        <v>100</v>
      </c>
      <c r="V35" s="774" t="s">
        <v>17</v>
      </c>
      <c r="W35" s="775">
        <f t="shared" si="14"/>
        <v>100</v>
      </c>
      <c r="X35" s="1815"/>
      <c r="Y35" s="3219"/>
      <c r="Z35" s="1816" t="str">
        <f t="shared" si="15"/>
        <v>建筑结构</v>
      </c>
      <c r="AA35" s="1813">
        <f t="shared" si="3"/>
        <v>1</v>
      </c>
      <c r="AB35" s="1813">
        <f t="shared" si="4"/>
        <v>1</v>
      </c>
      <c r="AC35" s="2679">
        <f t="shared" si="5"/>
        <v>1</v>
      </c>
    </row>
    <row r="36" spans="1:29" ht="15">
      <c r="A36" s="472"/>
      <c r="B36" s="422" t="s">
        <v>2662</v>
      </c>
      <c r="C36" s="460" t="s">
        <v>3139</v>
      </c>
      <c r="D36" s="435">
        <v>100</v>
      </c>
      <c r="E36" s="460" t="s">
        <v>3139</v>
      </c>
      <c r="F36" s="461">
        <f>SUMIF(108:108,E36,109:109)-SUMIF(108:108,C36,109:109)+100</f>
        <v>100</v>
      </c>
      <c r="G36" s="460" t="s">
        <v>3139</v>
      </c>
      <c r="H36" s="435">
        <f>SUMIF(108:108,G36,109:109)-SUMIF(108:108,C36,109:109)+100</f>
        <v>100</v>
      </c>
      <c r="I36" s="460" t="s">
        <v>3139</v>
      </c>
      <c r="J36" s="435">
        <f>SUMIF(108:108,I36,109:109)-SUMIF(108:108,C36,109:109)+100</f>
        <v>100</v>
      </c>
      <c r="K36" s="612"/>
      <c r="L36" s="1143"/>
      <c r="M36" s="1134"/>
      <c r="N36" s="1134"/>
      <c r="O36" s="1134"/>
      <c r="P36" s="3217"/>
      <c r="Q36" s="1812" t="str">
        <f t="shared" si="11"/>
        <v>公共部分装修</v>
      </c>
      <c r="R36" s="774" t="s">
        <v>17</v>
      </c>
      <c r="S36" s="775">
        <f t="shared" si="12"/>
        <v>100</v>
      </c>
      <c r="T36" s="774" t="s">
        <v>17</v>
      </c>
      <c r="U36" s="775">
        <f t="shared" si="13"/>
        <v>100</v>
      </c>
      <c r="V36" s="774" t="s">
        <v>17</v>
      </c>
      <c r="W36" s="775">
        <f t="shared" si="14"/>
        <v>100</v>
      </c>
      <c r="X36" s="1815"/>
      <c r="Y36" s="3219"/>
      <c r="Z36" s="1816" t="str">
        <f t="shared" si="15"/>
        <v>公共部分装修</v>
      </c>
      <c r="AA36" s="1813">
        <f t="shared" si="3"/>
        <v>1</v>
      </c>
      <c r="AB36" s="1813">
        <f t="shared" si="4"/>
        <v>1</v>
      </c>
      <c r="AC36" s="2679">
        <f t="shared" si="5"/>
        <v>1</v>
      </c>
    </row>
    <row r="37" spans="1:29" ht="15">
      <c r="A37" s="472"/>
      <c r="B37" s="422" t="s">
        <v>2663</v>
      </c>
      <c r="C37" s="474">
        <f>'数据-取费表'!Y6</f>
        <v>0.77</v>
      </c>
      <c r="D37" s="435">
        <v>100</v>
      </c>
      <c r="E37" s="474">
        <f>C37</f>
        <v>0.77</v>
      </c>
      <c r="F37" s="461">
        <f>LOOKUP(E37,111:111,112:112)-LOOKUP(C37,111:111,112:112)+100</f>
        <v>100</v>
      </c>
      <c r="G37" s="474">
        <f>E37</f>
        <v>0.77</v>
      </c>
      <c r="H37" s="461">
        <f>LOOKUP(G37,111:111,112:112)-LOOKUP(C37,111:111,112:112)+100</f>
        <v>100</v>
      </c>
      <c r="I37" s="474">
        <f>E37</f>
        <v>0.77</v>
      </c>
      <c r="J37" s="435">
        <f>LOOKUP(I37,111:111,112:112)-LOOKUP(C37,111:111,112:112)+100</f>
        <v>100</v>
      </c>
      <c r="K37" s="612"/>
      <c r="L37" s="1143"/>
      <c r="M37" s="1134"/>
      <c r="N37" s="1134"/>
      <c r="O37" s="1134"/>
      <c r="P37" s="3217"/>
      <c r="Q37" s="1812" t="str">
        <f t="shared" si="11"/>
        <v>成新度</v>
      </c>
      <c r="R37" s="774" t="s">
        <v>17</v>
      </c>
      <c r="S37" s="775">
        <f t="shared" si="12"/>
        <v>100</v>
      </c>
      <c r="T37" s="774" t="s">
        <v>17</v>
      </c>
      <c r="U37" s="775">
        <f t="shared" si="13"/>
        <v>100</v>
      </c>
      <c r="V37" s="774" t="s">
        <v>17</v>
      </c>
      <c r="W37" s="775">
        <f t="shared" si="14"/>
        <v>100</v>
      </c>
      <c r="X37" s="1815"/>
      <c r="Y37" s="3219"/>
      <c r="Z37" s="1816" t="str">
        <f t="shared" si="15"/>
        <v>成新度</v>
      </c>
      <c r="AA37" s="1813">
        <f t="shared" si="3"/>
        <v>1</v>
      </c>
      <c r="AB37" s="1813">
        <f t="shared" si="4"/>
        <v>1</v>
      </c>
      <c r="AC37" s="2679">
        <f t="shared" si="5"/>
        <v>1</v>
      </c>
    </row>
    <row r="38" spans="1:29" s="117" customFormat="1" ht="15">
      <c r="A38" s="473"/>
      <c r="B38" s="422" t="s">
        <v>2695</v>
      </c>
      <c r="C38" s="460" t="s">
        <v>3135</v>
      </c>
      <c r="D38" s="136">
        <v>100</v>
      </c>
      <c r="E38" s="460" t="s">
        <v>3135</v>
      </c>
      <c r="F38" s="461">
        <f>SUMIF(113:113,E38,114:114)-SUMIF(113:113,C38,114:114)+100</f>
        <v>100</v>
      </c>
      <c r="G38" s="460" t="s">
        <v>3135</v>
      </c>
      <c r="H38" s="435">
        <f>SUMIF(113:113,G38,114:114)-SUMIF(113:113,C38,114:114)+100</f>
        <v>100</v>
      </c>
      <c r="I38" s="460" t="s">
        <v>3135</v>
      </c>
      <c r="J38" s="435">
        <f>SUMIF(113:113,I38,114:114)-SUMIF(113:113,C38,114:114)+100</f>
        <v>100</v>
      </c>
      <c r="K38" s="612"/>
      <c r="L38" s="1135"/>
      <c r="M38" s="1136"/>
      <c r="N38" s="1136"/>
      <c r="O38" s="1136"/>
      <c r="P38" s="3217"/>
      <c r="Q38" s="1797"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6">
        <f t="shared" si="5"/>
        <v>1</v>
      </c>
    </row>
    <row r="39" spans="1:29" ht="15">
      <c r="A39" s="472"/>
      <c r="B39" s="422" t="s">
        <v>2696</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c r="L39" s="1143"/>
      <c r="M39" s="1134"/>
      <c r="N39" s="1134"/>
      <c r="O39" s="1134"/>
      <c r="P39" s="3217" t="s">
        <v>2566</v>
      </c>
      <c r="Q39" s="1812" t="str">
        <f t="shared" si="11"/>
        <v>物业管理</v>
      </c>
      <c r="R39" s="774" t="s">
        <v>17</v>
      </c>
      <c r="S39" s="775">
        <f t="shared" si="12"/>
        <v>100</v>
      </c>
      <c r="T39" s="774" t="s">
        <v>17</v>
      </c>
      <c r="U39" s="775">
        <f t="shared" si="13"/>
        <v>100</v>
      </c>
      <c r="V39" s="774" t="s">
        <v>17</v>
      </c>
      <c r="W39" s="775">
        <f t="shared" si="14"/>
        <v>100</v>
      </c>
      <c r="X39" s="1815"/>
      <c r="Y39" s="3219" t="s">
        <v>2566</v>
      </c>
      <c r="Z39" s="1816" t="str">
        <f t="shared" si="15"/>
        <v>物业管理</v>
      </c>
      <c r="AA39" s="1813">
        <f t="shared" si="3"/>
        <v>1</v>
      </c>
      <c r="AB39" s="1813">
        <f t="shared" si="4"/>
        <v>1</v>
      </c>
      <c r="AC39" s="2679">
        <f t="shared" si="5"/>
        <v>1</v>
      </c>
    </row>
    <row r="40" spans="1:29" ht="15">
      <c r="A40" s="472"/>
      <c r="B40" s="422" t="s">
        <v>2664</v>
      </c>
      <c r="C40" s="460" t="s">
        <v>3091</v>
      </c>
      <c r="D40" s="435">
        <v>100</v>
      </c>
      <c r="E40" s="460" t="s">
        <v>3091</v>
      </c>
      <c r="F40" s="461">
        <f>SUMIF(117:117,E40,118:118)-SUMIF(117:117,C40,118:118)+100</f>
        <v>100</v>
      </c>
      <c r="G40" s="460" t="s">
        <v>3091</v>
      </c>
      <c r="H40" s="435">
        <f>SUMIF(117:117,G40,118:118)-SUMIF(117:117,C40,118:118)+100</f>
        <v>100</v>
      </c>
      <c r="I40" s="460" t="s">
        <v>3091</v>
      </c>
      <c r="J40" s="435">
        <f>SUMIF(117:117,I40,118:118)-SUMIF(117:117,C40,118:118)+100</f>
        <v>100</v>
      </c>
      <c r="K40" s="612"/>
      <c r="L40" s="1143"/>
      <c r="M40" s="1134"/>
      <c r="N40" s="1134"/>
      <c r="O40" s="1134"/>
      <c r="P40" s="3217"/>
      <c r="Q40" s="1812" t="str">
        <f t="shared" si="11"/>
        <v>市政基础设施</v>
      </c>
      <c r="R40" s="774" t="s">
        <v>17</v>
      </c>
      <c r="S40" s="775">
        <f t="shared" si="12"/>
        <v>100</v>
      </c>
      <c r="T40" s="774" t="s">
        <v>17</v>
      </c>
      <c r="U40" s="775">
        <f t="shared" si="13"/>
        <v>100</v>
      </c>
      <c r="V40" s="774" t="s">
        <v>17</v>
      </c>
      <c r="W40" s="775">
        <f t="shared" si="14"/>
        <v>100</v>
      </c>
      <c r="X40" s="1815"/>
      <c r="Y40" s="3219"/>
      <c r="Z40" s="1816" t="str">
        <f t="shared" si="15"/>
        <v>市政基础设施</v>
      </c>
      <c r="AA40" s="1813">
        <f t="shared" si="3"/>
        <v>1</v>
      </c>
      <c r="AB40" s="1813">
        <f t="shared" si="4"/>
        <v>1</v>
      </c>
      <c r="AC40" s="2679">
        <f t="shared" si="5"/>
        <v>1</v>
      </c>
    </row>
    <row r="41" spans="1:29" ht="15">
      <c r="A41" s="472"/>
      <c r="B41" s="422" t="s">
        <v>2666</v>
      </c>
      <c r="C41" s="616" t="s">
        <v>3138</v>
      </c>
      <c r="D41" s="435">
        <v>100</v>
      </c>
      <c r="E41" s="616" t="s">
        <v>3138</v>
      </c>
      <c r="F41" s="461">
        <f>SUMIF(119:119,E41,120:120)-SUMIF(119:119,C41,120:120)+100</f>
        <v>100</v>
      </c>
      <c r="G41" s="616" t="s">
        <v>3138</v>
      </c>
      <c r="H41" s="435">
        <f>SUMIF(119:119,G41,120:120)-SUMIF(119:119,C41,120:120)+100</f>
        <v>100</v>
      </c>
      <c r="I41" s="616" t="s">
        <v>3138</v>
      </c>
      <c r="J41" s="435">
        <f>SUMIF(119:119,I41,120:120)-SUMIF(119:119,C41,120:120)+100</f>
        <v>100</v>
      </c>
      <c r="K41" s="612"/>
      <c r="L41" s="1143"/>
      <c r="M41" s="1134"/>
      <c r="N41" s="1134"/>
      <c r="O41" s="1134"/>
      <c r="P41" s="3217"/>
      <c r="Q41" s="1812" t="str">
        <f t="shared" si="11"/>
        <v>层高</v>
      </c>
      <c r="R41" s="774" t="s">
        <v>17</v>
      </c>
      <c r="S41" s="775">
        <f t="shared" si="12"/>
        <v>100</v>
      </c>
      <c r="T41" s="774" t="s">
        <v>17</v>
      </c>
      <c r="U41" s="775">
        <f t="shared" si="13"/>
        <v>100</v>
      </c>
      <c r="V41" s="774" t="s">
        <v>17</v>
      </c>
      <c r="W41" s="775">
        <f t="shared" si="14"/>
        <v>100</v>
      </c>
      <c r="X41" s="1815"/>
      <c r="Y41" s="3219"/>
      <c r="Z41" s="1816" t="str">
        <f t="shared" si="15"/>
        <v>层高</v>
      </c>
      <c r="AA41" s="1813">
        <f t="shared" si="3"/>
        <v>1</v>
      </c>
      <c r="AB41" s="1813">
        <f t="shared" si="4"/>
        <v>1</v>
      </c>
      <c r="AC41" s="2679">
        <f t="shared" si="5"/>
        <v>1</v>
      </c>
    </row>
    <row r="42" spans="1:29" s="471" customFormat="1" ht="15">
      <c r="A42" s="468"/>
      <c r="B42" s="1814" t="s">
        <v>2697</v>
      </c>
      <c r="C42" s="434" t="s">
        <v>3104</v>
      </c>
      <c r="D42" s="435">
        <v>100</v>
      </c>
      <c r="E42" s="434" t="s">
        <v>3103</v>
      </c>
      <c r="F42" s="461">
        <f>SUMIF(121:121,E42,122:122)-SUMIF(121:121,C42,122:122)+100</f>
        <v>99.5</v>
      </c>
      <c r="G42" s="434" t="s">
        <v>3103</v>
      </c>
      <c r="H42" s="435">
        <f>SUMIF(121:121,G42,122:122)-SUMIF(121:121,C42,122:122)+100</f>
        <v>99.5</v>
      </c>
      <c r="I42" s="434" t="s">
        <v>3107</v>
      </c>
      <c r="J42" s="435">
        <f>SUMIF(121:121,I42,122:122)-SUMIF(121:121,C42,122:122)+100</f>
        <v>101.5</v>
      </c>
      <c r="K42" s="613"/>
      <c r="L42" s="1141"/>
      <c r="M42" s="1144"/>
      <c r="N42" s="1144"/>
      <c r="O42" s="1144"/>
      <c r="P42" s="3217"/>
      <c r="Q42" s="776" t="str">
        <f t="shared" si="11"/>
        <v>单套建筑面积</v>
      </c>
      <c r="R42" s="777" t="s">
        <v>17</v>
      </c>
      <c r="S42" s="778">
        <f t="shared" si="12"/>
        <v>99.5</v>
      </c>
      <c r="T42" s="777" t="s">
        <v>17</v>
      </c>
      <c r="U42" s="778">
        <f t="shared" si="13"/>
        <v>99.5</v>
      </c>
      <c r="V42" s="777" t="s">
        <v>17</v>
      </c>
      <c r="W42" s="778">
        <f t="shared" si="14"/>
        <v>101.5</v>
      </c>
      <c r="X42" s="779"/>
      <c r="Y42" s="3219"/>
      <c r="Z42" s="780" t="str">
        <f t="shared" si="15"/>
        <v>单套建筑面积</v>
      </c>
      <c r="AA42" s="1813">
        <f t="shared" si="3"/>
        <v>1.0050251256281406</v>
      </c>
      <c r="AB42" s="1813">
        <f t="shared" si="4"/>
        <v>1.0050251256281406</v>
      </c>
      <c r="AC42" s="2679">
        <f t="shared" si="5"/>
        <v>0.98522167487684731</v>
      </c>
    </row>
    <row r="43" spans="1:29" ht="15">
      <c r="A43" s="472"/>
      <c r="B43" s="422" t="s">
        <v>2669</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c r="L43" s="1143"/>
      <c r="M43" s="1134"/>
      <c r="N43" s="1134"/>
      <c r="O43" s="1134"/>
      <c r="P43" s="3217"/>
      <c r="Q43" s="1812" t="str">
        <f t="shared" si="11"/>
        <v>内部装修</v>
      </c>
      <c r="R43" s="774" t="s">
        <v>17</v>
      </c>
      <c r="S43" s="775">
        <f t="shared" si="12"/>
        <v>100</v>
      </c>
      <c r="T43" s="774" t="s">
        <v>17</v>
      </c>
      <c r="U43" s="775">
        <f t="shared" si="13"/>
        <v>100</v>
      </c>
      <c r="V43" s="774" t="s">
        <v>17</v>
      </c>
      <c r="W43" s="775">
        <f t="shared" si="14"/>
        <v>100</v>
      </c>
      <c r="X43" s="1815"/>
      <c r="Y43" s="3219"/>
      <c r="Z43" s="1816" t="str">
        <f t="shared" si="15"/>
        <v>内部装修</v>
      </c>
      <c r="AA43" s="1813">
        <f t="shared" si="3"/>
        <v>1</v>
      </c>
      <c r="AB43" s="1813">
        <f t="shared" si="4"/>
        <v>1</v>
      </c>
      <c r="AC43" s="2679">
        <f t="shared" si="5"/>
        <v>1</v>
      </c>
    </row>
    <row r="44" spans="1:29" ht="15.75" thickBot="1">
      <c r="A44" s="472"/>
      <c r="B44" s="422" t="s">
        <v>2577</v>
      </c>
      <c r="C44" s="460" t="s">
        <v>3092</v>
      </c>
      <c r="D44" s="435">
        <v>100</v>
      </c>
      <c r="E44" s="460" t="s">
        <v>3092</v>
      </c>
      <c r="F44" s="461">
        <f>SUMIF(125:125,E44,126:126)-SUMIF(125:125,C44,126:126)+100</f>
        <v>100</v>
      </c>
      <c r="G44" s="460" t="s">
        <v>3092</v>
      </c>
      <c r="H44" s="435">
        <f>SUMIF(125:125,G44,126:126)-SUMIF(125:125,C44,126:126)+100</f>
        <v>100</v>
      </c>
      <c r="I44" s="460" t="s">
        <v>3092</v>
      </c>
      <c r="J44" s="435">
        <f>SUMIF(125:125,I44,126:126)-SUMIF(125:125,C44,126:126)+100</f>
        <v>100</v>
      </c>
      <c r="K44" s="612"/>
      <c r="L44" s="1143"/>
      <c r="M44" s="1134"/>
      <c r="N44" s="1134"/>
      <c r="O44" s="1134"/>
      <c r="P44" s="3217"/>
      <c r="Q44" s="1812" t="str">
        <f t="shared" si="11"/>
        <v>内部装修维护情况</v>
      </c>
      <c r="R44" s="774" t="s">
        <v>17</v>
      </c>
      <c r="S44" s="775">
        <f t="shared" si="12"/>
        <v>100</v>
      </c>
      <c r="T44" s="774" t="s">
        <v>17</v>
      </c>
      <c r="U44" s="775">
        <f t="shared" si="13"/>
        <v>100</v>
      </c>
      <c r="V44" s="774" t="s">
        <v>17</v>
      </c>
      <c r="W44" s="775">
        <f t="shared" si="14"/>
        <v>100</v>
      </c>
      <c r="X44" s="1815"/>
      <c r="Y44" s="3219"/>
      <c r="Z44" s="1816" t="str">
        <f t="shared" si="15"/>
        <v>内部装修维护情况</v>
      </c>
      <c r="AA44" s="1813">
        <f t="shared" si="3"/>
        <v>1</v>
      </c>
      <c r="AB44" s="1813">
        <f t="shared" si="4"/>
        <v>1</v>
      </c>
      <c r="AC44" s="2679">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7"/>
      <c r="Q45" s="1797">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6">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7"/>
      <c r="Q46" s="1812">
        <f t="shared" si="11"/>
        <v>111</v>
      </c>
      <c r="R46" s="774" t="s">
        <v>17</v>
      </c>
      <c r="S46" s="775">
        <f t="shared" si="12"/>
        <v>100</v>
      </c>
      <c r="T46" s="774" t="s">
        <v>17</v>
      </c>
      <c r="U46" s="775">
        <f t="shared" si="13"/>
        <v>100</v>
      </c>
      <c r="V46" s="774" t="s">
        <v>17</v>
      </c>
      <c r="W46" s="775">
        <f t="shared" si="14"/>
        <v>100</v>
      </c>
      <c r="X46" s="1815"/>
      <c r="Y46" s="3219"/>
      <c r="Z46" s="1816">
        <f t="shared" si="15"/>
        <v>111</v>
      </c>
      <c r="AA46" s="1813">
        <f t="shared" si="3"/>
        <v>1</v>
      </c>
      <c r="AB46" s="1813">
        <f t="shared" si="4"/>
        <v>1</v>
      </c>
      <c r="AC46" s="2679">
        <f t="shared" si="5"/>
        <v>1</v>
      </c>
    </row>
    <row r="47" spans="1:29" ht="15.75" hidden="1"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8"/>
      <c r="Q47" s="1812">
        <f t="shared" si="11"/>
        <v>111</v>
      </c>
      <c r="R47" s="774" t="s">
        <v>17</v>
      </c>
      <c r="S47" s="775">
        <f t="shared" si="12"/>
        <v>100</v>
      </c>
      <c r="T47" s="774" t="s">
        <v>17</v>
      </c>
      <c r="U47" s="775">
        <f t="shared" si="13"/>
        <v>100</v>
      </c>
      <c r="V47" s="774" t="s">
        <v>17</v>
      </c>
      <c r="W47" s="775">
        <f t="shared" si="14"/>
        <v>100</v>
      </c>
      <c r="X47" s="1815"/>
      <c r="Y47" s="3220"/>
      <c r="Z47" s="1816">
        <f t="shared" si="15"/>
        <v>111</v>
      </c>
      <c r="AA47" s="1813">
        <f t="shared" si="3"/>
        <v>1</v>
      </c>
      <c r="AB47" s="1813">
        <f t="shared" si="4"/>
        <v>1</v>
      </c>
      <c r="AC47" s="2679">
        <f t="shared" si="5"/>
        <v>1</v>
      </c>
    </row>
    <row r="48" spans="1:29" ht="15">
      <c r="A48" s="479" t="s">
        <v>2578</v>
      </c>
      <c r="B48" s="480"/>
      <c r="C48" s="1409" t="s">
        <v>1</v>
      </c>
      <c r="D48" s="1410"/>
      <c r="E48" s="1411">
        <f>ROUND(32000*0.98,0)</f>
        <v>31360</v>
      </c>
      <c r="F48" s="1412"/>
      <c r="G48" s="1413">
        <f>ROUND(35000*0.97,0)</f>
        <v>33950</v>
      </c>
      <c r="H48" s="1414"/>
      <c r="I48" s="1411">
        <f>ROUND(36000*0.978,0)</f>
        <v>35208</v>
      </c>
      <c r="J48" s="485"/>
      <c r="K48" s="783"/>
      <c r="L48" s="1146"/>
      <c r="M48" s="1134"/>
      <c r="N48" s="1134"/>
      <c r="O48" s="1134"/>
      <c r="P48" s="3192" t="str">
        <f>A48</f>
        <v>成交单价（元/平方米）</v>
      </c>
      <c r="Q48" s="3221"/>
      <c r="R48" s="3222">
        <f>E48</f>
        <v>31360</v>
      </c>
      <c r="S48" s="3222"/>
      <c r="T48" s="3222">
        <f>G48</f>
        <v>33950</v>
      </c>
      <c r="U48" s="3222"/>
      <c r="V48" s="3222">
        <f>I48</f>
        <v>35208</v>
      </c>
      <c r="W48" s="3222"/>
      <c r="X48" s="446"/>
      <c r="Y48" s="781"/>
      <c r="Z48" s="446"/>
      <c r="AA48" s="446"/>
      <c r="AB48" s="446"/>
      <c r="AC48" s="630"/>
    </row>
    <row r="49" spans="1:29" ht="15.75" thickBot="1">
      <c r="A49" s="486" t="s">
        <v>2670</v>
      </c>
      <c r="B49" s="487"/>
      <c r="C49" s="1415">
        <f>R50</f>
        <v>35208</v>
      </c>
      <c r="D49" s="1416"/>
      <c r="E49" s="1417">
        <f>R49</f>
        <v>35020</v>
      </c>
      <c r="F49" s="1417"/>
      <c r="G49" s="1415">
        <f>T49</f>
        <v>35916</v>
      </c>
      <c r="H49" s="1416"/>
      <c r="I49" s="1417">
        <f>V49</f>
        <v>34688</v>
      </c>
      <c r="J49" s="489"/>
      <c r="K49" s="784"/>
      <c r="L49" s="1146"/>
      <c r="M49" s="1134"/>
      <c r="N49" s="1134"/>
      <c r="O49" s="1134"/>
      <c r="P49" s="3192" t="str">
        <f>A49</f>
        <v>比较价值（元/平方米）</v>
      </c>
      <c r="Q49" s="3221"/>
      <c r="R49" s="3222">
        <f>IF(F1="售价",ROUND(PRODUCT(R48,AA7:AA47),0),ROUND(PRODUCT(R48,AA7:AA47),1))</f>
        <v>35020</v>
      </c>
      <c r="S49" s="3222"/>
      <c r="T49" s="3222">
        <f>IF(F1="售价",ROUND(PRODUCT(T48,AB7:AB47),0),ROUND(PRODUCT(T48,AB7:AB47),1))</f>
        <v>35916</v>
      </c>
      <c r="U49" s="3222"/>
      <c r="V49" s="3222">
        <f>IF(F1="售价",ROUND(PRODUCT(V48,AC7:AC47),0),ROUND(PRODUCT(V48,AC7:AC47),1))</f>
        <v>34688</v>
      </c>
      <c r="W49" s="3222"/>
      <c r="X49" s="446"/>
      <c r="Y49" s="446"/>
      <c r="Z49" s="446"/>
      <c r="AA49" s="446"/>
      <c r="AB49" s="446"/>
      <c r="AC49" s="630"/>
    </row>
    <row r="50" spans="1:29" ht="15.75" thickBot="1">
      <c r="A50" s="492" t="s">
        <v>2671</v>
      </c>
      <c r="B50" s="493"/>
      <c r="C50" s="1419">
        <f>R50</f>
        <v>35208</v>
      </c>
      <c r="D50" s="1419"/>
      <c r="E50" s="1419"/>
      <c r="F50" s="1419"/>
      <c r="G50" s="1419"/>
      <c r="H50" s="1419"/>
      <c r="I50" s="1419"/>
      <c r="J50" s="494"/>
      <c r="K50" s="785"/>
      <c r="L50" s="1146"/>
      <c r="M50" s="1134"/>
      <c r="N50" s="1134"/>
      <c r="O50" s="1134"/>
      <c r="P50" s="3223" t="str">
        <f>A50</f>
        <v>估价对象XX用房的比较价值（楼面单价，元/平方米）</v>
      </c>
      <c r="Q50" s="3224"/>
      <c r="R50" s="3225">
        <f>IF(F1="售价",ROUND(AVERAGE(R49:V49),0),ROUND(AVERAGE(R49:V49),1))</f>
        <v>35208</v>
      </c>
      <c r="S50" s="3225"/>
      <c r="T50" s="3225"/>
      <c r="U50" s="3225"/>
      <c r="V50" s="3225"/>
      <c r="W50" s="3225"/>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0.1167091836734695</v>
      </c>
      <c r="F53" s="500" t="str">
        <f>IF(OR(E53&gt;=0.3,E53&lt;=-0.3),"超过30%","")</f>
        <v/>
      </c>
      <c r="G53" s="499">
        <f>IF(G48&lt;G49,G49/G48-1,G48/G49-1)</f>
        <v>5.7908689248895362E-2</v>
      </c>
      <c r="H53" s="500" t="str">
        <f>IF(OR(G53&gt;=0.3,G53&lt;=-0.3),"超过30%","")</f>
        <v/>
      </c>
      <c r="I53" s="499">
        <f>IF(I48&lt;I49,I49/I48-1,I48/I49-1)</f>
        <v>1.4990774907749138E-2</v>
      </c>
      <c r="J53" s="500" t="str">
        <f>IF(OR(I53&gt;=0.3,I53&lt;=-0.3),"超过30%","")</f>
        <v/>
      </c>
      <c r="K53" s="1108"/>
      <c r="L53" s="1109"/>
      <c r="M53" s="1147"/>
      <c r="N53" s="1147"/>
      <c r="O53" s="1147"/>
    </row>
    <row r="54" spans="1:29" ht="13.5" customHeight="1">
      <c r="A54" s="1147"/>
      <c r="B54" s="1147"/>
      <c r="C54" s="497" t="s">
        <v>2673</v>
      </c>
      <c r="D54" s="501"/>
      <c r="E54" s="499">
        <f>IF(E49&lt;G49,G49/E49-1,E49/G49-1)</f>
        <v>2.5585379782981255E-2</v>
      </c>
      <c r="F54" s="500" t="str">
        <f>IF(OR(E54&gt;=0.2,E54&lt;=-0.2),"超过20%","")</f>
        <v/>
      </c>
      <c r="G54" s="499">
        <f>IF(G49&lt;I49,I49/G49-1,G49/I49-1)</f>
        <v>3.5401291512915156E-2</v>
      </c>
      <c r="H54" s="500" t="str">
        <f>IF(OR(G54&gt;=0.2,G54&lt;=-0.2),"超过20%","")</f>
        <v/>
      </c>
      <c r="I54" s="499">
        <f>IF(I49&lt;E49,E49/I49-1,I49/E49-1)</f>
        <v>9.5710332103320361E-3</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8.2589285714285809E-2</v>
      </c>
      <c r="F55" s="500" t="str">
        <f>IF(OR(E55&gt;=0.3,E55&lt;=-0.3),"超过30%","")</f>
        <v/>
      </c>
      <c r="G55" s="499">
        <f>IF(G48&lt;I48,I48/G48-1,G48/I48-1)</f>
        <v>3.7054491899852771E-2</v>
      </c>
      <c r="H55" s="500" t="str">
        <f>IF(OR(G55&gt;=0.3,G55&lt;=-0.3),"超过30%","")</f>
        <v/>
      </c>
      <c r="I55" s="499">
        <f>IF(I48&lt;E48,E48/I48-1,I48/E48-1)</f>
        <v>0.12270408163265301</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0（含）-10</v>
      </c>
      <c r="D68" s="547" t="str">
        <f t="shared" ref="D68:L68" si="17">D69&amp;"（含）"&amp;"-"&amp;E69</f>
        <v>10（含）-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10</v>
      </c>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97</v>
      </c>
      <c r="E84" s="544">
        <f>D84-$K21</f>
        <v>94</v>
      </c>
      <c r="F84" s="544">
        <f>E84-$K21</f>
        <v>91</v>
      </c>
      <c r="G84" s="544">
        <f>F84-$K21</f>
        <v>88</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6"/>
      <c r="O86" s="1156"/>
      <c r="P86" s="2689"/>
      <c r="Q86" s="504"/>
    </row>
    <row r="87" spans="1:17" s="117" customFormat="1" ht="27.75" thickTop="1">
      <c r="A87" s="579"/>
      <c r="B87" s="538" t="s">
        <v>2700</v>
      </c>
      <c r="C87" s="2974" t="s">
        <v>3093</v>
      </c>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74" t="s">
        <v>3094</v>
      </c>
      <c r="D89" s="2974" t="s">
        <v>3095</v>
      </c>
      <c r="E89" s="2974" t="s">
        <v>3096</v>
      </c>
      <c r="F89" s="2640"/>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2975" t="s">
        <v>3098</v>
      </c>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47500(含)-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47500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2615</v>
      </c>
      <c r="C106" s="2974" t="s">
        <v>3097</v>
      </c>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2974" t="s">
        <v>3140</v>
      </c>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2974" t="s">
        <v>3099</v>
      </c>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2974" t="s">
        <v>3100</v>
      </c>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2974" t="s">
        <v>3101</v>
      </c>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t="s">
        <v>3137</v>
      </c>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95" t="s">
        <v>3102</v>
      </c>
      <c r="D121" s="595" t="s">
        <v>3103</v>
      </c>
      <c r="E121" s="595" t="s">
        <v>3104</v>
      </c>
      <c r="F121" s="595" t="s">
        <v>3105</v>
      </c>
      <c r="G121" s="595" t="s">
        <v>3106</v>
      </c>
      <c r="H121" s="595" t="s">
        <v>3107</v>
      </c>
      <c r="I121" s="595"/>
      <c r="J121" s="595"/>
      <c r="K121" s="555"/>
      <c r="L121" s="556"/>
      <c r="M121" s="557"/>
      <c r="N121" s="1157"/>
      <c r="O121" s="1157"/>
      <c r="P121" s="2690"/>
      <c r="Q121" s="559"/>
    </row>
    <row r="122" spans="1:17" s="471" customFormat="1" ht="15.75" thickBot="1">
      <c r="A122" s="553"/>
      <c r="B122" s="535"/>
      <c r="C122" s="560">
        <v>100</v>
      </c>
      <c r="D122" s="536">
        <f>C122+0.5</f>
        <v>100.5</v>
      </c>
      <c r="E122" s="536">
        <f t="shared" ref="E122:H122" si="30">D122+0.5</f>
        <v>101</v>
      </c>
      <c r="F122" s="536">
        <f t="shared" si="30"/>
        <v>101.5</v>
      </c>
      <c r="G122" s="536">
        <f t="shared" si="30"/>
        <v>102</v>
      </c>
      <c r="H122" s="536">
        <f t="shared" si="30"/>
        <v>102.5</v>
      </c>
      <c r="I122" s="536"/>
      <c r="J122" s="536"/>
      <c r="K122" s="560"/>
      <c r="L122" s="560"/>
      <c r="M122" s="560"/>
      <c r="N122" s="1157"/>
      <c r="O122" s="1157"/>
      <c r="P122" s="2690"/>
      <c r="Q122" s="559"/>
    </row>
    <row r="123" spans="1:17" ht="15" thickTop="1">
      <c r="A123" s="599"/>
      <c r="B123" s="538" t="s">
        <v>2621</v>
      </c>
      <c r="C123" s="2974" t="s">
        <v>3126</v>
      </c>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1">C124-$K43</f>
        <v>100</v>
      </c>
      <c r="E124" s="544">
        <f t="shared" si="31"/>
        <v>100</v>
      </c>
      <c r="F124" s="544">
        <f t="shared" si="31"/>
        <v>100</v>
      </c>
      <c r="G124" s="544">
        <f t="shared" si="31"/>
        <v>100</v>
      </c>
      <c r="H124" s="544">
        <f t="shared" si="31"/>
        <v>100</v>
      </c>
      <c r="I124" s="544">
        <f t="shared" si="31"/>
        <v>100</v>
      </c>
      <c r="J124" s="544">
        <f t="shared" si="31"/>
        <v>100</v>
      </c>
      <c r="K124" s="544">
        <f t="shared" si="31"/>
        <v>100</v>
      </c>
      <c r="L124" s="544">
        <f t="shared" si="31"/>
        <v>100</v>
      </c>
      <c r="M124" s="545">
        <f t="shared" si="31"/>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27</v>
      </c>
      <c r="D1" s="1822" t="s">
        <v>70</v>
      </c>
      <c r="E1" s="1823" t="s">
        <v>1385</v>
      </c>
      <c r="F1" s="1285">
        <f ca="1">J53</f>
        <v>25.28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ROUND(D2/10000,0)</f>
        <v>596</v>
      </c>
      <c r="C2" s="1847" t="s">
        <v>1514</v>
      </c>
      <c r="D2" s="1940">
        <f ca="1">C40+J29+L46</f>
        <v>5963456</v>
      </c>
      <c r="E2" s="1848" t="s">
        <v>1590</v>
      </c>
      <c r="F2" s="1849"/>
      <c r="G2" s="1850"/>
      <c r="H2" s="1842"/>
      <c r="I2" s="1842"/>
      <c r="J2" s="1842"/>
      <c r="K2" s="1843"/>
      <c r="L2" s="1842"/>
      <c r="M2" s="1842"/>
    </row>
    <row r="3" spans="1:37" ht="18" customHeight="1" thickBot="1">
      <c r="A3" s="1851" t="s">
        <v>1515</v>
      </c>
      <c r="B3" s="1852">
        <f ca="1">IF(ISERROR(D2/F43),0,ROUND(D2/F43,0))</f>
        <v>28642</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397578</v>
      </c>
      <c r="D5" s="1824" t="s">
        <v>1400</v>
      </c>
      <c r="E5" s="1295"/>
      <c r="F5" s="1296"/>
      <c r="G5" s="1853"/>
      <c r="H5" s="344">
        <v>1</v>
      </c>
      <c r="I5" s="345" t="s">
        <v>1399</v>
      </c>
      <c r="J5" s="1294">
        <f ca="1">J6+J10+J12</f>
        <v>0</v>
      </c>
      <c r="K5" s="1824" t="s">
        <v>1400</v>
      </c>
      <c r="L5" s="1295"/>
      <c r="M5" s="1296"/>
    </row>
    <row r="6" spans="1:37" ht="18" customHeight="1">
      <c r="A6" s="1293" t="s">
        <v>1035</v>
      </c>
      <c r="B6" s="3228" t="s">
        <v>1401</v>
      </c>
      <c r="C6" s="1298">
        <f ca="1">ROUND(F6*F8*F7*(1-F9),0)</f>
        <v>397082</v>
      </c>
      <c r="D6" s="164" t="s">
        <v>3031</v>
      </c>
      <c r="E6" s="347" t="s">
        <v>1403</v>
      </c>
      <c r="F6" s="348">
        <f ca="1">INDIRECT("'数据-取费表'!u"&amp;$G$1)</f>
        <v>5.5</v>
      </c>
      <c r="G6" s="1853"/>
      <c r="H6" s="1293" t="s">
        <v>1035</v>
      </c>
      <c r="I6" s="3228" t="s">
        <v>1401</v>
      </c>
      <c r="J6" s="346">
        <f ca="1">ROUND(M6*M8*M7*(1-M9),0)</f>
        <v>0</v>
      </c>
      <c r="K6" s="1836" t="s">
        <v>3032</v>
      </c>
      <c r="L6" s="347" t="s">
        <v>1403</v>
      </c>
      <c r="M6" s="348">
        <f ca="1">INDIRECT("'数据-取费表'!z"&amp;$G$1)</f>
        <v>0</v>
      </c>
    </row>
    <row r="7" spans="1:37" ht="18" customHeight="1">
      <c r="A7" s="1297"/>
      <c r="B7" s="3229"/>
      <c r="C7" s="1299"/>
      <c r="D7" s="352"/>
      <c r="E7" s="2985" t="s">
        <v>1404</v>
      </c>
      <c r="F7" s="348">
        <f ca="1">IF(INDIRECT("'数据-取费表'!ah"&amp;$G$1)="",INDIRECT("'数据-取费表'!k"&amp;$G$1),INDIRECT("'数据-取费表'!ah"&amp;$G$1))</f>
        <v>208.21</v>
      </c>
      <c r="G7" s="1853"/>
      <c r="H7" s="349"/>
      <c r="I7" s="3229"/>
      <c r="J7" s="351"/>
      <c r="K7" s="352"/>
      <c r="L7" s="347" t="s">
        <v>1404</v>
      </c>
      <c r="M7" s="348">
        <f ca="1">F7</f>
        <v>208.21</v>
      </c>
    </row>
    <row r="8" spans="1:37" ht="18" customHeight="1">
      <c r="A8" s="349"/>
      <c r="B8" s="3229"/>
      <c r="C8" s="351"/>
      <c r="D8" s="352"/>
      <c r="E8" s="347" t="s">
        <v>1405</v>
      </c>
      <c r="F8" s="348">
        <f ca="1">INDIRECT("'数据-取费表'!ai"&amp;$G$1)</f>
        <v>365</v>
      </c>
      <c r="G8" s="1853"/>
      <c r="H8" s="349"/>
      <c r="I8" s="3229"/>
      <c r="J8" s="351"/>
      <c r="K8" s="352"/>
      <c r="L8" s="347" t="s">
        <v>1405</v>
      </c>
      <c r="M8" s="348">
        <f ca="1">INDIRECT("'数据-取费表'!ai"&amp;$G$1)</f>
        <v>365</v>
      </c>
    </row>
    <row r="9" spans="1:37" ht="18" customHeight="1">
      <c r="A9" s="349"/>
      <c r="B9" s="3230"/>
      <c r="C9" s="351"/>
      <c r="D9" s="352"/>
      <c r="E9" s="347" t="s">
        <v>1406</v>
      </c>
      <c r="F9" s="357">
        <f ca="1">INDIRECT("'数据-取费表'!w"&amp;$G$1)</f>
        <v>0.05</v>
      </c>
      <c r="G9" s="1853"/>
      <c r="H9" s="349"/>
      <c r="I9" s="3230"/>
      <c r="J9" s="351"/>
      <c r="K9" s="352"/>
      <c r="L9" s="358" t="s">
        <v>1406</v>
      </c>
      <c r="M9" s="359">
        <f ca="1">INDIRECT("'数据-取费表'!ab"&amp;$G$1)</f>
        <v>0</v>
      </c>
    </row>
    <row r="10" spans="1:37" ht="18" customHeight="1">
      <c r="A10" s="1293" t="s">
        <v>1039</v>
      </c>
      <c r="B10" s="1825" t="s">
        <v>1407</v>
      </c>
      <c r="C10" s="361">
        <f ca="1">ROUND(IF(F10="押一",C6/12*F11,IF(F10="押二",C6/12*2*F11,IF(F10="押三",C6/12*3*F11,C11*F11))),0)</f>
        <v>496</v>
      </c>
      <c r="D10" s="1826" t="s">
        <v>3042</v>
      </c>
      <c r="E10" s="358" t="s">
        <v>1408</v>
      </c>
      <c r="F10" s="1368" t="s">
        <v>3063</v>
      </c>
      <c r="G10" s="1853"/>
      <c r="H10" s="1293" t="s">
        <v>1039</v>
      </c>
      <c r="I10" s="1825" t="s">
        <v>1407</v>
      </c>
      <c r="J10" s="346">
        <f ca="1">ROUND(IF(M10="押一",J6/12*M11,IF(M10="押二",J6/12*2*M11,IF(M10="押三",J6/12*3*M11,J11*M11))),0)</f>
        <v>0</v>
      </c>
      <c r="K10" s="1837" t="s">
        <v>3044</v>
      </c>
      <c r="L10" s="358" t="s">
        <v>1408</v>
      </c>
      <c r="M10" s="1368"/>
    </row>
    <row r="11" spans="1:37" ht="18" customHeight="1">
      <c r="A11" s="353"/>
      <c r="B11" s="1827" t="s">
        <v>1600</v>
      </c>
      <c r="C11" s="1181"/>
      <c r="D11" s="352"/>
      <c r="E11" s="358" t="s">
        <v>1410</v>
      </c>
      <c r="F11" s="359">
        <f ca="1">'数据-取费表'!B39</f>
        <v>1.4999999999999999E-2</v>
      </c>
      <c r="G11" s="1853"/>
      <c r="H11" s="1301"/>
      <c r="I11" s="1827" t="s">
        <v>1601</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657129</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ROUND(INDIRECT("'数据-取费表'!l"&amp;$G$1)*F43+'数据-取费表'!L14*INDIRECT("'数据-取费表'!S"&amp;$G$1),0)</f>
        <v>582988</v>
      </c>
      <c r="D14" s="2979" t="s">
        <v>1416</v>
      </c>
      <c r="E14" s="2977"/>
      <c r="F14" s="364"/>
      <c r="G14" s="1853"/>
      <c r="H14" s="1204" t="s">
        <v>1035</v>
      </c>
      <c r="I14" s="347" t="s">
        <v>1417</v>
      </c>
      <c r="J14" s="24">
        <f ca="1">C29</f>
        <v>853414</v>
      </c>
      <c r="K14" s="2984"/>
      <c r="L14" s="982"/>
      <c r="M14" s="983"/>
    </row>
    <row r="15" spans="1:37" s="1860" customFormat="1" ht="18" customHeight="1" thickBot="1">
      <c r="A15" s="1204" t="s">
        <v>1036</v>
      </c>
      <c r="B15" s="347" t="s">
        <v>1418</v>
      </c>
      <c r="C15" s="24">
        <f ca="1">ROUND(C14*F15,0)</f>
        <v>29149</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ROUND(INDIRECT("'数据-取费表'!l"&amp;$G$1)*F43*F16,0)</f>
        <v>0</v>
      </c>
      <c r="D16" s="347" t="s">
        <v>1419</v>
      </c>
      <c r="E16" s="347" t="s">
        <v>1420</v>
      </c>
      <c r="F16" s="367">
        <f ca="1">IF(INDIRECT("'数据-取费表'!c"&amp;$G$1)="住宅",'数据-取费表'!B34,0)</f>
        <v>0</v>
      </c>
      <c r="G16" s="1853"/>
      <c r="H16" s="1331" t="s">
        <v>1030</v>
      </c>
      <c r="I16" s="1332" t="s">
        <v>1422</v>
      </c>
      <c r="J16" s="355">
        <f ca="1">ROUND(J17+J22+J23+J24,0)</f>
        <v>19970</v>
      </c>
      <c r="K16" s="1339" t="s">
        <v>1423</v>
      </c>
      <c r="L16" s="2980"/>
      <c r="M16" s="1296"/>
    </row>
    <row r="17" spans="1:37" s="1860" customFormat="1" ht="18" customHeight="1">
      <c r="A17" s="1204" t="s">
        <v>1388</v>
      </c>
      <c r="B17" s="347" t="s">
        <v>1424</v>
      </c>
      <c r="C17" s="24">
        <f ca="1">ROUND(F17*(F43+INDIRECT("'数据-取费表'!S"&amp;$G$1)),0)</f>
        <v>41642</v>
      </c>
      <c r="D17" s="347" t="s">
        <v>1425</v>
      </c>
      <c r="E17" s="347" t="s">
        <v>1426</v>
      </c>
      <c r="F17" s="26">
        <f>'数据-取费表'!B35</f>
        <v>200</v>
      </c>
      <c r="G17" s="1856"/>
      <c r="H17" s="1204" t="s">
        <v>1035</v>
      </c>
      <c r="I17" s="347" t="s">
        <v>1427</v>
      </c>
      <c r="J17" s="24">
        <f ca="1">ROUND(IF(项目基本情况!B11="自然人",J5*M17,J18+J19+J20),0)</f>
        <v>7169</v>
      </c>
      <c r="K17" s="2979" t="s">
        <v>1428</v>
      </c>
      <c r="L17" s="2978"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8745</v>
      </c>
      <c r="D18" s="347" t="s">
        <v>1419</v>
      </c>
      <c r="E18" s="347" t="s">
        <v>1420</v>
      </c>
      <c r="F18" s="367">
        <f>'数据-取费表'!B36</f>
        <v>1.4999999999999999E-2</v>
      </c>
      <c r="G18" s="1856"/>
      <c r="H18" s="1204" t="s">
        <v>1034</v>
      </c>
      <c r="I18" s="347" t="s">
        <v>1431</v>
      </c>
      <c r="J18" s="24">
        <f ca="1">ROUND(J5*M18/(1+'数据-取费表'!C42),0)</f>
        <v>0</v>
      </c>
      <c r="K18" s="2978"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662524</v>
      </c>
      <c r="D19" s="140" t="s">
        <v>1434</v>
      </c>
      <c r="E19" s="2983"/>
      <c r="F19" s="26"/>
      <c r="G19" s="1853"/>
      <c r="H19" s="1204" t="s">
        <v>1036</v>
      </c>
      <c r="I19" s="347" t="s">
        <v>1435</v>
      </c>
      <c r="J19" s="24">
        <f ca="1">IF(K19="按租金收入计税",ROUND(J5*M19,0),ROUND(C29*M19*0.7,0))</f>
        <v>7169</v>
      </c>
      <c r="K19" s="1830" t="s">
        <v>1436</v>
      </c>
      <c r="L19" s="347" t="s">
        <v>1420</v>
      </c>
      <c r="M19" s="367">
        <f>IF(K19="按租金收入计税",'数据-取费表'!B51,'数据-取费表'!B50)</f>
        <v>1.2E-2</v>
      </c>
    </row>
    <row r="20" spans="1:37" s="1860" customFormat="1" ht="18" customHeight="1">
      <c r="A20" s="1204" t="s">
        <v>1039</v>
      </c>
      <c r="B20" s="347" t="s">
        <v>1437</v>
      </c>
      <c r="C20" s="24">
        <f ca="1">ROUND(C19*F20,0)</f>
        <v>9938</v>
      </c>
      <c r="D20" s="369" t="s">
        <v>1438</v>
      </c>
      <c r="E20" s="347" t="s">
        <v>1420</v>
      </c>
      <c r="F20" s="367">
        <f>'数据-取费表'!B37</f>
        <v>1.4999999999999999E-2</v>
      </c>
      <c r="G20" s="1856"/>
      <c r="H20" s="1204" t="s">
        <v>1387</v>
      </c>
      <c r="I20" s="164" t="s">
        <v>1439</v>
      </c>
      <c r="J20" s="25">
        <f ca="1">ROUND(M20*M21,0)</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2983"/>
      <c r="F22" s="26"/>
      <c r="G22" s="1853"/>
      <c r="H22" s="1204" t="s">
        <v>1039</v>
      </c>
      <c r="I22" s="347" t="s">
        <v>1447</v>
      </c>
      <c r="J22" s="24">
        <f ca="1">ROUND(J14*M22,0)</f>
        <v>12801</v>
      </c>
      <c r="K22" s="2978"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14626</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ROUND(J13*M23,0)</f>
        <v>0</v>
      </c>
      <c r="K23" s="2978" t="s">
        <v>1452</v>
      </c>
      <c r="L23" s="347" t="s">
        <v>1420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1390</v>
      </c>
      <c r="I24" s="1342" t="s">
        <v>1437</v>
      </c>
      <c r="J24" s="1343">
        <f ca="1">ROUND(J5*M24,0)</f>
        <v>0</v>
      </c>
      <c r="K24" s="1344" t="s">
        <v>1457</v>
      </c>
      <c r="L24" s="1342" t="s">
        <v>1420</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1458</v>
      </c>
      <c r="B25" s="347" t="s">
        <v>1459</v>
      </c>
      <c r="C25" s="24"/>
      <c r="D25" s="140" t="s">
        <v>1460</v>
      </c>
      <c r="E25" s="2983"/>
      <c r="F25" s="26"/>
      <c r="G25" s="1853"/>
      <c r="H25" s="1331" t="s">
        <v>1031</v>
      </c>
      <c r="I25" s="1346" t="s">
        <v>1461</v>
      </c>
      <c r="J25" s="355">
        <f ca="1">J5-J16</f>
        <v>-19970</v>
      </c>
      <c r="K25" s="1347" t="s">
        <v>1462</v>
      </c>
      <c r="L25" s="1348"/>
      <c r="M25" s="1349"/>
    </row>
    <row r="26" spans="1:37" ht="18" customHeight="1">
      <c r="A26" s="1204" t="s">
        <v>1034</v>
      </c>
      <c r="B26" s="347" t="s">
        <v>1463</v>
      </c>
      <c r="C26" s="24">
        <f ca="1">ROUND((C19+C20)*F26,0)</f>
        <v>100869</v>
      </c>
      <c r="D26" s="369" t="s">
        <v>1464</v>
      </c>
      <c r="E26" s="358" t="s">
        <v>1465</v>
      </c>
      <c r="F26" s="357">
        <f ca="1">INDIRECT("'数据-取费表'!q"&amp;$G$1)</f>
        <v>0.15</v>
      </c>
      <c r="G26" s="1853"/>
      <c r="H26" s="344" t="s">
        <v>1032</v>
      </c>
      <c r="I26" s="345" t="s">
        <v>1466</v>
      </c>
      <c r="J26" s="346">
        <f ca="1">IF(J5&lt;&gt;0,ROUND(J25*(1-((1+M28)/(1+M26))^M27)/(M26-M28),0),0)</f>
        <v>0</v>
      </c>
      <c r="K26" s="370" t="s">
        <v>1467</v>
      </c>
      <c r="L26" s="347" t="s">
        <v>1468</v>
      </c>
      <c r="M26" s="357">
        <f ca="1">INDIRECT("'数据-取费表'!I"&amp;$G$1)</f>
        <v>5.5E-2</v>
      </c>
    </row>
    <row r="27" spans="1:37" ht="18" customHeight="1">
      <c r="A27" s="1204" t="s">
        <v>1036</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853414</v>
      </c>
      <c r="D29" s="1344"/>
      <c r="E29" s="1342"/>
      <c r="F29" s="1345"/>
      <c r="G29" s="1856"/>
      <c r="H29" s="380" t="s">
        <v>1033</v>
      </c>
      <c r="I29" s="381" t="s">
        <v>1477</v>
      </c>
      <c r="J29" s="382">
        <f ca="1">ROUND(J26/(1+F40)^F41,0)</f>
        <v>0</v>
      </c>
      <c r="K29" s="383" t="s">
        <v>1478</v>
      </c>
      <c r="L29" s="384"/>
      <c r="M29" s="385">
        <f ca="1">INDIRECT("'数据-取费表'!k"&amp;$G$1)</f>
        <v>208.21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88664</v>
      </c>
      <c r="D30" s="1339" t="s">
        <v>1423</v>
      </c>
      <c r="E30" s="2980"/>
      <c r="F30" s="1296"/>
      <c r="G30" s="1853"/>
      <c r="H30" s="745"/>
      <c r="I30" s="746"/>
      <c r="J30" s="747"/>
      <c r="K30" s="748"/>
      <c r="L30" s="749"/>
      <c r="M30" s="750"/>
    </row>
    <row r="31" spans="1:37" ht="18" customHeight="1">
      <c r="A31" s="1204" t="s">
        <v>1035</v>
      </c>
      <c r="B31" s="347" t="s">
        <v>1427</v>
      </c>
      <c r="C31" s="24">
        <f ca="1">ROUND(IF(项目基本情况!B11="自然人",C5*F31,C32+C33+C34),0)</f>
        <v>68913</v>
      </c>
      <c r="D31" s="2979" t="s">
        <v>1428</v>
      </c>
      <c r="E31" s="2978" t="s">
        <v>1479</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1431</v>
      </c>
      <c r="C32" s="24">
        <f ca="1">IF(项目基本情况!B11="自然人","——",ROUND(C5*F32/(1+'数据-取费表'!C42),0))</f>
        <v>21204</v>
      </c>
      <c r="D32" s="2978"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IF(项目基本情况!B11="自然人","——",IF(D33="按租金收入计税",ROUND(C5*F33,0),IF(D33="按房产原值计税",ROUND(C29*F33*0.7,0),INDIRECT("'数据-取费表'!Aj"&amp;$G$1))))</f>
        <v>47709</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ROUND(C29*F36,0)</f>
        <v>12801</v>
      </c>
      <c r="D36" s="2978"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ROUND(C13*F37,0)</f>
        <v>986</v>
      </c>
      <c r="D37" s="2978" t="s">
        <v>1452</v>
      </c>
      <c r="E37" s="347" t="s">
        <v>1420</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5963.7</v>
      </c>
      <c r="D38" s="1344" t="s">
        <v>1457</v>
      </c>
      <c r="E38" s="1342" t="s">
        <v>1420</v>
      </c>
      <c r="F38" s="1338">
        <f ca="1">INDIRECT("'数据-取费表'!Am"&amp;$G$1)</f>
        <v>1.4999999999999999E-2</v>
      </c>
      <c r="G38" s="1853"/>
      <c r="H38" s="1861"/>
      <c r="I38" s="1862"/>
      <c r="J38" s="1863"/>
      <c r="K38" s="1867"/>
      <c r="L38" s="1861"/>
      <c r="M38" s="1861"/>
    </row>
    <row r="39" spans="1:18" ht="24.6" customHeight="1" thickTop="1">
      <c r="A39" s="1331" t="s">
        <v>1031</v>
      </c>
      <c r="B39" s="1346" t="s">
        <v>1461</v>
      </c>
      <c r="C39" s="355">
        <f ca="1">C5-C30</f>
        <v>308914</v>
      </c>
      <c r="D39" s="1347" t="s">
        <v>1462</v>
      </c>
      <c r="E39" s="1348"/>
      <c r="F39" s="1349"/>
      <c r="G39" s="1853"/>
      <c r="H39" s="1861"/>
      <c r="I39" s="1862"/>
      <c r="J39" s="1863"/>
      <c r="K39" s="1867"/>
      <c r="L39" s="1861"/>
      <c r="M39" s="1861"/>
    </row>
    <row r="40" spans="1:18" ht="18" customHeight="1">
      <c r="A40" s="344" t="s">
        <v>1032</v>
      </c>
      <c r="B40" s="345" t="s">
        <v>1483</v>
      </c>
      <c r="C40" s="346">
        <f ca="1">ROUND(C39*(1-((1+F42)/(1+F40))^F41)/(F40-F42),0)</f>
        <v>5924812</v>
      </c>
      <c r="D40" s="370" t="s">
        <v>1467</v>
      </c>
      <c r="E40" s="347" t="s">
        <v>1468</v>
      </c>
      <c r="F40" s="357">
        <f ca="1">INDIRECT("'数据-取费表'!I"&amp;$G$1)</f>
        <v>5.5E-2</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ROUND(C40/F43,0)</f>
        <v>28456</v>
      </c>
      <c r="D43" s="383" t="s">
        <v>1486</v>
      </c>
      <c r="E43" s="384" t="s">
        <v>1487</v>
      </c>
      <c r="F43" s="385">
        <f ca="1">INDIRECT("'数据-取费表'!k"&amp;$G$1)</f>
        <v>208.21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-7564159</v>
      </c>
      <c r="D45" s="1942" t="s">
        <v>1602</v>
      </c>
      <c r="E45" s="1868"/>
      <c r="F45" s="1868"/>
      <c r="O45" s="1871" t="s">
        <v>1517</v>
      </c>
      <c r="P45" s="1841"/>
      <c r="Q45" s="1841"/>
      <c r="R45" s="1841"/>
    </row>
    <row r="46" spans="1:18" s="1844" customFormat="1" ht="13.5" thickBot="1">
      <c r="A46" s="1872" t="s">
        <v>1518</v>
      </c>
      <c r="C46" s="1873">
        <f ca="1">ROUND(C45/10000,0)</f>
        <v>-756</v>
      </c>
      <c r="D46" s="1874" t="str">
        <f>C2</f>
        <v>万元</v>
      </c>
      <c r="I46" s="1875" t="s">
        <v>1519</v>
      </c>
      <c r="J46" s="1876"/>
      <c r="K46" s="1877"/>
      <c r="L46" s="1878">
        <f ca="1">IF(M47="住宅",0,IF(L48&gt;J51,L60,J60))</f>
        <v>38644</v>
      </c>
      <c r="O46" s="1879" t="s">
        <v>1520</v>
      </c>
      <c r="P46" s="1880" t="s">
        <v>1521</v>
      </c>
      <c r="Q46" s="1881" t="s">
        <v>1522</v>
      </c>
      <c r="R46" s="1881" t="s">
        <v>1523</v>
      </c>
    </row>
    <row r="47" spans="1:18" s="1844" customFormat="1" ht="13.5" thickBot="1">
      <c r="A47" s="1168" t="s">
        <v>1394</v>
      </c>
      <c r="B47" s="1200" t="s">
        <v>1395</v>
      </c>
      <c r="C47" s="1200"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5924812</v>
      </c>
      <c r="R47" s="1888" t="s">
        <v>1527</v>
      </c>
    </row>
    <row r="48" spans="1:18" s="1844" customFormat="1" ht="28.5" thickBot="1">
      <c r="A48" s="1362" t="s">
        <v>1135</v>
      </c>
      <c r="B48" s="345" t="s">
        <v>1399</v>
      </c>
      <c r="C48" s="2982">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38644</v>
      </c>
      <c r="R48" s="1888" t="s">
        <v>1531</v>
      </c>
    </row>
    <row r="49" spans="1:18" s="1844" customFormat="1" ht="13.5" thickBot="1">
      <c r="A49" s="1197" t="s">
        <v>1136</v>
      </c>
      <c r="B49" s="1831" t="s">
        <v>1488</v>
      </c>
      <c r="C49" s="1366">
        <f ca="1">ROUND(F49*F51*F50*(1-F52),0)</f>
        <v>0</v>
      </c>
      <c r="D49" s="1278" t="s">
        <v>1402</v>
      </c>
      <c r="E49" s="1832" t="s">
        <v>1489</v>
      </c>
      <c r="F49" s="1283"/>
      <c r="G49" s="1893"/>
      <c r="H49" s="793"/>
      <c r="I49" s="1889" t="s">
        <v>1532</v>
      </c>
      <c r="J49" s="1894">
        <v>1999</v>
      </c>
      <c r="K49" s="1891" t="s">
        <v>1533</v>
      </c>
      <c r="L49" s="1895"/>
      <c r="O49" s="1896" t="s">
        <v>1042</v>
      </c>
      <c r="P49" s="1887" t="s">
        <v>1534</v>
      </c>
      <c r="Q49" s="1888">
        <f ca="1">C29</f>
        <v>853414</v>
      </c>
      <c r="R49" s="1888" t="s">
        <v>1527</v>
      </c>
    </row>
    <row r="50" spans="1:18" s="1844" customFormat="1" ht="13.5" thickBot="1">
      <c r="A50" s="1198"/>
      <c r="B50" s="1201"/>
      <c r="C50" s="1202"/>
      <c r="D50" s="1175"/>
      <c r="E50" s="1279" t="s">
        <v>1404</v>
      </c>
      <c r="F50" s="1280">
        <f ca="1">F7</f>
        <v>208.21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365</v>
      </c>
      <c r="I51" s="1900" t="s">
        <v>1538</v>
      </c>
      <c r="J51" s="1901">
        <f>IF(J49="",J50,J49+J50-YEAR('数据-取费表'!B2))</f>
        <v>41</v>
      </c>
      <c r="K51" s="1902" t="s">
        <v>1539</v>
      </c>
      <c r="L51" s="1903">
        <f ca="1">ROUND(-PV(INDIRECT("'数据-取费表'!h"&amp;$G$1),L48,(C39-C13*C76),0),0)</f>
        <v>3586865</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30.75" customHeight="1" thickBot="1">
      <c r="A53" s="1363" t="s">
        <v>1137</v>
      </c>
      <c r="B53" s="369" t="s">
        <v>1407</v>
      </c>
      <c r="C53" s="361">
        <f ca="1">ROUND(IF(F53="押一",C49/12*F11,IF(F53="押二",C49/12*2*F11,IF(F53="押三",C49/12*3*F11,C54*F11))),0)</f>
        <v>0</v>
      </c>
      <c r="D53" s="1826" t="s">
        <v>3045</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6" t="s">
        <v>1546</v>
      </c>
      <c r="L53" s="3227"/>
      <c r="O53" s="1886" t="s">
        <v>1046</v>
      </c>
      <c r="P53" s="1887" t="s">
        <v>1547</v>
      </c>
      <c r="Q53" s="1888">
        <f ca="1">Q47+Q48</f>
        <v>5963456</v>
      </c>
      <c r="R53" s="1888" t="s">
        <v>1047</v>
      </c>
    </row>
    <row r="54" spans="1:18" s="1844" customFormat="1" ht="13.5" thickBot="1">
      <c r="A54" s="1197"/>
      <c r="B54" s="1943" t="s">
        <v>1601</v>
      </c>
      <c r="C54" s="1181"/>
      <c r="D54" s="1826"/>
      <c r="E54" s="298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2981"/>
      <c r="F55" s="1909"/>
      <c r="I55" s="1912" t="s">
        <v>1549</v>
      </c>
      <c r="J55" s="1913">
        <f ca="1">ROUND(IF(J47="钢混",J57/J50,1-(1-2%)*(J50-J57)/J50),3)</f>
        <v>0.26200000000000001</v>
      </c>
      <c r="K55" s="1914" t="s">
        <v>1550</v>
      </c>
      <c r="L55" s="1915"/>
      <c r="O55" s="1879" t="s">
        <v>1520</v>
      </c>
      <c r="P55" s="1880" t="s">
        <v>1521</v>
      </c>
      <c r="Q55" s="1881" t="s">
        <v>1522</v>
      </c>
      <c r="R55" s="1881" t="s">
        <v>1523</v>
      </c>
    </row>
    <row r="56" spans="1:18" s="1844" customFormat="1" ht="36" customHeight="1" thickTop="1" thickBot="1">
      <c r="A56" s="1179">
        <v>2</v>
      </c>
      <c r="B56" s="1180" t="s">
        <v>1412</v>
      </c>
      <c r="C56" s="276">
        <f ca="1">C13</f>
        <v>657129</v>
      </c>
      <c r="D56" s="1916"/>
      <c r="E56" s="1917"/>
      <c r="F56" s="1909"/>
      <c r="I56" s="1918" t="s">
        <v>1552</v>
      </c>
      <c r="J56" s="1919" t="s">
        <v>3067</v>
      </c>
      <c r="K56" s="1889" t="s">
        <v>1553</v>
      </c>
      <c r="L56" s="1892" t="str">
        <f ca="1">IF(L48&lt;J51,"——",L48-J51)</f>
        <v>——</v>
      </c>
      <c r="O56" s="1886" t="s">
        <v>1040</v>
      </c>
      <c r="P56" s="1887" t="s">
        <v>1526</v>
      </c>
      <c r="Q56" s="1888">
        <f ca="1">C40+J29</f>
        <v>5924812</v>
      </c>
      <c r="R56" s="1888" t="s">
        <v>1527</v>
      </c>
    </row>
    <row r="57" spans="1:18" s="1844" customFormat="1" ht="24.75" thickBot="1">
      <c r="A57" s="1920"/>
      <c r="B57" s="1172" t="s">
        <v>1476</v>
      </c>
      <c r="C57" s="282">
        <f ca="1">C29</f>
        <v>853414</v>
      </c>
      <c r="D57" s="1921"/>
      <c r="E57" s="1922"/>
      <c r="F57" s="1923"/>
      <c r="I57" s="1924" t="s">
        <v>1554</v>
      </c>
      <c r="J57" s="1925">
        <f ca="1">IF(OR(M47="住宅",J51&lt;L48,J56="是"),"——",J51-L48)</f>
        <v>15.719999999999999</v>
      </c>
      <c r="K57" s="1889" t="s">
        <v>1603</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85474</v>
      </c>
      <c r="D58" s="1182" t="s">
        <v>1423</v>
      </c>
      <c r="E58" s="1183"/>
      <c r="F58" s="1184"/>
      <c r="I58" s="1924" t="s">
        <v>1558</v>
      </c>
      <c r="J58" s="1926">
        <f ca="1">IF(J55&lt;0.4,0.4,J55)</f>
        <v>0.4</v>
      </c>
      <c r="K58" s="1902" t="s">
        <v>1606</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ROUND(IF(项目基本情况!B11="自然人",C48*F59,C60+C61+C62),0)</f>
        <v>71687</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341366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IF(项目基本情况!B11="自然人","——",ROUND(C48*F60/(1+'数据-取费表'!C42),0))</f>
        <v>0</v>
      </c>
      <c r="D60" s="1186" t="s">
        <v>1432</v>
      </c>
      <c r="E60" s="1172" t="s">
        <v>1420</v>
      </c>
      <c r="F60" s="377">
        <f t="shared" ref="F60:F66" si="0">F32</f>
        <v>5.6000000000000001E-2</v>
      </c>
      <c r="I60" s="1927" t="s">
        <v>1563</v>
      </c>
      <c r="J60" s="1928">
        <f ca="1">IF(OR(M47="住宅",J51&lt;L48,J56="是"),"0",ROUND(J59/(1+J52)^J53,0))</f>
        <v>38644</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1435</v>
      </c>
      <c r="C61" s="24">
        <f ca="1">IF(项目基本情况!B11="自然人","——",IF(D61="按租金收入计税",ROUND(C48*F61,0),IF(D61="按房产原值计税",ROUND(C57*F61*0.7,0),INDIRECT("'数据-取费表'!Aj"&amp;$G$1))))</f>
        <v>71687</v>
      </c>
      <c r="D61" s="1830" t="s">
        <v>1436</v>
      </c>
      <c r="E61" s="1172" t="s">
        <v>1420</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1439</v>
      </c>
      <c r="C62" s="25">
        <f ca="1">IF(项目基本情况!B11="自然人","——",ROUND(F62*F63,0))</f>
        <v>0</v>
      </c>
      <c r="D62" s="1187" t="s">
        <v>1440</v>
      </c>
      <c r="E62" s="1172" t="s">
        <v>1441</v>
      </c>
      <c r="F62" s="371">
        <f t="shared" si="0"/>
        <v>0</v>
      </c>
      <c r="I62" s="1931" t="s">
        <v>1568</v>
      </c>
      <c r="J62" s="1932" t="s">
        <v>1569</v>
      </c>
      <c r="K62" s="1932" t="s">
        <v>1570</v>
      </c>
      <c r="L62" s="1932" t="s">
        <v>1571</v>
      </c>
      <c r="M62" s="1933" t="s">
        <v>1572</v>
      </c>
      <c r="O62" s="1886" t="s">
        <v>1046</v>
      </c>
      <c r="P62" s="1887" t="s">
        <v>1547</v>
      </c>
      <c r="Q62" s="1888">
        <f ca="1">Q56+Q57</f>
        <v>5924812</v>
      </c>
      <c r="R62" s="1888" t="s">
        <v>1047</v>
      </c>
    </row>
    <row r="63" spans="1:18" s="1844" customFormat="1" ht="13.5" thickBot="1">
      <c r="A63" s="372"/>
      <c r="B63" s="1178"/>
      <c r="C63" s="29"/>
      <c r="D63" s="1188"/>
      <c r="E63" s="1172" t="s">
        <v>1445</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1039</v>
      </c>
      <c r="B64" s="1172" t="s">
        <v>1447</v>
      </c>
      <c r="C64" s="24">
        <f ca="1">ROUND(C57*F64,0)</f>
        <v>12801</v>
      </c>
      <c r="D64" s="1186" t="s">
        <v>1480</v>
      </c>
      <c r="E64" s="1172"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ROUND(C56*F65,0)</f>
        <v>986</v>
      </c>
      <c r="D65" s="1186" t="s">
        <v>1452</v>
      </c>
      <c r="E65" s="1172" t="s">
        <v>1420</v>
      </c>
      <c r="F65" s="376">
        <f t="shared" ca="1" si="0"/>
        <v>1.5E-3</v>
      </c>
      <c r="I65" s="1931" t="s">
        <v>1577</v>
      </c>
      <c r="J65" s="1932">
        <v>40</v>
      </c>
      <c r="K65" s="1932">
        <v>30</v>
      </c>
      <c r="L65" s="1932">
        <v>50</v>
      </c>
      <c r="M65" s="1934">
        <v>0.02</v>
      </c>
      <c r="O65" s="1886" t="s">
        <v>1040</v>
      </c>
      <c r="P65" s="1887" t="s">
        <v>1526</v>
      </c>
      <c r="Q65" s="1888">
        <f ca="1">C40+J29</f>
        <v>5924812</v>
      </c>
      <c r="R65" s="1888" t="s">
        <v>1527</v>
      </c>
    </row>
    <row r="66" spans="1:18" s="1844" customFormat="1" ht="16.5" thickBot="1">
      <c r="A66" s="1204" t="s">
        <v>1502</v>
      </c>
      <c r="B66" s="1172" t="s">
        <v>1437</v>
      </c>
      <c r="C66" s="24">
        <f ca="1">ROUND(C48*F66,0)</f>
        <v>0</v>
      </c>
      <c r="D66" s="1186" t="s">
        <v>1457</v>
      </c>
      <c r="E66" s="1172" t="s">
        <v>1420</v>
      </c>
      <c r="F66" s="357">
        <f t="shared" ca="1" si="0"/>
        <v>1.4999999999999999E-2</v>
      </c>
      <c r="O66" s="1886" t="s">
        <v>1041</v>
      </c>
      <c r="P66" s="1887" t="s">
        <v>1556</v>
      </c>
      <c r="Q66" s="1888">
        <f ca="1">L60</f>
        <v>0</v>
      </c>
      <c r="R66" s="1888" t="s">
        <v>1579</v>
      </c>
    </row>
    <row r="67" spans="1:18" s="1844" customFormat="1" ht="16.5" thickBot="1">
      <c r="A67" s="1179" t="s">
        <v>1031</v>
      </c>
      <c r="B67" s="1189" t="s">
        <v>1461</v>
      </c>
      <c r="C67" s="361">
        <f ca="1">C48-C58</f>
        <v>-85474</v>
      </c>
      <c r="D67" s="1185" t="s">
        <v>1462</v>
      </c>
      <c r="E67" s="1190"/>
      <c r="F67" s="1191"/>
      <c r="O67" s="1896" t="s">
        <v>1042</v>
      </c>
      <c r="P67" s="1887" t="s">
        <v>1560</v>
      </c>
      <c r="Q67" s="1935">
        <f ca="1">L51</f>
        <v>3586865</v>
      </c>
      <c r="R67" s="1888" t="s">
        <v>1580</v>
      </c>
    </row>
    <row r="68" spans="1:18" s="1844" customFormat="1" ht="16.5" thickBot="1">
      <c r="A68" s="1169" t="s">
        <v>1032</v>
      </c>
      <c r="B68" s="1170" t="s">
        <v>1483</v>
      </c>
      <c r="C68" s="346">
        <f ca="1">ROUND(C67*(1-((1+F70)/(1+F68))^F69)/(F68-F70),0)</f>
        <v>-1639347</v>
      </c>
      <c r="D68" s="1187" t="s">
        <v>1467</v>
      </c>
      <c r="E68" s="1172" t="s">
        <v>1468</v>
      </c>
      <c r="F68" s="357">
        <f ca="1">F40</f>
        <v>5.5E-2</v>
      </c>
      <c r="O68" s="1896" t="s">
        <v>1043</v>
      </c>
      <c r="P68" s="1936" t="s">
        <v>1581</v>
      </c>
      <c r="Q68" s="1888">
        <f ca="1">ROUND(Q69-Q70*Q71,0)</f>
        <v>253058</v>
      </c>
      <c r="R68" s="1888" t="s">
        <v>1051</v>
      </c>
    </row>
    <row r="69" spans="1:18" s="1844" customFormat="1" ht="13.5" thickBot="1">
      <c r="A69" s="1173"/>
      <c r="B69" s="1174"/>
      <c r="C69" s="351"/>
      <c r="D69" s="1192" t="s">
        <v>1471</v>
      </c>
      <c r="E69" s="1172" t="s">
        <v>1472</v>
      </c>
      <c r="F69" s="379">
        <f ca="1">F41</f>
        <v>25.28</v>
      </c>
      <c r="O69" s="1896" t="s">
        <v>1048</v>
      </c>
      <c r="P69" s="1936" t="s">
        <v>1582</v>
      </c>
      <c r="Q69" s="1888">
        <f ca="1">C39</f>
        <v>308914</v>
      </c>
      <c r="R69" s="1888" t="s">
        <v>1527</v>
      </c>
    </row>
    <row r="70" spans="1:18" s="1844" customFormat="1" ht="13.5" thickBot="1">
      <c r="A70" s="1176"/>
      <c r="B70" s="1177"/>
      <c r="C70" s="355"/>
      <c r="D70" s="1188"/>
      <c r="E70" s="1172" t="s">
        <v>1475</v>
      </c>
      <c r="F70" s="1277">
        <f ca="1">F42</f>
        <v>3.5000000000000003E-2</v>
      </c>
      <c r="O70" s="1896" t="s">
        <v>1049</v>
      </c>
      <c r="P70" s="1936" t="s">
        <v>1583</v>
      </c>
      <c r="Q70" s="1888">
        <f ca="1">C13</f>
        <v>657129</v>
      </c>
      <c r="R70" s="1888" t="s">
        <v>1527</v>
      </c>
    </row>
    <row r="71" spans="1:18" s="1844" customFormat="1" ht="13.5" thickBot="1">
      <c r="A71" s="1193" t="s">
        <v>1033</v>
      </c>
      <c r="B71" s="1194" t="s">
        <v>1485</v>
      </c>
      <c r="C71" s="382">
        <f ca="1">ROUND(C68/F71,0)</f>
        <v>-7874</v>
      </c>
      <c r="D71" s="1195" t="s">
        <v>1486</v>
      </c>
      <c r="E71" s="1196" t="s">
        <v>1487</v>
      </c>
      <c r="F71" s="385">
        <f ca="1">F43</f>
        <v>208.21</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55856</v>
      </c>
      <c r="D75" s="1844"/>
      <c r="E75" s="1844"/>
      <c r="F75" s="1844"/>
      <c r="K75" s="1870"/>
      <c r="L75" s="1844"/>
      <c r="O75" s="1886" t="s">
        <v>1046</v>
      </c>
      <c r="P75" s="1887" t="s">
        <v>1547</v>
      </c>
      <c r="Q75" s="1888">
        <f ca="1">Q65+Q66</f>
        <v>5924812</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0.81899999999999995</v>
      </c>
    </row>
    <row r="80" spans="1:18">
      <c r="B80" s="386" t="s">
        <v>1509</v>
      </c>
      <c r="C80" s="318">
        <f ca="1">ROUND(C75/C39,3)</f>
        <v>0.18099999999999999</v>
      </c>
    </row>
    <row r="81" spans="2:3">
      <c r="B81" s="314" t="s">
        <v>1510</v>
      </c>
      <c r="C81" s="282"/>
    </row>
    <row r="82" spans="2:3">
      <c r="B82" s="317" t="s">
        <v>1511</v>
      </c>
      <c r="C82" s="319">
        <f ca="1">1-C83</f>
        <v>0.88900000000000001</v>
      </c>
    </row>
    <row r="83" spans="2:3">
      <c r="B83" s="317" t="s">
        <v>1512</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27</v>
      </c>
      <c r="D1" s="1822" t="s">
        <v>70</v>
      </c>
      <c r="E1" s="1823" t="s">
        <v>1385</v>
      </c>
      <c r="F1" s="1285">
        <f ca="1">J53</f>
        <v>25.28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599</v>
      </c>
      <c r="C2" s="1847" t="s">
        <v>1514</v>
      </c>
      <c r="D2" s="1847"/>
      <c r="E2" s="1848"/>
      <c r="F2" s="1849"/>
      <c r="G2" s="1850"/>
      <c r="H2" s="1842"/>
      <c r="I2" s="1842"/>
      <c r="J2" s="1842"/>
      <c r="K2" s="1843"/>
      <c r="L2" s="1842"/>
      <c r="M2" s="1842"/>
    </row>
    <row r="3" spans="1:37" ht="18" customHeight="1" thickBot="1">
      <c r="A3" s="1851" t="s">
        <v>1515</v>
      </c>
      <c r="B3" s="1852">
        <f ca="1">IF(ISERROR(B2*10000/F43),0,ROUND(B2*10000/F43,0))</f>
        <v>28769</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40</v>
      </c>
      <c r="D5" s="1824" t="s">
        <v>1400</v>
      </c>
      <c r="E5" s="1295"/>
      <c r="F5" s="1296"/>
      <c r="G5" s="1853"/>
      <c r="H5" s="344">
        <v>1</v>
      </c>
      <c r="I5" s="345" t="s">
        <v>1399</v>
      </c>
      <c r="J5" s="1294">
        <f ca="1">J6+J10+J12</f>
        <v>0</v>
      </c>
      <c r="K5" s="1824" t="s">
        <v>1400</v>
      </c>
      <c r="L5" s="1295"/>
      <c r="M5" s="1296"/>
    </row>
    <row r="6" spans="1:37" ht="18" customHeight="1">
      <c r="A6" s="1293" t="s">
        <v>1035</v>
      </c>
      <c r="B6" s="3228" t="s">
        <v>1401</v>
      </c>
      <c r="C6" s="1298">
        <f ca="1">ROUND(F6*F8*F7*(1-F9)/10000,0)</f>
        <v>40</v>
      </c>
      <c r="D6" s="164" t="s">
        <v>3034</v>
      </c>
      <c r="E6" s="347" t="s">
        <v>1403</v>
      </c>
      <c r="F6" s="348">
        <f ca="1">INDIRECT("'数据-取费表'!u"&amp;$G$1)</f>
        <v>5.5</v>
      </c>
      <c r="G6" s="1853"/>
      <c r="H6" s="1293" t="s">
        <v>1035</v>
      </c>
      <c r="I6" s="3228" t="s">
        <v>1401</v>
      </c>
      <c r="J6" s="346">
        <f ca="1">ROUND(M6*M8*M7*(1-M9)/10000,0)</f>
        <v>0</v>
      </c>
      <c r="K6" s="164" t="s">
        <v>3033</v>
      </c>
      <c r="L6" s="347" t="s">
        <v>1403</v>
      </c>
      <c r="M6" s="348">
        <f ca="1">INDIRECT("'数据-取费表'!z"&amp;$G$1)</f>
        <v>0</v>
      </c>
    </row>
    <row r="7" spans="1:37" ht="18" customHeight="1">
      <c r="A7" s="1297"/>
      <c r="B7" s="3229"/>
      <c r="C7" s="1299"/>
      <c r="D7" s="352"/>
      <c r="E7" s="1300" t="s">
        <v>1404</v>
      </c>
      <c r="F7" s="348">
        <f ca="1">IF(INDIRECT("'数据-取费表'!ah"&amp;$G$1)="",INDIRECT("'数据-取费表'!k"&amp;$G$1),INDIRECT("'数据-取费表'!ah"&amp;$G$1))</f>
        <v>208.21</v>
      </c>
      <c r="G7" s="1853"/>
      <c r="H7" s="349"/>
      <c r="I7" s="3229"/>
      <c r="J7" s="351"/>
      <c r="K7" s="352"/>
      <c r="L7" s="347" t="s">
        <v>1404</v>
      </c>
      <c r="M7" s="348">
        <f ca="1">F7</f>
        <v>208.21</v>
      </c>
    </row>
    <row r="8" spans="1:37" ht="18" customHeight="1">
      <c r="A8" s="349"/>
      <c r="B8" s="3229"/>
      <c r="C8" s="351"/>
      <c r="D8" s="352"/>
      <c r="E8" s="347" t="s">
        <v>1405</v>
      </c>
      <c r="F8" s="348">
        <f ca="1">INDIRECT("'数据-取费表'!ai"&amp;$G$1)</f>
        <v>365</v>
      </c>
      <c r="G8" s="1853"/>
      <c r="H8" s="349"/>
      <c r="I8" s="3229"/>
      <c r="J8" s="351"/>
      <c r="K8" s="352"/>
      <c r="L8" s="347" t="s">
        <v>1405</v>
      </c>
      <c r="M8" s="348">
        <f ca="1">INDIRECT("'数据-取费表'!ai"&amp;$G$1)</f>
        <v>365</v>
      </c>
    </row>
    <row r="9" spans="1:37" ht="18" customHeight="1">
      <c r="A9" s="349"/>
      <c r="B9" s="3230"/>
      <c r="C9" s="351"/>
      <c r="D9" s="352"/>
      <c r="E9" s="347" t="s">
        <v>1406</v>
      </c>
      <c r="F9" s="357">
        <f ca="1">INDIRECT("'数据-取费表'!w"&amp;$G$1)</f>
        <v>0.05</v>
      </c>
      <c r="G9" s="1853"/>
      <c r="H9" s="349"/>
      <c r="I9" s="3230"/>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3043</v>
      </c>
      <c r="E10" s="358" t="s">
        <v>1408</v>
      </c>
      <c r="F10" s="1368" t="s">
        <v>3063</v>
      </c>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65</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58</v>
      </c>
      <c r="D14" s="1802" t="s">
        <v>1416</v>
      </c>
      <c r="E14" s="1796"/>
      <c r="F14" s="364"/>
      <c r="G14" s="1853"/>
      <c r="H14" s="1204" t="s">
        <v>1035</v>
      </c>
      <c r="I14" s="347" t="s">
        <v>1417</v>
      </c>
      <c r="J14" s="24">
        <f ca="1">C29</f>
        <v>84</v>
      </c>
      <c r="K14" s="15"/>
      <c r="L14" s="982"/>
      <c r="M14" s="983"/>
    </row>
    <row r="15" spans="1:37" s="1860" customFormat="1" ht="18" customHeight="1" thickBot="1">
      <c r="A15" s="1204" t="s">
        <v>1036</v>
      </c>
      <c r="B15" s="347" t="s">
        <v>1418</v>
      </c>
      <c r="C15" s="24">
        <f ca="1">ROUND(C14*F15,0)</f>
        <v>3</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2</v>
      </c>
      <c r="K16" s="1339" t="s">
        <v>1423</v>
      </c>
      <c r="L16" s="1340"/>
      <c r="M16" s="1296"/>
    </row>
    <row r="17" spans="1:37" s="1860" customFormat="1" ht="18" customHeight="1">
      <c r="A17" s="1204" t="s">
        <v>1388</v>
      </c>
      <c r="B17" s="347" t="s">
        <v>1424</v>
      </c>
      <c r="C17" s="24">
        <f ca="1">ROUND(F17*(F43+INDIRECT("'数据-取费表'!S"&amp;$G$1))/10000,0)</f>
        <v>4</v>
      </c>
      <c r="D17" s="347" t="s">
        <v>1425</v>
      </c>
      <c r="E17" s="347" t="s">
        <v>1426</v>
      </c>
      <c r="F17" s="26">
        <f>'数据-取费表'!B35</f>
        <v>200</v>
      </c>
      <c r="G17" s="1856"/>
      <c r="H17" s="1204" t="s">
        <v>1035</v>
      </c>
      <c r="I17" s="347" t="s">
        <v>1427</v>
      </c>
      <c r="J17" s="24">
        <f ca="1">ROUND(IF(项目基本情况!B11="自然人",J5*M17,J18+J19+J20),1)</f>
        <v>0.7</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1</v>
      </c>
      <c r="D18" s="347" t="s">
        <v>1419</v>
      </c>
      <c r="E18" s="347" t="s">
        <v>1420</v>
      </c>
      <c r="F18" s="367">
        <f>'数据-取费表'!B36</f>
        <v>1.4999999999999999E-2</v>
      </c>
      <c r="G18" s="1856"/>
      <c r="H18" s="1204" t="s">
        <v>1034</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66</v>
      </c>
      <c r="D19" s="140" t="s">
        <v>1434</v>
      </c>
      <c r="E19" s="1820"/>
      <c r="F19" s="26"/>
      <c r="G19" s="1853"/>
      <c r="H19" s="1204" t="s">
        <v>1036</v>
      </c>
      <c r="I19" s="347" t="s">
        <v>1435</v>
      </c>
      <c r="J19" s="24">
        <f ca="1">IF(K19="按租金收入计税",ROUND(J5*M19,2),ROUND(C29*M19*0.7,2))</f>
        <v>0.71</v>
      </c>
      <c r="K19" s="1830" t="s">
        <v>1436</v>
      </c>
      <c r="L19" s="347" t="s">
        <v>1420</v>
      </c>
      <c r="M19" s="367">
        <f>IF(K19="按租金收入计税",'数据-取费表'!B51,'数据-取费表'!B50)</f>
        <v>1.2E-2</v>
      </c>
    </row>
    <row r="20" spans="1:37" s="1860" customFormat="1" ht="18" customHeight="1">
      <c r="A20" s="1204" t="s">
        <v>1039</v>
      </c>
      <c r="B20" s="347" t="s">
        <v>1437</v>
      </c>
      <c r="C20" s="24">
        <f ca="1">ROUND(C19*F20,0)</f>
        <v>1</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ROUND(J14*M22,1)</f>
        <v>1.3</v>
      </c>
      <c r="K22" s="1800"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ROUND(J5*M24,1)</f>
        <v>0</v>
      </c>
      <c r="K24" s="1344" t="s">
        <v>1457</v>
      </c>
      <c r="L24" s="1342" t="s">
        <v>1453</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1820"/>
      <c r="F25" s="26"/>
      <c r="G25" s="1853"/>
      <c r="H25" s="1331" t="s">
        <v>1031</v>
      </c>
      <c r="I25" s="1346" t="s">
        <v>1461</v>
      </c>
      <c r="J25" s="355">
        <f ca="1">J5-J16</f>
        <v>-2</v>
      </c>
      <c r="K25" s="1347" t="s">
        <v>1462</v>
      </c>
      <c r="L25" s="1348"/>
      <c r="M25" s="1349"/>
    </row>
    <row r="26" spans="1:37">
      <c r="A26" s="1204" t="s">
        <v>1034</v>
      </c>
      <c r="B26" s="347" t="s">
        <v>1463</v>
      </c>
      <c r="C26" s="24">
        <f ca="1">ROUND((C19+C20)*F26,0)</f>
        <v>10</v>
      </c>
      <c r="D26" s="369" t="s">
        <v>1464</v>
      </c>
      <c r="E26" s="358" t="s">
        <v>1465</v>
      </c>
      <c r="F26" s="357">
        <f ca="1">INDIRECT("'数据-取费表'!q"&amp;$G$1)</f>
        <v>0.15</v>
      </c>
      <c r="G26" s="1853"/>
      <c r="H26" s="344" t="s">
        <v>1032</v>
      </c>
      <c r="I26" s="345" t="s">
        <v>1466</v>
      </c>
      <c r="J26" s="346">
        <f ca="1">IF(J5&lt;&gt;0,ROUND(J25*(1-((1+M28)/(1+M26))^M27)/(M26-M28),0),0)</f>
        <v>0</v>
      </c>
      <c r="K26" s="370" t="s">
        <v>1467</v>
      </c>
      <c r="L26" s="347" t="s">
        <v>1468</v>
      </c>
      <c r="M26" s="357">
        <f ca="1">INDIRECT("'数据-取费表'!I"&amp;$G$1)</f>
        <v>5.5E-2</v>
      </c>
    </row>
    <row r="27" spans="1:37" ht="18" customHeight="1">
      <c r="A27" s="1204" t="s">
        <v>1036</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84</v>
      </c>
      <c r="D29" s="1344"/>
      <c r="E29" s="1342"/>
      <c r="F29" s="1345"/>
      <c r="G29" s="1856"/>
      <c r="H29" s="380" t="s">
        <v>1033</v>
      </c>
      <c r="I29" s="381" t="s">
        <v>1477</v>
      </c>
      <c r="J29" s="382">
        <f ca="1">ROUND(J26/(1+F40)^F41,0)</f>
        <v>0</v>
      </c>
      <c r="K29" s="383" t="s">
        <v>1478</v>
      </c>
      <c r="L29" s="384"/>
      <c r="M29" s="385">
        <f ca="1">INDIRECT("'数据-取费表'!k"&amp;$G$1)</f>
        <v>208.21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9</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ROUND(IF(项目基本情况!B11="自然人",C5*F31,C32+C33+C34),1)</f>
        <v>6.9</v>
      </c>
      <c r="D31" s="1802" t="s">
        <v>1428</v>
      </c>
      <c r="E31" s="1800" t="s">
        <v>1479</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1431</v>
      </c>
      <c r="C32" s="24">
        <f ca="1">IF(项目基本情况!B11="自然人","——",ROUND(C5*F32/(1+'数据-取费表'!C42),2))</f>
        <v>2.13</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4.8</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1.3</v>
      </c>
      <c r="D36" s="1800"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0.1</v>
      </c>
      <c r="D37" s="1800" t="s">
        <v>1452</v>
      </c>
      <c r="E37" s="347" t="s">
        <v>1453</v>
      </c>
      <c r="F37" s="376">
        <f ca="1">INDIRECT("'数据-取费表'!Al"&amp;$G$1)</f>
        <v>1.5E-3</v>
      </c>
      <c r="G37" s="1853"/>
      <c r="H37" s="1861"/>
      <c r="I37" s="1862"/>
      <c r="J37" s="1863"/>
      <c r="K37" s="751"/>
      <c r="L37" s="1861"/>
      <c r="M37" s="1861"/>
    </row>
    <row r="38" spans="1:18" ht="18" customHeight="1" thickBot="1">
      <c r="A38" s="1341" t="s">
        <v>1391</v>
      </c>
      <c r="B38" s="1342" t="s">
        <v>1437</v>
      </c>
      <c r="C38" s="1343">
        <f ca="1">ROUND(C5*F38,1)</f>
        <v>0.6</v>
      </c>
      <c r="D38" s="1344" t="s">
        <v>1457</v>
      </c>
      <c r="E38" s="1342" t="s">
        <v>1453</v>
      </c>
      <c r="F38" s="1338">
        <f ca="1">INDIRECT("'数据-取费表'!Am"&amp;$G$1)</f>
        <v>1.4999999999999999E-2</v>
      </c>
      <c r="G38" s="1853"/>
      <c r="H38" s="1861"/>
      <c r="I38" s="1862"/>
      <c r="J38" s="1863"/>
      <c r="K38" s="1867"/>
      <c r="L38" s="1861"/>
      <c r="M38" s="1861"/>
    </row>
    <row r="39" spans="1:18" ht="24.6" customHeight="1" thickTop="1">
      <c r="A39" s="1331" t="s">
        <v>1031</v>
      </c>
      <c r="B39" s="1346" t="s">
        <v>1481</v>
      </c>
      <c r="C39" s="355">
        <f ca="1">C5-C30</f>
        <v>31</v>
      </c>
      <c r="D39" s="1347" t="s">
        <v>1482</v>
      </c>
      <c r="E39" s="1348"/>
      <c r="F39" s="1349"/>
      <c r="G39" s="1853"/>
      <c r="H39" s="1861"/>
      <c r="I39" s="1862"/>
      <c r="J39" s="1863"/>
      <c r="K39" s="1867"/>
      <c r="L39" s="1861"/>
      <c r="M39" s="1861"/>
    </row>
    <row r="40" spans="1:18" ht="18" customHeight="1">
      <c r="A40" s="344" t="s">
        <v>1032</v>
      </c>
      <c r="B40" s="345" t="s">
        <v>1483</v>
      </c>
      <c r="C40" s="346">
        <f ca="1">ROUND(C39*(1-((1+F42)/(1+F40))^F41)/(F40-F42),0)</f>
        <v>595</v>
      </c>
      <c r="D40" s="370" t="s">
        <v>1467</v>
      </c>
      <c r="E40" s="347" t="s">
        <v>1468</v>
      </c>
      <c r="F40" s="357">
        <f ca="1">INDIRECT("'数据-取费表'!I"&amp;$G$1)</f>
        <v>5.5E-2</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28577</v>
      </c>
      <c r="D43" s="383" t="s">
        <v>1486</v>
      </c>
      <c r="E43" s="384" t="s">
        <v>1487</v>
      </c>
      <c r="F43" s="385">
        <f ca="1">INDIRECT("'数据-取费表'!k"&amp;$G$1)</f>
        <v>208.21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-716</v>
      </c>
      <c r="D46" s="1874" t="str">
        <f>C2</f>
        <v>万元</v>
      </c>
      <c r="E46" s="1868"/>
      <c r="F46" s="1868"/>
      <c r="I46" s="1875" t="s">
        <v>1519</v>
      </c>
      <c r="J46" s="1876"/>
      <c r="K46" s="1877"/>
      <c r="L46" s="1878">
        <f ca="1">IF(M47="住宅",0,IF(L48&gt;J51,L60,J60))</f>
        <v>4</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595</v>
      </c>
      <c r="R47" s="1888" t="s">
        <v>1527</v>
      </c>
    </row>
    <row r="48" spans="1:18" s="1844" customFormat="1" ht="28.5" thickBot="1">
      <c r="A48" s="1362" t="s">
        <v>1135</v>
      </c>
      <c r="B48" s="345" t="s">
        <v>1399</v>
      </c>
      <c r="C48" s="1819">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4</v>
      </c>
      <c r="R48" s="1888" t="s">
        <v>1531</v>
      </c>
    </row>
    <row r="49" spans="1:18" s="1844" customFormat="1" ht="13.5" thickBot="1">
      <c r="A49" s="1197" t="s">
        <v>1136</v>
      </c>
      <c r="B49" s="1831" t="s">
        <v>1488</v>
      </c>
      <c r="C49" s="1366">
        <f ca="1">ROUND(F49*F51*F50*(1-F52)/10000,0)</f>
        <v>0</v>
      </c>
      <c r="D49" s="1278" t="s">
        <v>3035</v>
      </c>
      <c r="E49" s="1832" t="s">
        <v>1489</v>
      </c>
      <c r="F49" s="1283"/>
      <c r="G49" s="1893"/>
      <c r="H49" s="793"/>
      <c r="I49" s="1889" t="s">
        <v>1532</v>
      </c>
      <c r="J49" s="1894">
        <v>1999</v>
      </c>
      <c r="K49" s="1891" t="s">
        <v>1533</v>
      </c>
      <c r="L49" s="1895"/>
      <c r="O49" s="1896" t="s">
        <v>1042</v>
      </c>
      <c r="P49" s="1887" t="s">
        <v>1534</v>
      </c>
      <c r="Q49" s="1888">
        <f ca="1">C29</f>
        <v>84</v>
      </c>
      <c r="R49" s="1888" t="s">
        <v>1527</v>
      </c>
    </row>
    <row r="50" spans="1:18" s="1844" customFormat="1" ht="13.5" thickBot="1">
      <c r="A50" s="1198"/>
      <c r="B50" s="1201"/>
      <c r="C50" s="1370"/>
      <c r="D50" s="1175"/>
      <c r="E50" s="1279" t="s">
        <v>1404</v>
      </c>
      <c r="F50" s="1280">
        <f ca="1">F7</f>
        <v>208.21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365</v>
      </c>
      <c r="I51" s="1900" t="s">
        <v>1538</v>
      </c>
      <c r="J51" s="1901">
        <f>IF(J49="",J50,J49+J50-YEAR('数据-取费表'!B2))</f>
        <v>41</v>
      </c>
      <c r="K51" s="1902" t="s">
        <v>1539</v>
      </c>
      <c r="L51" s="1903">
        <f ca="1">ROUND(-PV(INDIRECT("'数据-取费表'!h"&amp;$G$1),L48,(C39-C13*C76),0),0)</f>
        <v>361</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6" t="s">
        <v>1546</v>
      </c>
      <c r="L53" s="3227"/>
      <c r="O53" s="1886" t="s">
        <v>1046</v>
      </c>
      <c r="P53" s="1887" t="s">
        <v>1547</v>
      </c>
      <c r="Q53" s="1888">
        <f ca="1">Q47+Q48</f>
        <v>599</v>
      </c>
      <c r="R53" s="1888" t="s">
        <v>1047</v>
      </c>
    </row>
    <row r="54" spans="1:18" s="1844" customFormat="1" ht="13.5" thickBot="1">
      <c r="A54" s="1408"/>
      <c r="B54" s="1827" t="s">
        <v>1386</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65</v>
      </c>
      <c r="D56" s="1916"/>
      <c r="E56" s="1917"/>
      <c r="F56" s="1909"/>
      <c r="I56" s="1918" t="s">
        <v>1552</v>
      </c>
      <c r="J56" s="1919" t="s">
        <v>3067</v>
      </c>
      <c r="K56" s="1889" t="s">
        <v>1553</v>
      </c>
      <c r="L56" s="1892" t="str">
        <f ca="1">IF(L48&lt;J51,"——",L48-J53)</f>
        <v>——</v>
      </c>
      <c r="O56" s="1886" t="s">
        <v>1040</v>
      </c>
      <c r="P56" s="1887" t="s">
        <v>1526</v>
      </c>
      <c r="Q56" s="1888">
        <f ca="1">C40+J29</f>
        <v>595</v>
      </c>
      <c r="R56" s="1888" t="s">
        <v>1527</v>
      </c>
    </row>
    <row r="57" spans="1:18" s="1844" customFormat="1" ht="24.75" thickBot="1">
      <c r="A57" s="1920"/>
      <c r="B57" s="1172" t="s">
        <v>1476</v>
      </c>
      <c r="C57" s="282">
        <f ca="1">C29</f>
        <v>84</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9</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7.1</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34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4</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IF(项目基本情况!B11="自然人","——",IF(D61="按租金收入计税",ROUND(C48*F61,2),IF(D61="按房产原值计税",ROUND(C57*F61*0.7,2),INDIRECT("'数据-取费表'!Aj"&amp;$G$1))))</f>
        <v>7.06</v>
      </c>
      <c r="D61" s="1830" t="s">
        <v>1436</v>
      </c>
      <c r="E61" s="1172" t="s">
        <v>1492</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1494</v>
      </c>
      <c r="C62" s="25">
        <f ca="1">IF(项目基本情况!B11="自然人","——",ROUND(F62*F63/10000,2))</f>
        <v>0</v>
      </c>
      <c r="D62" s="1187" t="s">
        <v>1495</v>
      </c>
      <c r="E62" s="1172" t="s">
        <v>1496</v>
      </c>
      <c r="F62" s="371">
        <f t="shared" si="0"/>
        <v>0</v>
      </c>
      <c r="I62" s="1931" t="s">
        <v>1568</v>
      </c>
      <c r="J62" s="1932" t="s">
        <v>1569</v>
      </c>
      <c r="K62" s="1932" t="s">
        <v>1570</v>
      </c>
      <c r="L62" s="1932" t="s">
        <v>1571</v>
      </c>
      <c r="M62" s="1933" t="s">
        <v>1572</v>
      </c>
      <c r="O62" s="1886" t="s">
        <v>1046</v>
      </c>
      <c r="P62" s="1887" t="s">
        <v>1573</v>
      </c>
      <c r="Q62" s="1888">
        <f ca="1">Q56+Q57</f>
        <v>595</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ROUND(C57*F64,1)</f>
        <v>1.3</v>
      </c>
      <c r="D64" s="1186" t="s">
        <v>1500</v>
      </c>
      <c r="E64" s="1172"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0.1</v>
      </c>
      <c r="D65" s="1186" t="s">
        <v>1452</v>
      </c>
      <c r="E65" s="1172" t="s">
        <v>1453</v>
      </c>
      <c r="F65" s="376">
        <f t="shared" ca="1" si="0"/>
        <v>1.5E-3</v>
      </c>
      <c r="I65" s="1931" t="s">
        <v>1577</v>
      </c>
      <c r="J65" s="1932">
        <v>40</v>
      </c>
      <c r="K65" s="1932">
        <v>30</v>
      </c>
      <c r="L65" s="1932">
        <v>50</v>
      </c>
      <c r="M65" s="1934">
        <v>0.02</v>
      </c>
      <c r="O65" s="1886" t="s">
        <v>1040</v>
      </c>
      <c r="P65" s="1887" t="s">
        <v>1578</v>
      </c>
      <c r="Q65" s="1888">
        <f ca="1">C40+J29</f>
        <v>595</v>
      </c>
      <c r="R65" s="1888" t="s">
        <v>1527</v>
      </c>
    </row>
    <row r="66" spans="1:18" s="1844" customFormat="1" ht="16.5" thickBot="1">
      <c r="A66" s="1204" t="s">
        <v>1502</v>
      </c>
      <c r="B66" s="1172" t="s">
        <v>1437</v>
      </c>
      <c r="C66" s="24">
        <f ca="1">ROUND(C48*F66,1)</f>
        <v>0</v>
      </c>
      <c r="D66" s="1186" t="s">
        <v>1503</v>
      </c>
      <c r="E66" s="1172" t="s">
        <v>1420</v>
      </c>
      <c r="F66" s="357">
        <f t="shared" ca="1" si="0"/>
        <v>1.4999999999999999E-2</v>
      </c>
      <c r="O66" s="1886" t="s">
        <v>1041</v>
      </c>
      <c r="P66" s="1887" t="s">
        <v>1556</v>
      </c>
      <c r="Q66" s="1888">
        <f ca="1">L60</f>
        <v>0</v>
      </c>
      <c r="R66" s="1888" t="s">
        <v>1579</v>
      </c>
    </row>
    <row r="67" spans="1:18" s="1844" customFormat="1" ht="16.5" thickBot="1">
      <c r="A67" s="1179" t="s">
        <v>1031</v>
      </c>
      <c r="B67" s="1189" t="s">
        <v>1461</v>
      </c>
      <c r="C67" s="361">
        <f ca="1">C48-C58</f>
        <v>-9</v>
      </c>
      <c r="D67" s="1185" t="s">
        <v>1462</v>
      </c>
      <c r="E67" s="1190"/>
      <c r="F67" s="1191"/>
      <c r="O67" s="1896" t="s">
        <v>1042</v>
      </c>
      <c r="P67" s="1887" t="s">
        <v>1560</v>
      </c>
      <c r="Q67" s="1935">
        <f ca="1">L51</f>
        <v>361</v>
      </c>
      <c r="R67" s="1888" t="s">
        <v>1580</v>
      </c>
    </row>
    <row r="68" spans="1:18" s="1844" customFormat="1" ht="16.5" thickBot="1">
      <c r="A68" s="1169" t="s">
        <v>1032</v>
      </c>
      <c r="B68" s="1170" t="s">
        <v>1483</v>
      </c>
      <c r="C68" s="346">
        <f ca="1">ROUND(C67*(1-((1+F70)/(1+F68))^F69)/(F68-F70),0)</f>
        <v>-121</v>
      </c>
      <c r="D68" s="1187" t="s">
        <v>1467</v>
      </c>
      <c r="E68" s="1172" t="s">
        <v>1468</v>
      </c>
      <c r="F68" s="357">
        <f ca="1">F40</f>
        <v>5.5E-2</v>
      </c>
      <c r="O68" s="1896" t="s">
        <v>1043</v>
      </c>
      <c r="P68" s="1936" t="s">
        <v>1581</v>
      </c>
      <c r="Q68" s="1888">
        <f ca="1">ROUND(Q69-Q70*Q71,0)</f>
        <v>25</v>
      </c>
      <c r="R68" s="1888" t="s">
        <v>1051</v>
      </c>
    </row>
    <row r="69" spans="1:18" s="1844" customFormat="1" ht="13.5" thickBot="1">
      <c r="A69" s="1173"/>
      <c r="B69" s="1174"/>
      <c r="C69" s="351"/>
      <c r="D69" s="1192" t="s">
        <v>1471</v>
      </c>
      <c r="E69" s="1172" t="s">
        <v>1472</v>
      </c>
      <c r="F69" s="379">
        <f ca="1">F41</f>
        <v>25.28</v>
      </c>
      <c r="O69" s="1896" t="s">
        <v>1048</v>
      </c>
      <c r="P69" s="1936" t="s">
        <v>1582</v>
      </c>
      <c r="Q69" s="1888">
        <f ca="1">C39</f>
        <v>31</v>
      </c>
      <c r="R69" s="1888" t="s">
        <v>1527</v>
      </c>
    </row>
    <row r="70" spans="1:18" s="1844" customFormat="1" ht="13.5" thickBot="1">
      <c r="A70" s="1176"/>
      <c r="B70" s="1177"/>
      <c r="C70" s="355"/>
      <c r="D70" s="1188"/>
      <c r="E70" s="1172" t="s">
        <v>1475</v>
      </c>
      <c r="F70" s="1277"/>
      <c r="O70" s="1896" t="s">
        <v>1049</v>
      </c>
      <c r="P70" s="1936" t="s">
        <v>1583</v>
      </c>
      <c r="Q70" s="1888">
        <f ca="1">C13</f>
        <v>65</v>
      </c>
      <c r="R70" s="1888" t="s">
        <v>1527</v>
      </c>
    </row>
    <row r="71" spans="1:18" s="1844" customFormat="1" ht="13.5" thickBot="1">
      <c r="A71" s="1193" t="s">
        <v>1033</v>
      </c>
      <c r="B71" s="1194" t="s">
        <v>1485</v>
      </c>
      <c r="C71" s="382">
        <f ca="1">ROUND(C68*10000/F71,0)</f>
        <v>-5811</v>
      </c>
      <c r="D71" s="1195" t="s">
        <v>1486</v>
      </c>
      <c r="E71" s="1196" t="s">
        <v>1487</v>
      </c>
      <c r="F71" s="385">
        <f ca="1">F43</f>
        <v>208.21</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6</v>
      </c>
      <c r="D75" s="1844"/>
      <c r="E75" s="1844"/>
      <c r="F75" s="1844"/>
      <c r="K75" s="1870"/>
      <c r="L75" s="1844"/>
      <c r="O75" s="1886" t="s">
        <v>1046</v>
      </c>
      <c r="P75" s="1887" t="s">
        <v>1547</v>
      </c>
      <c r="Q75" s="1888">
        <f ca="1">Q65+Q66</f>
        <v>595</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0.80600000000000005</v>
      </c>
    </row>
    <row r="80" spans="1:18">
      <c r="B80" s="386" t="s">
        <v>1509</v>
      </c>
      <c r="C80" s="318">
        <f ca="1">ROUND(C75/C39,3)</f>
        <v>0.19400000000000001</v>
      </c>
    </row>
    <row r="81" spans="2:3">
      <c r="B81" s="314" t="s">
        <v>1510</v>
      </c>
      <c r="C81" s="282"/>
    </row>
    <row r="82" spans="2:3">
      <c r="B82" s="317" t="s">
        <v>1511</v>
      </c>
      <c r="C82" s="319">
        <f ca="1">1-C83</f>
        <v>0.89100000000000001</v>
      </c>
    </row>
    <row r="83" spans="2:3">
      <c r="B83" s="317" t="s">
        <v>1512</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R24" sqref="R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32" t="s">
        <v>3009</v>
      </c>
      <c r="D1" s="3233"/>
      <c r="E1" s="3233"/>
      <c r="F1" s="3233"/>
      <c r="G1" s="3233"/>
      <c r="H1" s="3233"/>
      <c r="I1" s="3233"/>
      <c r="J1" s="3233"/>
      <c r="K1" s="3233"/>
      <c r="L1" s="3233"/>
      <c r="M1" s="3233"/>
      <c r="N1" s="3233"/>
      <c r="O1" s="3233"/>
      <c r="P1" s="3233"/>
      <c r="Q1" s="3233"/>
      <c r="R1" s="3233"/>
      <c r="S1" s="3234"/>
      <c r="T1" s="1207" t="s">
        <v>3010</v>
      </c>
    </row>
    <row r="2" spans="1:45" s="707" customFormat="1" ht="38.25">
      <c r="A2" s="1208"/>
      <c r="B2" s="703" t="s">
        <v>3011</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7">D3+100</f>
        <v>200</v>
      </c>
      <c r="F3" s="710">
        <f t="shared" si="7"/>
        <v>300</v>
      </c>
      <c r="G3" s="710">
        <f t="shared" si="7"/>
        <v>400</v>
      </c>
      <c r="H3" s="710">
        <f t="shared" si="7"/>
        <v>500</v>
      </c>
      <c r="I3" s="710">
        <f t="shared" si="7"/>
        <v>600</v>
      </c>
      <c r="J3" s="710">
        <f t="shared" si="7"/>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8">D4+0.5</f>
        <v>101</v>
      </c>
      <c r="F4" s="1214">
        <f t="shared" si="8"/>
        <v>101.5</v>
      </c>
      <c r="G4" s="1214">
        <f t="shared" si="8"/>
        <v>102</v>
      </c>
      <c r="H4" s="1214">
        <f t="shared" si="8"/>
        <v>102.5</v>
      </c>
      <c r="I4" s="1214">
        <f t="shared" si="8"/>
        <v>103</v>
      </c>
      <c r="J4" s="1214">
        <f t="shared" si="8"/>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9">D6-$T5</f>
        <v>100</v>
      </c>
      <c r="F6" s="1717">
        <f t="shared" si="9"/>
        <v>100</v>
      </c>
      <c r="G6" s="1717">
        <f t="shared" si="9"/>
        <v>100</v>
      </c>
      <c r="H6" s="1717">
        <f t="shared" si="9"/>
        <v>100</v>
      </c>
      <c r="I6" s="1717">
        <f t="shared" si="9"/>
        <v>100</v>
      </c>
      <c r="J6" s="1717">
        <f t="shared" si="9"/>
        <v>100</v>
      </c>
      <c r="K6" s="1717">
        <f t="shared" si="9"/>
        <v>100</v>
      </c>
      <c r="L6" s="1717">
        <f t="shared" si="9"/>
        <v>100</v>
      </c>
      <c r="M6" s="1717">
        <f t="shared" si="9"/>
        <v>100</v>
      </c>
      <c r="N6" s="1717">
        <f t="shared" si="9"/>
        <v>100</v>
      </c>
      <c r="O6" s="1717">
        <f t="shared" si="9"/>
        <v>100</v>
      </c>
      <c r="P6" s="1717">
        <f t="shared" si="9"/>
        <v>100</v>
      </c>
      <c r="Q6" s="1717">
        <f t="shared" si="9"/>
        <v>100</v>
      </c>
      <c r="R6" s="1717">
        <f t="shared" si="9"/>
        <v>100</v>
      </c>
      <c r="S6" s="1717">
        <f t="shared" si="9"/>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10">D8-$T7</f>
        <v>100</v>
      </c>
      <c r="F8" s="1717">
        <f t="shared" si="10"/>
        <v>100</v>
      </c>
      <c r="G8" s="1717">
        <f t="shared" si="10"/>
        <v>100</v>
      </c>
      <c r="H8" s="1717">
        <f t="shared" si="10"/>
        <v>100</v>
      </c>
      <c r="I8" s="1717">
        <f t="shared" si="10"/>
        <v>100</v>
      </c>
      <c r="J8" s="1717">
        <f t="shared" si="10"/>
        <v>100</v>
      </c>
      <c r="K8" s="1717">
        <f t="shared" si="10"/>
        <v>100</v>
      </c>
      <c r="L8" s="1717">
        <f t="shared" si="10"/>
        <v>100</v>
      </c>
      <c r="M8" s="1717">
        <f t="shared" si="10"/>
        <v>100</v>
      </c>
      <c r="N8" s="1717">
        <f t="shared" si="10"/>
        <v>100</v>
      </c>
      <c r="O8" s="1717">
        <f t="shared" si="10"/>
        <v>100</v>
      </c>
      <c r="P8" s="1717">
        <f t="shared" si="10"/>
        <v>100</v>
      </c>
      <c r="Q8" s="1717">
        <f t="shared" si="10"/>
        <v>100</v>
      </c>
      <c r="R8" s="1717">
        <f t="shared" si="10"/>
        <v>100</v>
      </c>
      <c r="S8" s="1717">
        <f t="shared" si="10"/>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8"/>
      <c r="B10" s="1212"/>
      <c r="C10" s="1223">
        <v>100</v>
      </c>
      <c r="D10" s="1224">
        <f>C10-$T9</f>
        <v>100</v>
      </c>
      <c r="E10" s="1224">
        <f t="shared" ref="E10:S10" si="11">D10-$T9</f>
        <v>100</v>
      </c>
      <c r="F10" s="1727">
        <f t="shared" si="11"/>
        <v>100</v>
      </c>
      <c r="G10" s="1727">
        <f t="shared" si="11"/>
        <v>100</v>
      </c>
      <c r="H10" s="1727">
        <f t="shared" si="11"/>
        <v>100</v>
      </c>
      <c r="I10" s="1727">
        <f t="shared" si="11"/>
        <v>100</v>
      </c>
      <c r="J10" s="1727">
        <f t="shared" si="11"/>
        <v>100</v>
      </c>
      <c r="K10" s="1727">
        <f t="shared" si="11"/>
        <v>100</v>
      </c>
      <c r="L10" s="1727">
        <f t="shared" si="11"/>
        <v>100</v>
      </c>
      <c r="M10" s="1727">
        <f t="shared" si="11"/>
        <v>100</v>
      </c>
      <c r="N10" s="1727">
        <f t="shared" si="11"/>
        <v>100</v>
      </c>
      <c r="O10" s="1727">
        <f t="shared" si="11"/>
        <v>100</v>
      </c>
      <c r="P10" s="1727">
        <f t="shared" si="11"/>
        <v>100</v>
      </c>
      <c r="Q10" s="1727">
        <f t="shared" si="11"/>
        <v>100</v>
      </c>
      <c r="R10" s="1727">
        <f t="shared" si="11"/>
        <v>100</v>
      </c>
      <c r="S10" s="1727">
        <f t="shared" si="11"/>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12">D12-$T11</f>
        <v>100</v>
      </c>
      <c r="F12" s="1122">
        <f t="shared" si="12"/>
        <v>100</v>
      </c>
      <c r="G12" s="1122">
        <f t="shared" si="12"/>
        <v>100</v>
      </c>
      <c r="H12" s="1122">
        <f t="shared" si="12"/>
        <v>100</v>
      </c>
      <c r="I12" s="1122">
        <f t="shared" si="12"/>
        <v>100</v>
      </c>
      <c r="J12" s="1122">
        <f t="shared" si="12"/>
        <v>100</v>
      </c>
      <c r="K12" s="1122">
        <f t="shared" si="12"/>
        <v>100</v>
      </c>
      <c r="L12" s="1122">
        <f t="shared" si="12"/>
        <v>100</v>
      </c>
      <c r="M12" s="1122">
        <f t="shared" si="12"/>
        <v>100</v>
      </c>
      <c r="N12" s="1122">
        <f t="shared" si="12"/>
        <v>100</v>
      </c>
      <c r="O12" s="1122">
        <f t="shared" si="12"/>
        <v>100</v>
      </c>
      <c r="P12" s="1122">
        <f t="shared" si="12"/>
        <v>100</v>
      </c>
      <c r="Q12" s="1122">
        <f t="shared" si="12"/>
        <v>100</v>
      </c>
      <c r="R12" s="1122">
        <f>Q12-$T11</f>
        <v>100</v>
      </c>
      <c r="S12" s="1122">
        <f t="shared" si="12"/>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3076</v>
      </c>
      <c r="D17" s="2970" t="s">
        <v>3078</v>
      </c>
      <c r="E17" s="2970" t="s">
        <v>3080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3076</v>
      </c>
      <c r="U19" s="795" t="s">
        <v>3081</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3078</v>
      </c>
      <c r="U20" s="795" t="s">
        <v>3082</v>
      </c>
    </row>
    <row r="21" spans="1:45" ht="15.75">
      <c r="A21" s="715" t="s">
        <v>3024</v>
      </c>
      <c r="B21" s="338">
        <f ca="1">R22</f>
        <v>32032</v>
      </c>
      <c r="C21" s="168"/>
      <c r="D21" s="168"/>
      <c r="E21" s="168"/>
      <c r="F21" s="168"/>
      <c r="G21" s="168"/>
      <c r="H21" s="168"/>
      <c r="I21" s="168"/>
      <c r="J21" s="168"/>
      <c r="K21" s="168"/>
      <c r="L21" s="168"/>
      <c r="M21" s="168"/>
      <c r="N21" s="168"/>
      <c r="O21" s="168"/>
      <c r="P21" s="168"/>
      <c r="Q21" s="168"/>
      <c r="R21" s="788"/>
      <c r="S21" s="138"/>
      <c r="T21" s="2972" t="s">
        <v>3080</v>
      </c>
      <c r="U21" s="795" t="s">
        <v>3083</v>
      </c>
    </row>
    <row r="22" spans="1:45">
      <c r="A22" s="361" t="s">
        <v>3025</v>
      </c>
      <c r="B22" s="24">
        <f>SUM(B24:B10000)</f>
        <v>2410.12</v>
      </c>
      <c r="C22" s="3087" t="s">
        <v>33</v>
      </c>
      <c r="D22" s="3088"/>
      <c r="E22" s="3088"/>
      <c r="F22" s="3088"/>
      <c r="G22" s="3088"/>
      <c r="H22" s="3088"/>
      <c r="I22" s="3088"/>
      <c r="J22" s="3088"/>
      <c r="K22" s="3088"/>
      <c r="L22" s="3088"/>
      <c r="M22" s="3088"/>
      <c r="N22" s="3088"/>
      <c r="O22" s="3088"/>
      <c r="P22" s="3088"/>
      <c r="Q22" s="3231"/>
      <c r="R22" s="716">
        <f ca="1">ROUND(S22*10000/B22,0)</f>
        <v>32032</v>
      </c>
      <c r="S22" s="2976">
        <f ca="1">SUM(S24:S10000)</f>
        <v>7720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20A</v>
      </c>
      <c r="B24" s="718">
        <f>'数据-基础表'!I13</f>
        <v>208.21</v>
      </c>
      <c r="C24" s="719">
        <v>1</v>
      </c>
      <c r="D24" s="720"/>
      <c r="E24" s="719">
        <v>1</v>
      </c>
      <c r="F24" s="720"/>
      <c r="G24" s="719">
        <v>1</v>
      </c>
      <c r="H24" s="720"/>
      <c r="I24" s="719">
        <v>1</v>
      </c>
      <c r="J24" s="720"/>
      <c r="K24" s="719">
        <v>1</v>
      </c>
      <c r="L24" s="720"/>
      <c r="M24" s="719">
        <v>1</v>
      </c>
      <c r="N24" s="720"/>
      <c r="O24" s="719">
        <v>1</v>
      </c>
      <c r="P24" s="720" t="s">
        <v>3079</v>
      </c>
      <c r="Q24" s="719">
        <v>1</v>
      </c>
      <c r="R24" s="721">
        <f ca="1">'结果表-办公'!G20</f>
        <v>31925</v>
      </c>
      <c r="S24" s="719">
        <f t="shared" ref="S24:S54" ca="1" si="13">ROUND(R24*B24/10000,0)</f>
        <v>665</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20B</v>
      </c>
      <c r="B25" s="718">
        <f>'数据-基础表'!I14</f>
        <v>395.51</v>
      </c>
      <c r="C25" s="24">
        <f>IF(B25="",1,(LOOKUP(B25,$3:$3,$4:$4)-LOOKUP($B$24,$3:$3,$4:$4)+100)/100)</f>
        <v>1.0049999999999999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3079</v>
      </c>
      <c r="Q25" s="24">
        <f>(SUMIF($17:$17,P25,$18:$18)-SUMIF($17:$17,$P$24,$18:$18)+100)/100</f>
        <v>1</v>
      </c>
      <c r="R25" s="716">
        <f ca="1">IF(B25="",0,ROUND($R$24*C25*E25*G25*I25*K25*M25*O25*Q25,0))</f>
        <v>32085</v>
      </c>
      <c r="S25" s="361">
        <f t="shared" ca="1" si="13"/>
        <v>1269</v>
      </c>
    </row>
    <row r="26" spans="1:45">
      <c r="A26" s="718" t="str">
        <f>'数据-基础表'!C15</f>
        <v>20C</v>
      </c>
      <c r="B26" s="718">
        <f>'数据-基础表'!I15</f>
        <v>205.83</v>
      </c>
      <c r="C26" s="24">
        <f t="shared" ref="C26:C89" si="14">IF(B26="",1,(LOOKUP(B26,$3:$3,$4:$4)-LOOKUP($B$24,$3:$3,$4:$4)+100)/100)</f>
        <v>1</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t="s">
        <v>3079</v>
      </c>
      <c r="Q26" s="24">
        <f t="shared" ref="Q26:Q89" si="21">(SUMIF($17:$17,P26,$18:$18)-SUMIF($17:$17,$P$24,$18:$18)+100)/100</f>
        <v>1</v>
      </c>
      <c r="R26" s="716">
        <f t="shared" ref="R26:R89" ca="1" si="22">IF(B26="",0,ROUND($R$24*C26*E26*G26*I26*K26*M26*O26*Q26,0))</f>
        <v>31925</v>
      </c>
      <c r="S26" s="361">
        <f t="shared" ca="1" si="13"/>
        <v>657</v>
      </c>
    </row>
    <row r="27" spans="1:45">
      <c r="A27" s="718" t="str">
        <f>'数据-基础表'!C16</f>
        <v>20D</v>
      </c>
      <c r="B27" s="718">
        <f>'数据-基础表'!I16</f>
        <v>395.51</v>
      </c>
      <c r="C27" s="24">
        <f t="shared" si="14"/>
        <v>1.0049999999999999</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t="s">
        <v>3079</v>
      </c>
      <c r="Q27" s="24">
        <f t="shared" si="21"/>
        <v>1</v>
      </c>
      <c r="R27" s="716">
        <f t="shared" ca="1" si="22"/>
        <v>32085</v>
      </c>
      <c r="S27" s="361">
        <f t="shared" ca="1" si="13"/>
        <v>1269</v>
      </c>
    </row>
    <row r="28" spans="1:45">
      <c r="A28" s="718" t="str">
        <f>'数据-基础表'!C17</f>
        <v>21A</v>
      </c>
      <c r="B28" s="718">
        <f>'数据-基础表'!I17</f>
        <v>208.21</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t="s">
        <v>3079</v>
      </c>
      <c r="Q28" s="24">
        <f t="shared" si="21"/>
        <v>1</v>
      </c>
      <c r="R28" s="716">
        <f t="shared" ca="1" si="22"/>
        <v>31925</v>
      </c>
      <c r="S28" s="361">
        <f t="shared" ca="1" si="13"/>
        <v>665</v>
      </c>
    </row>
    <row r="29" spans="1:45">
      <c r="A29" s="718" t="str">
        <f>'数据-基础表'!C18</f>
        <v>21B</v>
      </c>
      <c r="B29" s="718">
        <f>'数据-基础表'!I18</f>
        <v>395.51</v>
      </c>
      <c r="C29" s="24">
        <f t="shared" si="14"/>
        <v>1.0049999999999999</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t="s">
        <v>3079</v>
      </c>
      <c r="Q29" s="24">
        <f t="shared" si="21"/>
        <v>1</v>
      </c>
      <c r="R29" s="716">
        <f t="shared" ca="1" si="22"/>
        <v>32085</v>
      </c>
      <c r="S29" s="361">
        <f t="shared" ca="1" si="13"/>
        <v>1269</v>
      </c>
    </row>
    <row r="30" spans="1:45">
      <c r="A30" s="718" t="str">
        <f>'数据-基础表'!C19</f>
        <v>21C</v>
      </c>
      <c r="B30" s="718">
        <f>'数据-基础表'!I19</f>
        <v>205.83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t="s">
        <v>3079</v>
      </c>
      <c r="Q30" s="24">
        <f t="shared" si="21"/>
        <v>1</v>
      </c>
      <c r="R30" s="716">
        <f t="shared" ca="1" si="22"/>
        <v>31925</v>
      </c>
      <c r="S30" s="361">
        <f t="shared" ca="1" si="13"/>
        <v>657</v>
      </c>
    </row>
    <row r="31" spans="1:45">
      <c r="A31" s="718" t="str">
        <f>'数据-基础表'!C20</f>
        <v>21D</v>
      </c>
      <c r="B31" s="718">
        <f>'数据-基础表'!I20</f>
        <v>395.51</v>
      </c>
      <c r="C31" s="24">
        <f t="shared" si="14"/>
        <v>1.0049999999999999</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t="s">
        <v>3079</v>
      </c>
      <c r="Q31" s="24">
        <f t="shared" si="21"/>
        <v>1</v>
      </c>
      <c r="R31" s="716">
        <f t="shared" ca="1" si="22"/>
        <v>32085</v>
      </c>
      <c r="S31" s="361">
        <f t="shared" ca="1" si="13"/>
        <v>1269</v>
      </c>
    </row>
    <row r="32" spans="1:45">
      <c r="A32" s="718"/>
      <c r="B32" s="59"/>
      <c r="C32" s="24">
        <f t="shared" si="14"/>
        <v>1</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si="22"/>
        <v>0</v>
      </c>
      <c r="S32" s="361">
        <f t="shared" si="13"/>
        <v>0</v>
      </c>
    </row>
    <row r="33" spans="1:19">
      <c r="A33" s="718"/>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718"/>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718"/>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718"/>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718"/>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718"/>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718"/>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718"/>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718"/>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718"/>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718"/>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t="s">
        <v>3049</v>
      </c>
      <c r="D1" s="2421"/>
      <c r="E1" s="2421"/>
      <c r="F1" s="2423" t="s">
        <v>2119</v>
      </c>
      <c r="G1" s="2072" t="s">
        <v>3084</v>
      </c>
      <c r="H1" s="2424" t="str">
        <f>IF(G1="现房","——","估价对象范围")</f>
        <v>——</v>
      </c>
      <c r="I1" s="2425" t="s">
        <v>3085</v>
      </c>
    </row>
    <row r="2" spans="1:12" ht="21.75" customHeight="1" thickBot="1">
      <c r="A2" s="3151" t="str">
        <f>项目基本情况!S2</f>
        <v>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8" t="s">
        <v>2121</v>
      </c>
      <c r="B4" s="2429" t="s">
        <v>2122</v>
      </c>
      <c r="C4" s="2430" t="s">
        <v>3111</v>
      </c>
      <c r="D4" s="2430" t="s">
        <v>3143</v>
      </c>
      <c r="E4" s="3135" t="s">
        <v>2123</v>
      </c>
      <c r="F4" s="3148"/>
      <c r="G4" s="3148"/>
      <c r="H4" s="3148"/>
      <c r="I4" s="3136"/>
      <c r="K4" s="2431" t="str">
        <f>IF(ISNUMBER(FIND("比较法",'结果表-车位'!C4)),"比较法",IF(ISNUMBER(FIND("成本法",'结果表-车位'!C4)),"成本法",IF(ISNUMBER(FIND("假设开发法",'结果表-车位'!C4)),"假设开发法",IF(ISNUMBER(FIND("收益法",'结果表-车位'!C4)),"收益法","基准地价系数修正法"))))</f>
        <v>比较法</v>
      </c>
      <c r="L4" s="243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26" t="s">
        <v>2124</v>
      </c>
      <c r="B5" s="3052">
        <v>25</v>
      </c>
      <c r="C5" s="3156"/>
      <c r="D5" s="3144"/>
      <c r="E5" s="140" t="s">
        <v>2125</v>
      </c>
      <c r="F5" s="2432"/>
      <c r="G5" s="2432"/>
      <c r="H5" s="2432"/>
      <c r="I5" s="1833"/>
    </row>
    <row r="6" spans="1:12" ht="12.75">
      <c r="A6" s="3126"/>
      <c r="B6" s="3052"/>
      <c r="C6" s="3158"/>
      <c r="D6" s="3144"/>
      <c r="E6" s="140" t="s">
        <v>2126</v>
      </c>
      <c r="F6" s="2432"/>
      <c r="G6" s="2432"/>
      <c r="H6" s="2432"/>
      <c r="I6" s="1833"/>
    </row>
    <row r="7" spans="1:12" ht="12.75">
      <c r="A7" s="3126"/>
      <c r="B7" s="3052"/>
      <c r="C7" s="3157"/>
      <c r="D7" s="3144"/>
      <c r="E7" s="140" t="s">
        <v>2127</v>
      </c>
      <c r="F7" s="2432"/>
      <c r="G7" s="2432"/>
      <c r="H7" s="2432"/>
      <c r="I7" s="1833"/>
    </row>
    <row r="8" spans="1:12" ht="12.75">
      <c r="A8" s="3126" t="s">
        <v>2128</v>
      </c>
      <c r="B8" s="3052">
        <v>15</v>
      </c>
      <c r="C8" s="3156"/>
      <c r="D8" s="3144"/>
      <c r="E8" s="140" t="s">
        <v>2129</v>
      </c>
      <c r="F8" s="2432"/>
      <c r="G8" s="2432"/>
      <c r="H8" s="2432"/>
      <c r="I8" s="1833"/>
    </row>
    <row r="9" spans="1:12" ht="12.75">
      <c r="A9" s="3126"/>
      <c r="B9" s="3052"/>
      <c r="C9" s="3157"/>
      <c r="D9" s="3144"/>
      <c r="E9" s="140" t="s">
        <v>2130</v>
      </c>
      <c r="F9" s="2432"/>
      <c r="G9" s="2432"/>
      <c r="H9" s="2432"/>
      <c r="I9" s="1833"/>
    </row>
    <row r="10" spans="1:12" ht="12.75">
      <c r="A10" s="3126" t="s">
        <v>2131</v>
      </c>
      <c r="B10" s="3052">
        <v>15</v>
      </c>
      <c r="C10" s="3156"/>
      <c r="D10" s="3144"/>
      <c r="E10" s="140" t="s">
        <v>2132</v>
      </c>
      <c r="F10" s="2432"/>
      <c r="G10" s="2432"/>
      <c r="H10" s="2432"/>
      <c r="I10" s="1833"/>
    </row>
    <row r="11" spans="1:12" ht="12.75">
      <c r="A11" s="3126"/>
      <c r="B11" s="3052"/>
      <c r="C11" s="3157"/>
      <c r="D11" s="3144"/>
      <c r="E11" s="140" t="s">
        <v>2133</v>
      </c>
      <c r="F11" s="2432"/>
      <c r="G11" s="2432"/>
      <c r="H11" s="2432"/>
      <c r="I11" s="1833"/>
    </row>
    <row r="12" spans="1:12" ht="12.75">
      <c r="A12" s="3126" t="s">
        <v>2134</v>
      </c>
      <c r="B12" s="3052">
        <v>15</v>
      </c>
      <c r="C12" s="3156"/>
      <c r="D12" s="3144"/>
      <c r="E12" s="140" t="s">
        <v>2135</v>
      </c>
      <c r="F12" s="2432"/>
      <c r="G12" s="2432"/>
      <c r="H12" s="2432"/>
      <c r="I12" s="1833"/>
    </row>
    <row r="13" spans="1:12" ht="12.75">
      <c r="A13" s="3126"/>
      <c r="B13" s="3052"/>
      <c r="C13" s="3157"/>
      <c r="D13" s="3144"/>
      <c r="E13" s="140" t="s">
        <v>2136</v>
      </c>
      <c r="F13" s="2432"/>
      <c r="G13" s="2432"/>
      <c r="H13" s="2432"/>
      <c r="I13" s="1833"/>
    </row>
    <row r="14" spans="1:12" ht="12.75">
      <c r="A14" s="3126" t="s">
        <v>2137</v>
      </c>
      <c r="B14" s="3052">
        <v>30</v>
      </c>
      <c r="C14" s="3156">
        <v>4</v>
      </c>
      <c r="D14" s="3144">
        <f>10-C14</f>
        <v>6</v>
      </c>
      <c r="E14" s="140" t="s">
        <v>2138</v>
      </c>
      <c r="F14" s="2432"/>
      <c r="G14" s="2432"/>
      <c r="H14" s="2432"/>
      <c r="I14" s="1833"/>
    </row>
    <row r="15" spans="1:12" ht="12.75">
      <c r="A15" s="3126"/>
      <c r="B15" s="3052"/>
      <c r="C15" s="3158"/>
      <c r="D15" s="3144"/>
      <c r="E15" s="140" t="s">
        <v>2139</v>
      </c>
      <c r="F15" s="2432"/>
      <c r="G15" s="2432"/>
      <c r="H15" s="2432"/>
      <c r="I15" s="1833"/>
    </row>
    <row r="16" spans="1:12" ht="12.75">
      <c r="A16" s="3126"/>
      <c r="B16" s="3052"/>
      <c r="C16" s="3157"/>
      <c r="D16" s="3144"/>
      <c r="E16" s="140" t="s">
        <v>2140</v>
      </c>
      <c r="F16" s="2432"/>
      <c r="G16" s="2432"/>
      <c r="H16" s="2432"/>
      <c r="I16" s="1833"/>
    </row>
    <row r="17" spans="1:35" ht="15">
      <c r="A17" s="2433" t="s">
        <v>2141</v>
      </c>
      <c r="B17" s="64"/>
      <c r="C17" s="141">
        <f>SUM(C5:C16)</f>
        <v>4</v>
      </c>
      <c r="D17" s="141">
        <f>SUM(D5:D16)</f>
        <v>6</v>
      </c>
      <c r="E17" s="138"/>
      <c r="F17" s="138"/>
      <c r="G17" s="138"/>
      <c r="H17" s="138"/>
      <c r="I17" s="138"/>
      <c r="K17" s="2431"/>
      <c r="L17" s="2434" t="s">
        <v>2142</v>
      </c>
      <c r="M17" s="2434" t="s">
        <v>2143</v>
      </c>
    </row>
    <row r="18" spans="1:35" ht="15.75" thickBot="1">
      <c r="A18" s="2435" t="s">
        <v>2144</v>
      </c>
      <c r="B18" s="2436"/>
      <c r="C18" s="142">
        <f>ROUND(C17/SUM(C17:D17),2)</f>
        <v>0.4</v>
      </c>
      <c r="D18" s="142">
        <f>1-C18</f>
        <v>0.6</v>
      </c>
      <c r="E18" s="138"/>
      <c r="F18" s="138"/>
      <c r="G18" s="138"/>
      <c r="H18" s="138"/>
      <c r="I18" s="138"/>
      <c r="K18" s="2431" t="s">
        <v>2145</v>
      </c>
      <c r="L18" s="2431">
        <f>IF(C1="",'数据-汇总表'!E3,SUMIF(项目类型,C1,'数据-汇总表'!E17:E26)+SUMIF(项目类型,C1,'数据-汇总表'!I17:I26))</f>
        <v>62.3</v>
      </c>
      <c r="M18" s="2431">
        <f>IF(C1="",'数据-汇总表'!E3,SUMIF(项目类型,C1,'数据-汇总表'!E17:E26))</f>
        <v>62.3</v>
      </c>
    </row>
    <row r="19" spans="1:35" ht="15">
      <c r="A19" s="2437" t="s">
        <v>2146</v>
      </c>
      <c r="B19" s="2438" t="s">
        <v>2147</v>
      </c>
      <c r="C19" s="143">
        <f ca="1">SUMIF(INDIRECT("'"&amp;C4&amp;"'"&amp;"!A:A"),'结果表-车位'!B19,INDIRECT("'"&amp;C4&amp;"'"&amp;"!B:B"))</f>
        <v>33</v>
      </c>
      <c r="D19" s="144">
        <f ca="1">SUMIF(INDIRECT("'"&amp;D4&amp;"'"&amp;"!A:A"),'结果表-车位'!B19,INDIRECT("'"&amp;D4&amp;"'"&amp;"!B:B"))</f>
        <v>18</v>
      </c>
      <c r="E19" s="2437" t="s">
        <v>2148</v>
      </c>
      <c r="F19" s="2438" t="s">
        <v>2147</v>
      </c>
      <c r="G19" s="145">
        <f ca="1">ROUND(C19*$C$18+D19*$D$18,0)</f>
        <v>24</v>
      </c>
      <c r="H19" s="2439" t="s">
        <v>2149</v>
      </c>
      <c r="I19" s="138"/>
      <c r="K19" s="2431" t="s">
        <v>2150</v>
      </c>
      <c r="L19" s="2431">
        <f>IF(C1="",'数据-汇总表'!D3,SUMIF(项目类型,C1,'数据-汇总表'!D17:D26)+SUMIF(项目类型,C1,'数据-汇总表'!H17:H27))</f>
        <v>0</v>
      </c>
      <c r="M19" s="2431">
        <f>IF(C1="",'数据-汇总表'!D3,SUMIF(项目类型,C1,'数据-汇总表'!D17:D26))</f>
        <v>0</v>
      </c>
    </row>
    <row r="20" spans="1:35" ht="15">
      <c r="A20" s="2440"/>
      <c r="B20" s="1249" t="s">
        <v>2151</v>
      </c>
      <c r="C20" s="146">
        <f ca="1">SUMIF(INDIRECT("'"&amp;C4&amp;"'"&amp;"!A:A"),'结果表-车位'!B20,INDIRECT("'"&amp;C4&amp;"'"&amp;"!B:B"))</f>
        <v>5297</v>
      </c>
      <c r="D20" s="147">
        <f ca="1">SUMIF(INDIRECT("'"&amp;D4&amp;"'"&amp;"!A:A"),'结果表-车位'!B20,INDIRECT("'"&amp;D4&amp;"'"&amp;"!B:B"))</f>
        <v>2885</v>
      </c>
      <c r="E20" s="2440"/>
      <c r="F20" s="1249" t="s">
        <v>2151</v>
      </c>
      <c r="G20" s="148">
        <f ca="1">ROUND(C20*$C$18+D20*$D$18,0)</f>
        <v>3850</v>
      </c>
      <c r="H20" s="983" t="s">
        <v>2152</v>
      </c>
      <c r="I20" s="138"/>
    </row>
    <row r="21" spans="1:35" ht="15" customHeight="1" thickBot="1">
      <c r="A21" s="1003"/>
      <c r="B21" s="2441" t="s">
        <v>2153</v>
      </c>
      <c r="C21" s="789" t="e">
        <f ca="1">ROUND(C19*10000/L19,0)</f>
        <v>#DIV/0!</v>
      </c>
      <c r="D21" s="790" t="e">
        <f ca="1">ROUND(D19*10000/L19,0)</f>
        <v>#DIV/0!</v>
      </c>
      <c r="E21" s="1003"/>
      <c r="F21" s="2441" t="s">
        <v>2153</v>
      </c>
      <c r="G21" s="149" t="e">
        <f ca="1">ROUND(G19*10000/L19,0)</f>
        <v>#DIV/0!</v>
      </c>
      <c r="H21" s="2442" t="s">
        <v>2152</v>
      </c>
      <c r="I21" s="138"/>
    </row>
    <row r="22" spans="1:35" ht="15" thickBot="1">
      <c r="A22" s="2283" t="s">
        <v>2154</v>
      </c>
      <c r="B22" s="2443"/>
      <c r="C22" s="2444"/>
      <c r="D22" s="791">
        <f ca="1">IF(C19&lt;D19,D19/C19-1,C19/D19-1)</f>
        <v>0.83333333333333326</v>
      </c>
      <c r="E22" s="138"/>
      <c r="F22" s="138"/>
      <c r="G22" s="138"/>
      <c r="H22" s="138"/>
      <c r="I22" s="138"/>
    </row>
    <row r="23" spans="1:35" ht="13.5" thickBot="1">
      <c r="A23" s="2421"/>
      <c r="B23" s="2421"/>
      <c r="C23" s="2421"/>
      <c r="D23" s="2421"/>
      <c r="E23" s="138"/>
      <c r="F23" s="138"/>
      <c r="G23" s="138"/>
      <c r="H23" s="138"/>
      <c r="I23" s="138"/>
    </row>
    <row r="24" spans="1:35" ht="14.25">
      <c r="A24" s="3165" t="s">
        <v>2155</v>
      </c>
      <c r="B24" s="2438" t="s">
        <v>2147</v>
      </c>
      <c r="C24" s="145">
        <f>IF(B30=0,0,D30)</f>
        <v>0</v>
      </c>
      <c r="D24" s="2445"/>
      <c r="E24" s="138"/>
      <c r="F24" s="138"/>
      <c r="G24" s="138"/>
      <c r="H24" s="138"/>
      <c r="I24" s="138"/>
    </row>
    <row r="25" spans="1:35" ht="14.25">
      <c r="A25" s="3166"/>
      <c r="B25" s="1249"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24</v>
      </c>
      <c r="D32" s="2452" t="s">
        <v>2162</v>
      </c>
      <c r="E32" s="138"/>
      <c r="F32" s="138"/>
      <c r="G32" s="138"/>
      <c r="H32" s="138"/>
      <c r="I32" s="138"/>
    </row>
    <row r="33" spans="1:15" ht="15">
      <c r="A33" s="960" t="s">
        <v>2163</v>
      </c>
      <c r="B33" s="2453"/>
      <c r="C33" s="2454"/>
      <c r="D33" s="2455"/>
      <c r="E33" s="2456" t="s">
        <v>2164</v>
      </c>
      <c r="F33" s="2948" t="str">
        <f>IF(D32="楼面单价","取值（单价）","取值（总价）")</f>
        <v>取值（总价）</v>
      </c>
      <c r="G33" s="138"/>
      <c r="H33" s="138"/>
      <c r="I33" s="138"/>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8"/>
      <c r="G34" s="138"/>
      <c r="H34" s="138"/>
      <c r="I34" s="138"/>
    </row>
    <row r="35" spans="1:15" ht="15.75" thickBot="1">
      <c r="A35" s="2461"/>
      <c r="B35" s="2462"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75" thickBot="1">
      <c r="A36" s="3145" t="s">
        <v>2169</v>
      </c>
      <c r="B36" s="2464" t="s">
        <v>2170</v>
      </c>
      <c r="C36" s="154"/>
      <c r="D36" s="2465"/>
      <c r="E36" s="2466"/>
      <c r="F36" s="2467"/>
      <c r="G36" s="138"/>
      <c r="H36" s="138"/>
      <c r="I36" s="138"/>
    </row>
    <row r="37" spans="1:15" ht="15.75" thickBot="1">
      <c r="A37" s="3146"/>
      <c r="B37" s="2269" t="s">
        <v>2171</v>
      </c>
      <c r="C37" s="156"/>
      <c r="D37" s="1394"/>
      <c r="E37" s="1394"/>
      <c r="F37" s="2467"/>
      <c r="G37" s="138"/>
      <c r="H37" s="138"/>
      <c r="I37" s="138"/>
    </row>
    <row r="38" spans="1:15" ht="15.75" thickBot="1">
      <c r="A38" s="3147"/>
      <c r="B38" s="2468" t="s">
        <v>2172</v>
      </c>
      <c r="C38" s="727"/>
      <c r="D38" s="2469" t="s">
        <v>2173</v>
      </c>
      <c r="E38" s="1394"/>
      <c r="F38" s="2467"/>
      <c r="G38" s="138"/>
      <c r="H38" s="138"/>
      <c r="I38" s="138"/>
    </row>
    <row r="39" spans="1:15" ht="15">
      <c r="A39" s="2440" t="s">
        <v>2174</v>
      </c>
      <c r="B39" s="2470" t="s">
        <v>2157</v>
      </c>
      <c r="C39" s="2471" t="s">
        <v>2158</v>
      </c>
      <c r="D39" s="2471" t="s">
        <v>2177</v>
      </c>
      <c r="E39" s="2472" t="s">
        <v>2159</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62" t="s">
        <v>2183</v>
      </c>
      <c r="B45" s="3163"/>
      <c r="C45" s="3164"/>
      <c r="D45" s="164">
        <f ca="1">ROUND(H101*F45,0)</f>
        <v>24</v>
      </c>
      <c r="E45" s="165" t="s">
        <v>2184</v>
      </c>
      <c r="F45" s="166">
        <v>1</v>
      </c>
      <c r="G45" s="167" t="s">
        <v>2185</v>
      </c>
      <c r="H45" s="138"/>
      <c r="I45" s="138"/>
      <c r="J45" s="3081" t="s">
        <v>2186</v>
      </c>
      <c r="K45" s="3081"/>
      <c r="L45" s="3081"/>
      <c r="M45" s="3081"/>
      <c r="N45" s="3081"/>
      <c r="O45" s="3081"/>
    </row>
    <row r="46" spans="1:15" ht="14.25" customHeight="1">
      <c r="A46" s="3159" t="s">
        <v>2187</v>
      </c>
      <c r="B46" s="3160"/>
      <c r="C46" s="3160"/>
      <c r="D46" s="3160"/>
      <c r="E46" s="3160"/>
      <c r="F46" s="3160"/>
      <c r="G46" s="3161"/>
      <c r="H46" s="2483"/>
      <c r="I46" s="168"/>
      <c r="J46" s="2960">
        <v>1</v>
      </c>
      <c r="K46" s="3081" t="s">
        <v>2188</v>
      </c>
      <c r="L46" s="3081"/>
      <c r="M46" s="3082"/>
      <c r="N46" s="3082"/>
      <c r="O46" s="3082"/>
    </row>
    <row r="47" spans="1:15" ht="12" customHeight="1">
      <c r="A47" s="169" t="s">
        <v>2189</v>
      </c>
      <c r="B47" s="170"/>
      <c r="C47" s="171"/>
      <c r="D47" s="172" t="s">
        <v>2190</v>
      </c>
      <c r="E47" s="24" t="s">
        <v>2191</v>
      </c>
      <c r="F47" s="173" t="s">
        <v>2192</v>
      </c>
      <c r="G47" s="174" t="s">
        <v>2193</v>
      </c>
      <c r="H47" s="2483"/>
      <c r="I47" s="168"/>
      <c r="J47" s="2960">
        <v>2</v>
      </c>
      <c r="K47" s="3081" t="s">
        <v>2194</v>
      </c>
      <c r="L47" s="3081"/>
      <c r="M47" s="3083">
        <f>'数据-取费表'!B2</f>
        <v>43270</v>
      </c>
      <c r="N47" s="3083"/>
      <c r="O47" s="3083"/>
    </row>
    <row r="48" spans="1:15" ht="25.5">
      <c r="A48" s="3149" t="s">
        <v>2195</v>
      </c>
      <c r="B48" s="3150"/>
      <c r="C48" s="3150"/>
      <c r="D48" s="140">
        <f>IF(H48="情况1",0,IF(H48="情况2",D52,IF(H48="情况3",D53,IF(H48="情况4",D54))))</f>
        <v>0</v>
      </c>
      <c r="E48" s="2952" t="str">
        <f>IF(H48="情况4","(销售额-原购置价)×税（费）率","销售额×税（费）率")</f>
        <v>销售额×税（费）率</v>
      </c>
      <c r="F48" s="175" t="str">
        <f>IF(H48="情况1","免征",'数据-取费表'!B41)</f>
        <v>免征</v>
      </c>
      <c r="G48" s="2484" t="s">
        <v>2196</v>
      </c>
      <c r="H48" s="2485" t="s">
        <v>2197</v>
      </c>
      <c r="I48" s="2483"/>
      <c r="J48" s="2960">
        <v>3</v>
      </c>
      <c r="K48" s="3081" t="s">
        <v>2198</v>
      </c>
      <c r="L48" s="3081"/>
      <c r="M48" s="3084">
        <f ca="1">H101</f>
        <v>24</v>
      </c>
      <c r="N48" s="3084"/>
      <c r="O48" s="3084"/>
    </row>
    <row r="49" spans="1:35" ht="25.5" customHeight="1">
      <c r="A49" s="176" t="s">
        <v>2199</v>
      </c>
      <c r="B49" s="3129" t="s">
        <v>2200</v>
      </c>
      <c r="C49" s="3129"/>
      <c r="D49" s="177">
        <v>0</v>
      </c>
      <c r="E49" s="23" t="s">
        <v>2201</v>
      </c>
      <c r="F49" s="28" t="s">
        <v>34</v>
      </c>
      <c r="G49" s="3110"/>
      <c r="H49" s="138"/>
      <c r="I49" s="2486"/>
      <c r="J49" s="2960">
        <v>4</v>
      </c>
      <c r="K49" s="3081" t="str">
        <f>IF(项目基本情况!E8="房地产抵押价值","房地产抵押价值","抵押担保权已注销时的房地产抵押价值")</f>
        <v>房地产抵押价值</v>
      </c>
      <c r="L49" s="3081"/>
      <c r="M49" s="3084">
        <f ca="1">IF(项目基本情况!E8="房地产抵押价值",H107,H109)</f>
        <v>24</v>
      </c>
      <c r="N49" s="3084"/>
      <c r="O49" s="3084"/>
    </row>
    <row r="50" spans="1:35" ht="25.5" customHeight="1">
      <c r="A50" s="178"/>
      <c r="B50" s="3129" t="s">
        <v>2202</v>
      </c>
      <c r="C50" s="3129"/>
      <c r="D50" s="179"/>
      <c r="E50" s="31"/>
      <c r="F50" s="180"/>
      <c r="G50" s="3111"/>
      <c r="H50" s="138"/>
      <c r="I50" s="2486"/>
      <c r="J50" s="3081" t="s">
        <v>2203</v>
      </c>
      <c r="K50" s="3081"/>
      <c r="L50" s="3081"/>
      <c r="M50" s="3081"/>
      <c r="N50" s="3081"/>
      <c r="O50" s="3081"/>
    </row>
    <row r="51" spans="1:35" ht="12" customHeight="1">
      <c r="A51" s="181"/>
      <c r="B51" s="3129" t="s">
        <v>2204</v>
      </c>
      <c r="C51" s="3129"/>
      <c r="D51" s="182"/>
      <c r="E51" s="30"/>
      <c r="F51" s="180"/>
      <c r="G51" s="3112"/>
      <c r="H51" s="138"/>
      <c r="I51" s="2486"/>
      <c r="J51" s="2959" t="s">
        <v>2205</v>
      </c>
      <c r="K51" s="3081" t="s">
        <v>2206</v>
      </c>
      <c r="L51" s="3081"/>
      <c r="M51" s="2959" t="s">
        <v>2207</v>
      </c>
      <c r="N51" s="2959" t="s">
        <v>2208</v>
      </c>
      <c r="O51" s="2959" t="s">
        <v>2209</v>
      </c>
    </row>
    <row r="52" spans="1:35" ht="24" customHeight="1">
      <c r="A52" s="183" t="s">
        <v>2210</v>
      </c>
      <c r="B52" s="3129" t="s">
        <v>2211</v>
      </c>
      <c r="C52" s="3129"/>
      <c r="D52" s="182">
        <f ca="1">ROUND(D45*'数据-取费表'!B41/(1+'数据-取费表'!C42),0)</f>
        <v>1</v>
      </c>
      <c r="E52" s="11" t="s">
        <v>2212</v>
      </c>
      <c r="F52" s="184">
        <f>'数据-取费表'!B41</f>
        <v>5.6000000000000001E-2</v>
      </c>
      <c r="G52" s="2488"/>
      <c r="H52" s="138"/>
      <c r="I52" s="2486"/>
      <c r="J52" s="2960">
        <v>1</v>
      </c>
      <c r="K52" s="3104" t="s">
        <v>2213</v>
      </c>
      <c r="L52" s="3104"/>
      <c r="M52" s="1753">
        <f>D48</f>
        <v>0</v>
      </c>
      <c r="N52" s="2960" t="str">
        <f>E48</f>
        <v>销售额×税（费）率</v>
      </c>
      <c r="O52" s="1754" t="str">
        <f>F48</f>
        <v>免征</v>
      </c>
    </row>
    <row r="53" spans="1:35" ht="12" customHeight="1">
      <c r="A53" s="183" t="s">
        <v>2214</v>
      </c>
      <c r="B53" s="3130" t="s">
        <v>2215</v>
      </c>
      <c r="C53" s="3131"/>
      <c r="D53" s="182">
        <f ca="1">ROUND(D45*'数据-取费表'!B41/(1+'数据-取费表'!C42),0)</f>
        <v>1</v>
      </c>
      <c r="E53" s="11" t="s">
        <v>2212</v>
      </c>
      <c r="F53" s="184">
        <f>'数据-取费表'!B41</f>
        <v>5.6000000000000001E-2</v>
      </c>
      <c r="G53" s="2488"/>
      <c r="H53" s="138"/>
      <c r="I53" s="2486"/>
      <c r="J53" s="2960">
        <v>2</v>
      </c>
      <c r="K53" s="3104" t="s">
        <v>2216</v>
      </c>
      <c r="L53" s="3104"/>
      <c r="M53" s="1753">
        <f t="shared" ref="M53:O54" ca="1" si="0">D55</f>
        <v>0</v>
      </c>
      <c r="N53" s="2960" t="str">
        <f t="shared" si="0"/>
        <v>销售额×税（费）率</v>
      </c>
      <c r="O53" s="1754">
        <f t="shared" si="0"/>
        <v>5.0000000000000001E-4</v>
      </c>
    </row>
    <row r="54" spans="1:35" ht="12" customHeight="1">
      <c r="A54" s="183" t="s">
        <v>2217</v>
      </c>
      <c r="B54" s="3130" t="s">
        <v>2218</v>
      </c>
      <c r="C54" s="3131"/>
      <c r="D54" s="182">
        <f ca="1">C68</f>
        <v>1</v>
      </c>
      <c r="E54" s="30" t="s">
        <v>2219</v>
      </c>
      <c r="F54" s="184">
        <f>'数据-取费表'!B41</f>
        <v>5.6000000000000001E-2</v>
      </c>
      <c r="G54" s="2488"/>
      <c r="H54" s="2489"/>
      <c r="I54" s="2486"/>
      <c r="J54" s="2960">
        <v>3</v>
      </c>
      <c r="K54" s="3104" t="s">
        <v>2220</v>
      </c>
      <c r="L54" s="3104"/>
      <c r="M54" s="1753" t="e">
        <f t="shared" ca="1" si="0"/>
        <v>#DIV/0!</v>
      </c>
      <c r="N54" s="2960" t="str">
        <f t="shared" si="0"/>
        <v>增值额×税（费）率</v>
      </c>
      <c r="O54" s="1755" t="str">
        <f t="shared" si="0"/>
        <v>——</v>
      </c>
    </row>
    <row r="55" spans="1:35" ht="24" customHeight="1">
      <c r="A55" s="3168" t="s">
        <v>2221</v>
      </c>
      <c r="B55" s="3150"/>
      <c r="C55" s="3150"/>
      <c r="D55" s="185">
        <f ca="1">IF(H55="个人住宅",0,ROUND(D45*I55,0))</f>
        <v>0</v>
      </c>
      <c r="E55" s="11" t="s">
        <v>2222</v>
      </c>
      <c r="F55" s="184">
        <f>IF(H55="正常",I55,"免征")</f>
        <v>5.0000000000000001E-4</v>
      </c>
      <c r="G55" s="2488"/>
      <c r="H55" s="2485" t="s">
        <v>2223</v>
      </c>
      <c r="I55" s="186">
        <f>'数据-取费表'!B49</f>
        <v>5.0000000000000001E-4</v>
      </c>
      <c r="J55" s="2960" t="str">
        <f>IF(H59="非个人房产","",4)</f>
        <v/>
      </c>
      <c r="K55" s="3104" t="str">
        <f>IF(H59="非个人房产","——","个人所得税")</f>
        <v>——</v>
      </c>
      <c r="L55" s="3104"/>
      <c r="M55" s="1756" t="str">
        <f>D59</f>
        <v>——</v>
      </c>
      <c r="N55" s="2961" t="str">
        <f>E59</f>
        <v>——</v>
      </c>
      <c r="O55" s="1757" t="str">
        <f>F59</f>
        <v>——</v>
      </c>
    </row>
    <row r="56" spans="1:35" ht="24.75">
      <c r="A56" s="3168" t="s">
        <v>2224</v>
      </c>
      <c r="B56" s="3150"/>
      <c r="C56" s="3150"/>
      <c r="D56" s="185" t="e">
        <f ca="1">IF(H56="个人住宅",D57,D58)</f>
        <v>#DIV/0!</v>
      </c>
      <c r="E56" s="11" t="s">
        <v>2225</v>
      </c>
      <c r="F56" s="184" t="str">
        <f>IF(H56="正常",F58,"免征")</f>
        <v>——</v>
      </c>
      <c r="G56" s="2490" t="s">
        <v>2226</v>
      </c>
      <c r="H56" s="2491" t="s">
        <v>2223</v>
      </c>
      <c r="I56" s="2492"/>
      <c r="J56" s="2960" t="str">
        <f>IF(项目基本情况!K6="上海银行",IF(J55="",4,J55+1),"")</f>
        <v/>
      </c>
      <c r="K56" s="3087" t="str">
        <f>IF(项目基本情况!K6="上海银行","其他处置费用","")</f>
        <v/>
      </c>
      <c r="L56" s="3088"/>
      <c r="M56" s="1753" t="str">
        <f>IF(项目基本情况!K6="上海银行",M69,"")</f>
        <v/>
      </c>
      <c r="N56" s="3090" t="str">
        <f>IF(项目基本情况!K6="上海银行","包含处置中涉及的律师、诉讼、拍卖、评估等费用","")</f>
        <v/>
      </c>
      <c r="O56" s="3091"/>
    </row>
    <row r="57" spans="1:35" ht="12.75">
      <c r="A57" s="183" t="s">
        <v>2199</v>
      </c>
      <c r="B57" s="3135" t="s">
        <v>2227</v>
      </c>
      <c r="C57" s="3136"/>
      <c r="D57" s="187">
        <v>0</v>
      </c>
      <c r="E57" s="23" t="s">
        <v>2201</v>
      </c>
      <c r="F57" s="155"/>
      <c r="G57" s="2488"/>
      <c r="H57" s="2492"/>
      <c r="I57" s="2492"/>
      <c r="J57" s="3104">
        <f>IF(AND(J55="",J56=""),4,IF(项目基本情况!K6="上海银行",'结果表-车位'!J56+1,'结果表-车位'!J55+1))</f>
        <v>4</v>
      </c>
      <c r="K57" s="3104" t="s">
        <v>2228</v>
      </c>
      <c r="L57" s="2493" t="s">
        <v>2229</v>
      </c>
      <c r="M57" s="1758"/>
      <c r="N57" s="1759">
        <f ca="1">SUMIF(M52:M56,"&lt;9e307")</f>
        <v>0</v>
      </c>
      <c r="O57" s="2494"/>
      <c r="P57" s="1752">
        <f ca="1">N57/M49</f>
        <v>0</v>
      </c>
    </row>
    <row r="58" spans="1:35" ht="24.75">
      <c r="A58" s="183" t="s">
        <v>2210</v>
      </c>
      <c r="B58" s="3135" t="s">
        <v>2230</v>
      </c>
      <c r="C58" s="3148"/>
      <c r="D58" s="185" t="e">
        <f ca="1">IF(H58="转让取得",C81,C97)</f>
        <v>#DIV/0!</v>
      </c>
      <c r="E58" s="11" t="s">
        <v>2225</v>
      </c>
      <c r="F58" s="24" t="s">
        <v>34</v>
      </c>
      <c r="G58" s="2488"/>
      <c r="H58" s="2491" t="s">
        <v>2231</v>
      </c>
      <c r="I58" s="2492"/>
      <c r="J58" s="3104"/>
      <c r="K58" s="3104"/>
      <c r="L58" s="2493" t="s">
        <v>2232</v>
      </c>
      <c r="M58" s="1760"/>
      <c r="N58" s="2495" t="str">
        <f ca="1">NUMBERSTRING(INT(N57*10000),2)&amp;"元整"</f>
        <v>零元整</v>
      </c>
      <c r="O58" s="2496"/>
    </row>
    <row r="59" spans="1:35" ht="24.75" thickBot="1">
      <c r="A59" s="3108" t="s">
        <v>2233</v>
      </c>
      <c r="B59" s="3109"/>
      <c r="C59" s="3109"/>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06">
        <f>J57+1</f>
        <v>5</v>
      </c>
      <c r="K59" s="3104" t="s">
        <v>2235</v>
      </c>
      <c r="L59" s="2960" t="s">
        <v>2229</v>
      </c>
      <c r="M59" s="1761"/>
      <c r="N59" s="1762">
        <f ca="1">M49-N57</f>
        <v>24</v>
      </c>
      <c r="O59" s="2498"/>
    </row>
    <row r="60" spans="1:35" ht="12" customHeight="1">
      <c r="A60" s="2499"/>
      <c r="B60" s="2421"/>
      <c r="C60" s="2421"/>
      <c r="D60" s="2421"/>
      <c r="E60" s="2168"/>
      <c r="F60" s="2492"/>
      <c r="G60" s="2492"/>
      <c r="H60" s="2500"/>
      <c r="I60" s="138"/>
      <c r="J60" s="3107"/>
      <c r="K60" s="3104"/>
      <c r="L60" s="2493" t="s">
        <v>2232</v>
      </c>
      <c r="M60" s="1760"/>
      <c r="N60" s="2495" t="str">
        <f ca="1">NUMBERSTRING(INT(N59*10000),2)&amp;"元整"</f>
        <v>贰拾肆万元整</v>
      </c>
      <c r="O60" s="2496"/>
    </row>
    <row r="61" spans="1:35" ht="13.5" thickBot="1">
      <c r="A61" s="3167" t="s">
        <v>2236</v>
      </c>
      <c r="B61" s="3167"/>
      <c r="C61" s="3167"/>
      <c r="D61" s="3167"/>
      <c r="E61" s="3167"/>
      <c r="F61" s="2492"/>
      <c r="G61" s="2492"/>
      <c r="H61" s="2500"/>
      <c r="I61" s="138"/>
      <c r="J61" s="2960">
        <f>J59+1</f>
        <v>6</v>
      </c>
      <c r="K61" s="3104" t="s">
        <v>2237</v>
      </c>
      <c r="L61" s="3104"/>
      <c r="M61" s="1763"/>
      <c r="N61" s="1764">
        <f ca="1">ROUND(N59*10000/'数据-汇总表'!E3,0)</f>
        <v>887</v>
      </c>
      <c r="O61" s="2501"/>
    </row>
    <row r="62" spans="1:35" ht="12.75">
      <c r="A62" s="3124" t="s">
        <v>2238</v>
      </c>
      <c r="B62" s="3125"/>
      <c r="C62" s="2955"/>
      <c r="D62" s="2955" t="s">
        <v>2239</v>
      </c>
      <c r="E62" s="192" t="s">
        <v>2240</v>
      </c>
      <c r="F62" s="2492"/>
      <c r="G62" s="2492"/>
      <c r="H62" s="2500"/>
      <c r="I62" s="138"/>
    </row>
    <row r="63" spans="1:35" ht="12.75">
      <c r="A63" s="203" t="s">
        <v>775</v>
      </c>
      <c r="B63" s="193" t="s">
        <v>2241</v>
      </c>
      <c r="C63" s="194">
        <f ca="1">ROUND((C64+C65)/(1+'数据-取费表'!C42),0)</f>
        <v>23</v>
      </c>
      <c r="D63" s="195"/>
      <c r="E63" s="196"/>
      <c r="F63" s="2492"/>
      <c r="G63" s="2492"/>
      <c r="H63" s="2500"/>
      <c r="I63" s="138"/>
      <c r="J63" s="3089" t="s">
        <v>2242</v>
      </c>
      <c r="K63" s="2964" t="s">
        <v>2243</v>
      </c>
      <c r="L63" s="1751">
        <f ca="1">IF(M49&gt;10000,M49*0.5%,IF(AND(M49&gt;1000,M49&lt;=10000),M49*1%,IF(AND(M49&gt;100,M49&lt;=1000),M49*3%,IF(AND(M49&gt;10,M49&lt;=100),M49*5%,M49*8%))))</f>
        <v>1.2000000000000002</v>
      </c>
      <c r="M63" s="24">
        <f ca="1">ROUND(L63,1)</f>
        <v>1.2</v>
      </c>
      <c r="Z63" s="2426"/>
      <c r="AI63" s="2427"/>
    </row>
    <row r="64" spans="1:35" ht="14.25" customHeight="1">
      <c r="A64" s="197" t="s">
        <v>770</v>
      </c>
      <c r="B64" s="198" t="s">
        <v>2244</v>
      </c>
      <c r="C64" s="199">
        <f ca="1">D45</f>
        <v>24</v>
      </c>
      <c r="D64" s="200" t="s">
        <v>32</v>
      </c>
      <c r="E64" s="201"/>
      <c r="F64" s="2492"/>
      <c r="G64" s="2492"/>
      <c r="H64" s="2500"/>
      <c r="I64" s="138"/>
      <c r="J64" s="3089"/>
      <c r="K64" s="2964" t="s">
        <v>2245</v>
      </c>
      <c r="L64" s="1751">
        <f ca="1">IF(M49&gt;2000,M49*0.5%,IF(AND(M49&gt;1000,M49&lt;=2000),M49*0.6%,IF(AND(M49&gt;500,M49&lt;=1000),M49*0.7%,IF(AND(M49&gt;200,M49&lt;=500),M49*0.8%,IF(AND(M49&gt;100,M49&lt;=200),M49*0.9%,IF(AND(M49&gt;50,M49&lt;=100),M49*1%,IF(AND(M49&gt;20,M49&lt;=50),M49*1.5%,IF(AND(M49&gt;10,M49&lt;=20),M49*2%,IF(AND(M49&gt;1,M49&lt;=10),M49*2.5%)))))))))</f>
        <v>0.36</v>
      </c>
      <c r="M64" s="24">
        <f t="shared" ref="M64:M65" ca="1" si="1">ROUND(L64,1)</f>
        <v>0.4</v>
      </c>
      <c r="N64" s="138" t="s">
        <v>2246</v>
      </c>
      <c r="Z64" s="2426"/>
      <c r="AI64" s="2427"/>
    </row>
    <row r="65" spans="1:35" ht="14.25" customHeight="1">
      <c r="A65" s="197" t="s">
        <v>771</v>
      </c>
      <c r="B65" s="198" t="s">
        <v>2247</v>
      </c>
      <c r="C65" s="202"/>
      <c r="D65" s="200"/>
      <c r="E65" s="201"/>
      <c r="F65" s="2492"/>
      <c r="G65" s="2492"/>
      <c r="H65" s="2500"/>
      <c r="I65" s="138"/>
      <c r="J65" s="3089"/>
      <c r="K65" s="2964" t="s">
        <v>2248</v>
      </c>
      <c r="L65" s="1751">
        <f ca="1">IF(M49&gt;1000,M49*0.1%,IF(AND(M49&gt;500,M49&lt;=1000),M49*0.5%,IF(AND(M49&gt;50,M49&lt;=500),M49*1%,IF(AND(M49&gt;1,M49&lt;=50),M49*1.5%))))</f>
        <v>0.36</v>
      </c>
      <c r="M65" s="24">
        <f t="shared" ca="1" si="1"/>
        <v>0.4</v>
      </c>
      <c r="N65" s="138" t="s">
        <v>2246</v>
      </c>
      <c r="Z65" s="2426"/>
      <c r="AI65" s="2427"/>
    </row>
    <row r="66" spans="1:35" ht="14.25" customHeight="1">
      <c r="A66" s="203" t="s">
        <v>772</v>
      </c>
      <c r="B66" s="204" t="s">
        <v>2249</v>
      </c>
      <c r="C66" s="205"/>
      <c r="D66" s="206" t="s">
        <v>32</v>
      </c>
      <c r="E66" s="1775" t="s">
        <v>1369</v>
      </c>
      <c r="F66" s="2492"/>
      <c r="G66" s="2492"/>
      <c r="H66" s="2500"/>
      <c r="I66" s="138"/>
      <c r="J66" s="3089"/>
      <c r="K66" s="2964" t="s">
        <v>2250</v>
      </c>
      <c r="L66" s="1751">
        <f ca="1">M49*0.5%</f>
        <v>0.12</v>
      </c>
      <c r="M66" s="24">
        <f ca="1">IF(L66&gt;0.5,0.5,ROUND(L66,0))</f>
        <v>0</v>
      </c>
      <c r="N66" s="138" t="s">
        <v>2251</v>
      </c>
      <c r="Z66" s="2426"/>
      <c r="AI66" s="2427"/>
    </row>
    <row r="67" spans="1:35" ht="14.25" customHeight="1">
      <c r="A67" s="203" t="s">
        <v>773</v>
      </c>
      <c r="B67" s="204" t="s">
        <v>2252</v>
      </c>
      <c r="C67" s="207">
        <f ca="1">C63-C66</f>
        <v>23</v>
      </c>
      <c r="D67" s="200" t="s">
        <v>32</v>
      </c>
      <c r="E67" s="201"/>
      <c r="F67" s="2492"/>
      <c r="G67" s="2492"/>
      <c r="H67" s="2500"/>
      <c r="I67" s="138"/>
      <c r="J67" s="3089"/>
      <c r="K67" s="2964" t="s">
        <v>2253</v>
      </c>
      <c r="L67" s="1751">
        <f ca="1">IF(M49&gt;=10000,(8.25+(M49-10000)*0.01%),IF(AND(M49&gt;=8000,M49&lt;10000),(7.85+(M49-8000)*0.02%),IF(AND(M49&gt;=5000,M49&lt;8000),(6.65+(M49-5000)*0.04%),IF(AND(M49&gt;=2000,M49&lt;5000),(4.25+(PM49-2000)*0.08%),IF(AND(M49&gt;=1000,M49&lt;2000),(2.75+(M49-1000)*0.15%),IF(AND(M49&gt;=100,M49&lt;1000),(0.5+(M49-100)*0.25%),IF(AND(M49&gt;0,M49&lt;100),M49*0.5%)))))))</f>
        <v>0.12</v>
      </c>
      <c r="M67" s="24">
        <f ca="1">ROUND(L67*0.9,1)</f>
        <v>0.1</v>
      </c>
      <c r="Z67" s="2426"/>
      <c r="AI67" s="2427"/>
    </row>
    <row r="68" spans="1:35" ht="14.25" customHeight="1" thickBot="1">
      <c r="A68" s="208" t="s">
        <v>774</v>
      </c>
      <c r="B68" s="209" t="s">
        <v>2254</v>
      </c>
      <c r="C68" s="210">
        <f ca="1">IF(C67&lt;=0,0,ROUND(C67*D68,0))</f>
        <v>1</v>
      </c>
      <c r="D68" s="211">
        <f>'数据-取费表'!B41</f>
        <v>5.6000000000000001E-2</v>
      </c>
      <c r="E68" s="212"/>
      <c r="F68" s="2492"/>
      <c r="G68" s="2492"/>
      <c r="H68" s="2500"/>
      <c r="I68" s="138"/>
      <c r="J68" s="3089"/>
      <c r="K68" s="2964" t="s">
        <v>2255</v>
      </c>
      <c r="L68" s="1751">
        <f ca="1">IF(M49&gt;10000,M49*0.5%,IF(AND(M49&gt;5000,M49&lt;=10000),M49*1%,IF(AND(M49&gt;1000,M49&lt;=5000),M49*2%,IF(AND(M49&gt;200,M49&lt;=1000),M49*3%,M49*5%))))</f>
        <v>1.2000000000000002</v>
      </c>
      <c r="M68" s="24">
        <f ca="1">ROUND(L68,1)</f>
        <v>1.2</v>
      </c>
      <c r="Z68" s="2426"/>
      <c r="AI68" s="2427"/>
    </row>
    <row r="69" spans="1:35" s="2449" customFormat="1" ht="16.5" customHeight="1">
      <c r="A69" s="2503"/>
      <c r="B69" s="2504"/>
      <c r="C69" s="2505"/>
      <c r="D69" s="2506"/>
      <c r="E69" s="2507"/>
      <c r="F69" s="2168"/>
      <c r="G69" s="2168"/>
      <c r="H69" s="2167"/>
      <c r="I69" s="2421"/>
      <c r="J69" s="3089"/>
      <c r="K69" s="2964" t="s">
        <v>2256</v>
      </c>
      <c r="L69" s="2508"/>
      <c r="M69" s="24">
        <f ca="1">ROUND(SUM(M63:M68),0)</f>
        <v>3</v>
      </c>
      <c r="N69" s="1752">
        <f ca="1">M69/M49</f>
        <v>0.125</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33" t="s">
        <v>2257</v>
      </c>
      <c r="B70" s="3134"/>
      <c r="C70" s="3134"/>
      <c r="D70" s="3134"/>
      <c r="E70" s="3134"/>
      <c r="F70" s="3134"/>
      <c r="G70" s="3134"/>
      <c r="H70" s="313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24" t="s">
        <v>2238</v>
      </c>
      <c r="B71" s="3125"/>
      <c r="C71" s="2955"/>
      <c r="D71" s="2955"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23</v>
      </c>
      <c r="D72" s="200" t="s">
        <v>32</v>
      </c>
      <c r="E72" s="2954"/>
      <c r="F72" s="2949"/>
      <c r="G72" s="2949"/>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0</v>
      </c>
      <c r="D73" s="200" t="s">
        <v>32</v>
      </c>
      <c r="E73" s="2954"/>
      <c r="F73" s="2949"/>
      <c r="G73" s="2949"/>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2954"/>
      <c r="F74" s="2949"/>
      <c r="G74" s="2949"/>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30" t="s">
        <v>2266</v>
      </c>
      <c r="F76" s="3129"/>
      <c r="G76" s="3129"/>
      <c r="H76" s="313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2965" t="s">
        <v>2268</v>
      </c>
      <c r="F77" s="224"/>
      <c r="G77" s="2516" t="s">
        <v>2269</v>
      </c>
      <c r="H77" s="295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0</v>
      </c>
      <c r="D78" s="226">
        <f>'数据-取费表'!B43</f>
        <v>6.000000000000001E-3</v>
      </c>
      <c r="E78" s="3121" t="s">
        <v>2271</v>
      </c>
      <c r="F78" s="3122"/>
      <c r="G78" s="3122"/>
      <c r="H78" s="312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4" t="s">
        <v>2272</v>
      </c>
      <c r="C79" s="207">
        <f ca="1">C72-C73</f>
        <v>23</v>
      </c>
      <c r="D79" s="200" t="s">
        <v>32</v>
      </c>
      <c r="E79" s="2954"/>
      <c r="F79" s="2949"/>
      <c r="G79" s="2949"/>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33" t="s">
        <v>2275</v>
      </c>
      <c r="B83" s="3134"/>
      <c r="C83" s="3134"/>
      <c r="D83" s="3134"/>
      <c r="E83" s="3134"/>
      <c r="F83" s="3134"/>
      <c r="G83" s="3134"/>
      <c r="H83" s="313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24" t="s">
        <v>2238</v>
      </c>
      <c r="B84" s="3125"/>
      <c r="C84" s="2955"/>
      <c r="D84" s="2955"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23</v>
      </c>
      <c r="D85" s="200" t="s">
        <v>32</v>
      </c>
      <c r="E85" s="2954"/>
      <c r="F85" s="2949"/>
      <c r="G85" s="2949"/>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0</v>
      </c>
      <c r="D86" s="235"/>
      <c r="E86" s="2954"/>
      <c r="F86" s="2949"/>
      <c r="G86" s="2949"/>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2950"/>
      <c r="F87" s="2951"/>
      <c r="G87" s="2951"/>
      <c r="H87" s="295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2951"/>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2951"/>
      <c r="G89" s="2951"/>
      <c r="H89" s="295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2951"/>
      <c r="G90" s="2951"/>
      <c r="H90" s="295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21" t="s">
        <v>2284</v>
      </c>
      <c r="F91" s="3122"/>
      <c r="G91" s="3122"/>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21" t="s">
        <v>2288</v>
      </c>
      <c r="F92" s="3122"/>
      <c r="G92" s="3122"/>
      <c r="H92" s="312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0</v>
      </c>
      <c r="D93" s="226">
        <f>'数据-取费表'!B43</f>
        <v>6.000000000000001E-3</v>
      </c>
      <c r="E93" s="3121" t="s">
        <v>2271</v>
      </c>
      <c r="F93" s="3122"/>
      <c r="G93" s="3122"/>
      <c r="H93" s="312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169" t="s">
        <v>2292</v>
      </c>
      <c r="F94" s="3170"/>
      <c r="G94" s="3170"/>
      <c r="H94" s="317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4" t="s">
        <v>2272</v>
      </c>
      <c r="C95" s="207">
        <f ca="1">ROUND(C85-C86,0)</f>
        <v>23</v>
      </c>
      <c r="D95" s="200" t="s">
        <v>32</v>
      </c>
      <c r="E95" s="2954"/>
      <c r="F95" s="2949"/>
      <c r="G95" s="2949"/>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73" t="s">
        <v>2294</v>
      </c>
      <c r="B100" s="3074"/>
      <c r="C100" s="3074"/>
      <c r="D100" s="3105"/>
      <c r="E100" s="3074" t="s">
        <v>2295</v>
      </c>
      <c r="F100" s="3074"/>
      <c r="G100" s="3074"/>
      <c r="H100" s="3105"/>
      <c r="I100" s="138"/>
    </row>
    <row r="101" spans="1:35" ht="18.75" customHeight="1">
      <c r="A101" s="3113" t="s">
        <v>2296</v>
      </c>
      <c r="B101" s="3114"/>
      <c r="C101" s="736" t="str">
        <f>C4</f>
        <v>比较法-车位</v>
      </c>
      <c r="D101" s="737" t="str">
        <f>D4</f>
        <v>收益法 (元)-车位</v>
      </c>
      <c r="E101" s="3085" t="s">
        <v>2297</v>
      </c>
      <c r="F101" s="3086"/>
      <c r="G101" s="2523" t="s">
        <v>2298</v>
      </c>
      <c r="H101" s="1048">
        <f ca="1">H118</f>
        <v>24</v>
      </c>
      <c r="I101" s="138"/>
    </row>
    <row r="102" spans="1:35" ht="18.75" customHeight="1">
      <c r="A102" s="3115" t="s">
        <v>2299</v>
      </c>
      <c r="B102" s="2523" t="s">
        <v>2298</v>
      </c>
      <c r="C102" s="736">
        <f ca="1">C19</f>
        <v>33</v>
      </c>
      <c r="D102" s="737">
        <f ca="1">D19</f>
        <v>18</v>
      </c>
      <c r="E102" s="3085"/>
      <c r="F102" s="3086"/>
      <c r="G102" s="2523" t="s">
        <v>2300</v>
      </c>
      <c r="H102" s="371">
        <f ca="1">I118</f>
        <v>3852</v>
      </c>
      <c r="I102" s="138"/>
    </row>
    <row r="103" spans="1:35" ht="42.75" customHeight="1">
      <c r="A103" s="3115"/>
      <c r="B103" s="2523" t="s">
        <v>2300</v>
      </c>
      <c r="C103" s="738">
        <f ca="1">C20</f>
        <v>5297</v>
      </c>
      <c r="D103" s="739">
        <f ca="1">D20</f>
        <v>2885</v>
      </c>
      <c r="E103" s="3079" t="s">
        <v>2301</v>
      </c>
      <c r="F103" s="3080"/>
      <c r="G103" s="2524" t="s">
        <v>2302</v>
      </c>
      <c r="H103" s="1048">
        <f>IF(D36="正常操作",H104+H105+H106,H105+H106)</f>
        <v>0</v>
      </c>
      <c r="I103" s="138"/>
    </row>
    <row r="104" spans="1:35" ht="18.75" customHeight="1">
      <c r="A104" s="3115" t="s">
        <v>2303</v>
      </c>
      <c r="B104" s="2525" t="s">
        <v>2298</v>
      </c>
      <c r="C104" s="740">
        <f ca="1">H118</f>
        <v>24</v>
      </c>
      <c r="D104" s="741"/>
      <c r="E104" s="2269" t="s">
        <v>2304</v>
      </c>
      <c r="F104" s="2260"/>
      <c r="G104" s="2524" t="s">
        <v>2302</v>
      </c>
      <c r="H104" s="1049">
        <f>IF(D36="同一抵押权人同一抵押物续贷",C36&amp;"（未扣减，详见特别提示）",C36)</f>
        <v>0</v>
      </c>
      <c r="I104" s="138"/>
    </row>
    <row r="105" spans="1:35" ht="18.75" customHeight="1" thickBot="1">
      <c r="A105" s="3127"/>
      <c r="B105" s="2526" t="s">
        <v>2300</v>
      </c>
      <c r="C105" s="742">
        <f ca="1">I118</f>
        <v>3852</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16" t="str">
        <f>IF(项目基本情况!E8="已注销","——","3.房地产抵押价值")</f>
        <v>3.房地产抵押价值</v>
      </c>
      <c r="F107" s="3086"/>
      <c r="G107" s="2523" t="s">
        <v>2298</v>
      </c>
      <c r="H107" s="1048">
        <f ca="1">IF(E107="——","——",H101-H103)</f>
        <v>24</v>
      </c>
      <c r="I107" s="138"/>
    </row>
    <row r="108" spans="1:35" ht="18.75" customHeight="1">
      <c r="A108" s="138"/>
      <c r="B108" s="138"/>
      <c r="C108" s="138"/>
      <c r="D108" s="138"/>
      <c r="E108" s="3116"/>
      <c r="F108" s="3086"/>
      <c r="G108" s="2523" t="s">
        <v>2300</v>
      </c>
      <c r="H108" s="371">
        <f ca="1">ROUND(H107*10000/'数据-汇总表'!E3,0)</f>
        <v>887</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3" t="s">
        <v>2298</v>
      </c>
      <c r="H109" s="348" t="str">
        <f>IF(E109="——","——",H101-H105-H106)</f>
        <v>——</v>
      </c>
      <c r="I109" s="138"/>
    </row>
    <row r="110" spans="1:35" ht="18.75" customHeight="1">
      <c r="A110" s="138"/>
      <c r="B110" s="138"/>
      <c r="C110" s="138"/>
      <c r="D110" s="138"/>
      <c r="E110" s="3116"/>
      <c r="F110" s="3086"/>
      <c r="G110" s="2523" t="s">
        <v>2300</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3" t="s">
        <v>2298</v>
      </c>
      <c r="H111" s="1048" t="str">
        <f>IF(E111="——","——",N59)</f>
        <v>——</v>
      </c>
      <c r="I111" s="138"/>
    </row>
    <row r="112" spans="1:35" ht="18.75" customHeight="1" thickBot="1">
      <c r="A112" s="138"/>
      <c r="B112" s="138"/>
      <c r="C112" s="138"/>
      <c r="D112" s="138"/>
      <c r="E112" s="3119"/>
      <c r="F112" s="3120"/>
      <c r="G112" s="2528" t="s">
        <v>2300</v>
      </c>
      <c r="H112" s="790" t="str">
        <f>IF(E111="——","——",N61)</f>
        <v>——</v>
      </c>
      <c r="I112" s="138"/>
    </row>
    <row r="113" spans="1:11" ht="18.75" customHeight="1">
      <c r="A113" s="138"/>
      <c r="B113" s="138"/>
      <c r="C113" s="138"/>
      <c r="D113" s="138"/>
      <c r="E113" s="3128" t="s">
        <v>2306</v>
      </c>
      <c r="F113" s="3128"/>
      <c r="G113" s="3128"/>
      <c r="H113" s="3128"/>
      <c r="I113" s="138"/>
    </row>
    <row r="114" spans="1:11" ht="3.75" customHeight="1">
      <c r="A114" s="2421"/>
      <c r="B114" s="2421"/>
      <c r="C114" s="2421"/>
      <c r="D114" s="2421"/>
      <c r="E114" s="2499"/>
      <c r="F114" s="2499"/>
      <c r="G114" s="2499"/>
      <c r="H114" s="2499"/>
      <c r="I114" s="2421"/>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2313</v>
      </c>
      <c r="G116" s="3137"/>
      <c r="H116" s="3052" t="s">
        <v>2314</v>
      </c>
      <c r="I116" s="3052"/>
    </row>
    <row r="117" spans="1:11" ht="18.75" customHeight="1">
      <c r="A117" s="3052"/>
      <c r="B117" s="3096"/>
      <c r="C117" s="3096"/>
      <c r="D117" s="2947" t="s">
        <v>2315</v>
      </c>
      <c r="E117" s="2947" t="s">
        <v>2316</v>
      </c>
      <c r="F117" s="2947" t="s">
        <v>2315</v>
      </c>
      <c r="G117" s="2947" t="s">
        <v>2317</v>
      </c>
      <c r="H117" s="2947" t="s">
        <v>2315</v>
      </c>
      <c r="I117" s="2947" t="s">
        <v>2317</v>
      </c>
    </row>
    <row r="118" spans="1:11" ht="24.75" customHeight="1">
      <c r="A118" s="2529" t="str">
        <f>项目基本情况!S2</f>
        <v>房地产</v>
      </c>
      <c r="B118" s="2947">
        <f>M18</f>
        <v>62.3</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24</v>
      </c>
      <c r="I118" s="2947">
        <f ca="1">ROUND(IF(D32="楼面单价",C32,H118*10000/B118),0)</f>
        <v>3852</v>
      </c>
    </row>
    <row r="119" spans="1:11" ht="18.75" customHeight="1">
      <c r="A119" s="3052" t="s">
        <v>2318</v>
      </c>
      <c r="B119" s="3052"/>
      <c r="C119" s="3052"/>
      <c r="D119" s="3097" t="e">
        <f ca="1">NUMBERSTRING(INT(D118*10000),2)&amp;"元整"</f>
        <v>#REF!</v>
      </c>
      <c r="E119" s="3098"/>
      <c r="F119" s="3097" t="e">
        <f ca="1">NUMBERSTRING(INT(F118*10000),2)&amp;"元整"</f>
        <v>#REF!</v>
      </c>
      <c r="G119" s="3098"/>
      <c r="H119" s="3097" t="str">
        <f ca="1">NUMBERSTRING(INT(H118*10000),2)&amp;"元整"</f>
        <v>贰拾肆万元整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6"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24</v>
      </c>
      <c r="E122" s="3093"/>
      <c r="F122" s="3093"/>
      <c r="G122" s="3093"/>
      <c r="H122" s="3093"/>
      <c r="I122" s="3094"/>
    </row>
    <row r="123" spans="1:11" ht="18.75" customHeight="1">
      <c r="A123" s="3052" t="s">
        <v>2318</v>
      </c>
      <c r="B123" s="3052"/>
      <c r="C123" s="3052"/>
      <c r="D123" s="3097" t="str">
        <f ca="1">NUMBERSTRING(INT(D122*10000),2)&amp;"元整"</f>
        <v>贰拾肆万元整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C10:D13">
    <cfRule type="cellIs" dxfId="126" priority="5" stopIfTrue="1" operator="equal">
      <formula>15</formula>
    </cfRule>
  </conditionalFormatting>
  <conditionalFormatting sqref="D14:D16">
    <cfRule type="cellIs" dxfId="125" priority="4" stopIfTrue="1" operator="equal">
      <formula>30</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E36">
    <cfRule type="expression" dxfId="12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t="s">
        <v>27</v>
      </c>
      <c r="C1" s="1622" t="s">
        <v>2531</v>
      </c>
      <c r="D1" s="1623" t="s">
        <v>3049</v>
      </c>
      <c r="E1" s="1624"/>
      <c r="F1" s="2589" t="s">
        <v>3108</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f>IF(C2="——",IF(B37="元/平方米",ROUND(C39*D3/10000,0),ROUND(F3*C39/10000,0)),IF(B37="元/平方米",ROUND(C39*D3/10000,0),ROUND(F3*C39/10000,0))-D2)</f>
        <v>33</v>
      </c>
      <c r="C2" s="2591" t="s">
        <v>70</v>
      </c>
      <c r="D2" s="1127" t="e">
        <f ca="1">SUMIF(INDIRECT("'"&amp;F2&amp;"'"&amp;"!A:A"),"承租人权益价值",INDIRECT("'"&amp;F2&amp;"'"&amp;"!c:c"))</f>
        <v>#REF!</v>
      </c>
      <c r="E2" s="2592" t="s">
        <v>2329</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5297</v>
      </c>
      <c r="C3" s="400" t="s">
        <v>2645</v>
      </c>
      <c r="D3" s="399">
        <f>SUMIF('数据-汇总表'!$C19:$C33,D1,'数据-汇总表'!$E19:$E33)</f>
        <v>62.3</v>
      </c>
      <c r="E3" s="400" t="s">
        <v>2709</v>
      </c>
      <c r="F3" s="399">
        <f>SUMIF('数据-取费表'!A5:A15,D1,'数据-取费表'!AH5:AH15)</f>
        <v>1</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176" t="s">
        <v>2649</v>
      </c>
      <c r="AC4" s="3235" t="s">
        <v>2650</v>
      </c>
    </row>
    <row r="5" spans="1:29" ht="15">
      <c r="A5" s="404"/>
      <c r="B5" s="405"/>
      <c r="C5" s="3186" t="s">
        <v>2543</v>
      </c>
      <c r="D5" s="3187"/>
      <c r="E5" s="3184" t="s">
        <v>3119</v>
      </c>
      <c r="F5" s="3185"/>
      <c r="G5" s="3238" t="s">
        <v>3119</v>
      </c>
      <c r="H5" s="3187"/>
      <c r="I5" s="3238" t="s">
        <v>3119</v>
      </c>
      <c r="J5" s="3187"/>
      <c r="K5" s="610"/>
      <c r="L5" s="1133"/>
      <c r="M5" s="1134"/>
      <c r="N5" s="1134"/>
      <c r="O5" s="1134"/>
      <c r="P5" s="3241"/>
      <c r="Q5" s="3203"/>
      <c r="R5" s="3182"/>
      <c r="S5" s="3183"/>
      <c r="T5" s="3182"/>
      <c r="U5" s="3183"/>
      <c r="V5" s="3209"/>
      <c r="W5" s="3209"/>
      <c r="X5" s="1815"/>
      <c r="Y5" s="3182"/>
      <c r="Z5" s="3183"/>
      <c r="AA5" s="3176"/>
      <c r="AB5" s="3176"/>
      <c r="AC5" s="3176"/>
    </row>
    <row r="6" spans="1:29" ht="15.75" thickBot="1">
      <c r="A6" s="406"/>
      <c r="B6" s="407"/>
      <c r="C6" s="3188" t="s">
        <v>2547</v>
      </c>
      <c r="D6" s="3189"/>
      <c r="E6" s="3190" t="s">
        <v>2547</v>
      </c>
      <c r="F6" s="3191"/>
      <c r="G6" s="3188" t="s">
        <v>2547</v>
      </c>
      <c r="H6" s="3189"/>
      <c r="I6" s="3188" t="s">
        <v>2547</v>
      </c>
      <c r="J6" s="3189"/>
      <c r="K6" s="610" t="s">
        <v>2548</v>
      </c>
      <c r="L6" s="1133"/>
      <c r="M6" s="1134"/>
      <c r="N6" s="1134"/>
      <c r="O6" s="1134"/>
      <c r="P6" s="3242"/>
      <c r="Q6" s="3205"/>
      <c r="R6" s="3182"/>
      <c r="S6" s="3183"/>
      <c r="T6" s="3206"/>
      <c r="U6" s="3207"/>
      <c r="V6" s="3209"/>
      <c r="W6" s="3209"/>
      <c r="X6" s="1815"/>
      <c r="Y6" s="3206"/>
      <c r="Z6" s="3207"/>
      <c r="AA6" s="3177"/>
      <c r="AB6" s="3177"/>
      <c r="AC6" s="3177"/>
    </row>
    <row r="7" spans="1:29" s="117" customFormat="1" ht="15.75" thickBot="1">
      <c r="A7" s="408" t="s">
        <v>2549</v>
      </c>
      <c r="B7" s="409"/>
      <c r="C7" s="410">
        <f>'数据-取费表'!B2</f>
        <v>43270</v>
      </c>
      <c r="D7" s="411">
        <v>100</v>
      </c>
      <c r="E7" s="412">
        <f>C7</f>
        <v>43270</v>
      </c>
      <c r="F7" s="413">
        <f>SUMIF(48:48,YEAR(E7)&amp;"-"&amp;MONTH(E7),49:49)</f>
        <v>100</v>
      </c>
      <c r="G7" s="412">
        <f>E7</f>
        <v>43270</v>
      </c>
      <c r="H7" s="411">
        <f>SUMIF(48:48,YEAR(G7)&amp;"-"&amp;MONTH(G7),49:49)</f>
        <v>100</v>
      </c>
      <c r="I7" s="412">
        <f>G7</f>
        <v>43270</v>
      </c>
      <c r="J7" s="411">
        <f>SUMIF(48:48,YEAR(I7)&amp;"-"&amp;MONTH(I7),49:49)</f>
        <v>100</v>
      </c>
      <c r="K7" s="611"/>
      <c r="L7" s="1135"/>
      <c r="M7" s="1136"/>
      <c r="N7" s="1136"/>
      <c r="O7" s="1136"/>
      <c r="P7" s="3178" t="s">
        <v>2550</v>
      </c>
      <c r="Q7" s="3211"/>
      <c r="R7" s="770" t="s">
        <v>17</v>
      </c>
      <c r="S7" s="771">
        <f t="shared" ref="S7:S14" si="0">F7</f>
        <v>100</v>
      </c>
      <c r="T7" s="770" t="s">
        <v>17</v>
      </c>
      <c r="U7" s="771">
        <f t="shared" ref="U7:U14" si="1">H7</f>
        <v>100</v>
      </c>
      <c r="V7" s="770" t="s">
        <v>17</v>
      </c>
      <c r="W7" s="771">
        <f t="shared" ref="W7:W14" si="2">J7</f>
        <v>100</v>
      </c>
      <c r="X7" s="772"/>
      <c r="Y7" s="3178" t="s">
        <v>2550</v>
      </c>
      <c r="Z7" s="3179"/>
      <c r="AA7" s="773">
        <f>D7/F7</f>
        <v>1</v>
      </c>
      <c r="AB7" s="773">
        <f>D7/H7</f>
        <v>1</v>
      </c>
      <c r="AC7" s="773">
        <f>D7/J7</f>
        <v>1</v>
      </c>
    </row>
    <row r="8" spans="1:29" s="117" customFormat="1" ht="15.75" thickBot="1">
      <c r="A8" s="408" t="s">
        <v>2551</v>
      </c>
      <c r="B8" s="409"/>
      <c r="C8" s="414" t="s">
        <v>2653</v>
      </c>
      <c r="D8" s="411">
        <v>100</v>
      </c>
      <c r="E8" s="414" t="s">
        <v>2588</v>
      </c>
      <c r="F8" s="413">
        <f>SUMIF(51:51,E8,52:52)-SUMIF(51:51,C8,52:52)+100</f>
        <v>100</v>
      </c>
      <c r="G8" s="414" t="s">
        <v>2588</v>
      </c>
      <c r="H8" s="411">
        <f>SUMIF(51:51,G8,52:52)-SUMIF(51:51,C8,52:52)+100</f>
        <v>100</v>
      </c>
      <c r="I8" s="414" t="s">
        <v>2588</v>
      </c>
      <c r="J8" s="411">
        <f>SUMIF(51:51,I8,52:52)-SUMIF(51:51,C8,52:52)+100</f>
        <v>100</v>
      </c>
      <c r="K8" s="611"/>
      <c r="L8" s="1135"/>
      <c r="M8" s="1136"/>
      <c r="N8" s="1136"/>
      <c r="O8" s="1136"/>
      <c r="P8" s="3178" t="s">
        <v>2553</v>
      </c>
      <c r="Q8" s="3179"/>
      <c r="R8" s="770" t="s">
        <v>17</v>
      </c>
      <c r="S8" s="771">
        <f t="shared" si="0"/>
        <v>100</v>
      </c>
      <c r="T8" s="770" t="s">
        <v>17</v>
      </c>
      <c r="U8" s="771">
        <f t="shared" si="1"/>
        <v>100</v>
      </c>
      <c r="V8" s="770" t="s">
        <v>17</v>
      </c>
      <c r="W8" s="771">
        <f t="shared" si="2"/>
        <v>100</v>
      </c>
      <c r="X8" s="772"/>
      <c r="Y8" s="3178" t="s">
        <v>2553</v>
      </c>
      <c r="Z8" s="3179"/>
      <c r="AA8" s="773">
        <f t="shared" ref="AA8:AA36" si="3">D8/F8</f>
        <v>1</v>
      </c>
      <c r="AB8" s="773">
        <f t="shared" ref="AB8:AB36" si="4">D8/H8</f>
        <v>1</v>
      </c>
      <c r="AC8" s="773">
        <f t="shared" ref="AC8:AC36" si="5">D8/J8</f>
        <v>1</v>
      </c>
    </row>
    <row r="9" spans="1:29" s="117" customFormat="1">
      <c r="A9" s="68" t="s">
        <v>2554</v>
      </c>
      <c r="B9" s="640" t="s">
        <v>2555</v>
      </c>
      <c r="C9" s="2973" t="s">
        <v>3130</v>
      </c>
      <c r="D9" s="135">
        <v>100</v>
      </c>
      <c r="E9" s="419" t="s">
        <v>3129</v>
      </c>
      <c r="F9" s="135">
        <f>SUMIF(53:53,E9,54:54)-SUMIF(53:53,C9,54:54)+100</f>
        <v>100</v>
      </c>
      <c r="G9" s="419" t="s">
        <v>3129</v>
      </c>
      <c r="H9" s="135">
        <f>SUMIF(53:53,G9,54:54)-SUMIF(53:53,C9,54:54)+100</f>
        <v>100</v>
      </c>
      <c r="I9" s="419" t="s">
        <v>3129</v>
      </c>
      <c r="J9" s="135">
        <f>SUMIF(53:53,I9,54:54)-SUMIF(53:53,C9,54:54)+100</f>
        <v>100</v>
      </c>
      <c r="K9" s="611"/>
      <c r="L9" s="1135"/>
      <c r="M9" s="1136"/>
      <c r="N9" s="1136"/>
      <c r="O9" s="1136"/>
      <c r="P9" s="3221" t="s">
        <v>2556</v>
      </c>
      <c r="Q9" s="1797"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75" thickBot="1">
      <c r="A10" s="641"/>
      <c r="B10" s="642" t="s">
        <v>2558</v>
      </c>
      <c r="C10" s="423" t="s">
        <v>3089</v>
      </c>
      <c r="D10" s="136">
        <v>100</v>
      </c>
      <c r="E10" s="423" t="s">
        <v>3128</v>
      </c>
      <c r="F10" s="136">
        <f>SUMIF(55:55,E10,56:56)-SUMIF(55:55,C10,56:56)+100</f>
        <v>102</v>
      </c>
      <c r="G10" s="423" t="s">
        <v>3128</v>
      </c>
      <c r="H10" s="136">
        <f>SUMIF(55:55,G10,56:56)-SUMIF(55:55,C10,56:56)+100</f>
        <v>102</v>
      </c>
      <c r="I10" s="423" t="s">
        <v>3128</v>
      </c>
      <c r="J10" s="136">
        <f>SUMIF(55:55,I10,56:56)-SUMIF(55:55,C10,56:56)+100</f>
        <v>102</v>
      </c>
      <c r="K10" s="612">
        <v>2</v>
      </c>
      <c r="L10" s="1138"/>
      <c r="M10" s="1139"/>
      <c r="N10" s="1139"/>
      <c r="O10" s="1139"/>
      <c r="P10" s="3221"/>
      <c r="Q10" s="1797" t="str">
        <f t="shared" si="6"/>
        <v>土地使用年限（年）</v>
      </c>
      <c r="R10" s="770" t="s">
        <v>17</v>
      </c>
      <c r="S10" s="771">
        <f t="shared" si="0"/>
        <v>102</v>
      </c>
      <c r="T10" s="770" t="s">
        <v>17</v>
      </c>
      <c r="U10" s="771">
        <f t="shared" si="1"/>
        <v>102</v>
      </c>
      <c r="V10" s="770" t="s">
        <v>17</v>
      </c>
      <c r="W10" s="771">
        <f t="shared" si="2"/>
        <v>102</v>
      </c>
      <c r="X10" s="772"/>
      <c r="Y10" s="3052"/>
      <c r="Z10" s="55" t="str">
        <f t="shared" si="7"/>
        <v>土地使用年限（年）</v>
      </c>
      <c r="AA10" s="773">
        <f t="shared" si="3"/>
        <v>0.98039215686274506</v>
      </c>
      <c r="AB10" s="773">
        <f t="shared" si="4"/>
        <v>0.98039215686274506</v>
      </c>
      <c r="AC10" s="773">
        <f t="shared" si="5"/>
        <v>0.98039215686274506</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7">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3</v>
      </c>
      <c r="L14" s="1143"/>
      <c r="M14" s="1134"/>
      <c r="N14" s="1134"/>
      <c r="O14" s="1134"/>
      <c r="P14" s="3214" t="s">
        <v>2561</v>
      </c>
      <c r="Q14" s="1812" t="str">
        <f t="shared" si="6"/>
        <v>交通便捷度</v>
      </c>
      <c r="R14" s="774" t="s">
        <v>17</v>
      </c>
      <c r="S14" s="775">
        <f t="shared" si="0"/>
        <v>100</v>
      </c>
      <c r="T14" s="774" t="s">
        <v>17</v>
      </c>
      <c r="U14" s="775">
        <f t="shared" si="1"/>
        <v>100</v>
      </c>
      <c r="V14" s="774" t="s">
        <v>17</v>
      </c>
      <c r="W14" s="775">
        <f t="shared" si="2"/>
        <v>100</v>
      </c>
      <c r="X14" s="1815"/>
      <c r="Y14" s="3214" t="s">
        <v>2561</v>
      </c>
      <c r="Z14" s="1816" t="str">
        <f t="shared" si="7"/>
        <v>交通便捷度</v>
      </c>
      <c r="AA14" s="1813">
        <f t="shared" si="3"/>
        <v>1</v>
      </c>
      <c r="AB14" s="1813">
        <f t="shared" si="4"/>
        <v>1</v>
      </c>
      <c r="AC14" s="1813">
        <f t="shared" si="5"/>
        <v>1</v>
      </c>
    </row>
    <row r="15" spans="1:29" ht="15">
      <c r="A15" s="404"/>
      <c r="B15" s="647"/>
      <c r="C15" s="447" t="s">
        <v>3090</v>
      </c>
      <c r="D15" s="448"/>
      <c r="E15" s="447" t="s">
        <v>3090</v>
      </c>
      <c r="F15" s="449"/>
      <c r="G15" s="447" t="s">
        <v>3090</v>
      </c>
      <c r="H15" s="450"/>
      <c r="I15" s="447" t="s">
        <v>3090</v>
      </c>
      <c r="J15" s="448"/>
      <c r="K15" s="615"/>
      <c r="L15" s="1143"/>
      <c r="M15" s="1134"/>
      <c r="N15" s="1134"/>
      <c r="O15" s="1134"/>
      <c r="P15" s="3215"/>
      <c r="Q15" s="1812"/>
      <c r="R15" s="774"/>
      <c r="S15" s="775"/>
      <c r="T15" s="774"/>
      <c r="U15" s="775"/>
      <c r="V15" s="774"/>
      <c r="W15" s="775"/>
      <c r="X15" s="1815"/>
      <c r="Y15" s="3215"/>
      <c r="Z15" s="1816"/>
      <c r="AA15" s="1813">
        <v>1</v>
      </c>
      <c r="AB15" s="1813">
        <v>1</v>
      </c>
      <c r="AC15" s="1813">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3</v>
      </c>
      <c r="L16" s="1143"/>
      <c r="M16" s="1134"/>
      <c r="N16" s="1134"/>
      <c r="O16" s="1134"/>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04"/>
      <c r="B17" s="632"/>
      <c r="C17" s="2613" t="s">
        <v>3090</v>
      </c>
      <c r="D17" s="448"/>
      <c r="E17" s="2613" t="s">
        <v>3090</v>
      </c>
      <c r="F17" s="449"/>
      <c r="G17" s="2613" t="s">
        <v>3090</v>
      </c>
      <c r="H17" s="448"/>
      <c r="I17" s="2613" t="s">
        <v>3090</v>
      </c>
      <c r="J17" s="448"/>
      <c r="K17" s="615"/>
      <c r="L17" s="1143"/>
      <c r="M17" s="1134"/>
      <c r="N17" s="1134"/>
      <c r="O17" s="1134"/>
      <c r="P17" s="3215"/>
      <c r="Q17" s="1812"/>
      <c r="R17" s="774"/>
      <c r="S17" s="775"/>
      <c r="T17" s="774"/>
      <c r="U17" s="775"/>
      <c r="V17" s="774"/>
      <c r="W17" s="775"/>
      <c r="X17" s="1815"/>
      <c r="Y17" s="3215"/>
      <c r="Z17" s="1816"/>
      <c r="AA17" s="1813">
        <v>1</v>
      </c>
      <c r="AB17" s="1813">
        <v>1</v>
      </c>
      <c r="AC17" s="1813">
        <v>1</v>
      </c>
    </row>
    <row r="18" spans="1:29" ht="28.5" hidden="1">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hidden="1">
      <c r="A19" s="404"/>
      <c r="B19" s="633"/>
      <c r="C19" s="2613" t="s">
        <v>3127</v>
      </c>
      <c r="D19" s="450"/>
      <c r="E19" s="2613" t="s">
        <v>3127</v>
      </c>
      <c r="F19" s="453"/>
      <c r="G19" s="2613" t="s">
        <v>3127</v>
      </c>
      <c r="H19" s="448"/>
      <c r="I19" s="2613" t="s">
        <v>3127</v>
      </c>
      <c r="J19" s="448"/>
      <c r="K19" s="1385"/>
      <c r="L19" s="1143"/>
      <c r="M19" s="1134"/>
      <c r="N19" s="1134"/>
      <c r="O19" s="1134"/>
      <c r="P19" s="3215"/>
      <c r="Q19" s="1812"/>
      <c r="R19" s="774"/>
      <c r="S19" s="775"/>
      <c r="T19" s="774"/>
      <c r="U19" s="775"/>
      <c r="V19" s="774"/>
      <c r="W19" s="775"/>
      <c r="X19" s="1815"/>
      <c r="Y19" s="3215"/>
      <c r="Z19" s="1816"/>
      <c r="AA19" s="1813">
        <v>1</v>
      </c>
      <c r="AB19" s="1813">
        <v>1</v>
      </c>
      <c r="AC19" s="1813">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103</v>
      </c>
      <c r="G20" s="459"/>
      <c r="H20" s="450">
        <f>SUMIF(69:69,G21,70:70)-SUMIF(69:69,C21,70:70)+100</f>
        <v>103</v>
      </c>
      <c r="I20" s="452"/>
      <c r="J20" s="450">
        <f>SUMIF(69:69,I21,70:70)-SUMIF(69:69,C21,70:70)+100</f>
        <v>103</v>
      </c>
      <c r="K20" s="614">
        <v>3</v>
      </c>
      <c r="L20" s="1143"/>
      <c r="M20" s="1134"/>
      <c r="N20" s="1134"/>
      <c r="O20" s="1134"/>
      <c r="P20" s="3215"/>
      <c r="Q20" s="1812" t="str">
        <f>B20</f>
        <v>自然及人文环境</v>
      </c>
      <c r="R20" s="774" t="s">
        <v>17</v>
      </c>
      <c r="S20" s="775">
        <f>F20</f>
        <v>103</v>
      </c>
      <c r="T20" s="774" t="s">
        <v>17</v>
      </c>
      <c r="U20" s="775">
        <f>H20</f>
        <v>103</v>
      </c>
      <c r="V20" s="774" t="s">
        <v>17</v>
      </c>
      <c r="W20" s="775">
        <f>J20</f>
        <v>103</v>
      </c>
      <c r="X20" s="1815"/>
      <c r="Y20" s="3215"/>
      <c r="Z20" s="1816" t="str">
        <f>Q20</f>
        <v>自然及人文环境</v>
      </c>
      <c r="AA20" s="1813">
        <f t="shared" si="3"/>
        <v>0.970873786407767</v>
      </c>
      <c r="AB20" s="1813">
        <f t="shared" si="4"/>
        <v>0.970873786407767</v>
      </c>
      <c r="AC20" s="1813">
        <f t="shared" si="5"/>
        <v>0.970873786407767</v>
      </c>
    </row>
    <row r="21" spans="1:29" ht="15">
      <c r="A21" s="404"/>
      <c r="B21" s="632"/>
      <c r="C21" s="447" t="s">
        <v>3092</v>
      </c>
      <c r="D21" s="448"/>
      <c r="E21" s="447" t="s">
        <v>3090</v>
      </c>
      <c r="F21" s="449"/>
      <c r="G21" s="447" t="s">
        <v>3090</v>
      </c>
      <c r="H21" s="448"/>
      <c r="I21" s="447" t="s">
        <v>3090</v>
      </c>
      <c r="J21" s="448"/>
      <c r="K21" s="615"/>
      <c r="L21" s="1143"/>
      <c r="M21" s="1134"/>
      <c r="N21" s="1134"/>
      <c r="O21" s="1134"/>
      <c r="P21" s="3215"/>
      <c r="Q21" s="1812"/>
      <c r="R21" s="774"/>
      <c r="S21" s="775"/>
      <c r="T21" s="774"/>
      <c r="U21" s="775"/>
      <c r="V21" s="774"/>
      <c r="W21" s="775"/>
      <c r="X21" s="1815"/>
      <c r="Y21" s="3215"/>
      <c r="Z21" s="1816"/>
      <c r="AA21" s="1813">
        <v>1</v>
      </c>
      <c r="AB21" s="1813">
        <v>1</v>
      </c>
      <c r="AC21" s="1813">
        <v>1</v>
      </c>
    </row>
    <row r="22" spans="1:29" ht="15.75" thickBot="1">
      <c r="A22" s="404"/>
      <c r="B22" s="631" t="s">
        <v>2712</v>
      </c>
      <c r="C22" s="616" t="s">
        <v>3115</v>
      </c>
      <c r="D22" s="450">
        <v>100</v>
      </c>
      <c r="E22" s="616" t="s">
        <v>3117</v>
      </c>
      <c r="F22" s="461">
        <f>SUMIF(71:71,E22,72:72)-SUMIF(71:71,C22,72:72)+100</f>
        <v>97</v>
      </c>
      <c r="G22" s="616" t="s">
        <v>3117</v>
      </c>
      <c r="H22" s="435">
        <f>SUMIF(71:71,G22,72:72)-SUMIF(71:71,C22,72:72)+100</f>
        <v>97</v>
      </c>
      <c r="I22" s="616" t="s">
        <v>3117</v>
      </c>
      <c r="J22" s="435">
        <f>SUMIF(71:71,I22,72:72)-SUMIF(71:71,C22,72:72)+100</f>
        <v>97</v>
      </c>
      <c r="K22" s="612">
        <v>3</v>
      </c>
      <c r="L22" s="1143"/>
      <c r="M22" s="1134"/>
      <c r="N22" s="1134"/>
      <c r="O22" s="1134"/>
      <c r="P22" s="3215"/>
      <c r="Q22" s="1812" t="str">
        <f>B22</f>
        <v>楼层</v>
      </c>
      <c r="R22" s="774" t="s">
        <v>17</v>
      </c>
      <c r="S22" s="775">
        <f>F22</f>
        <v>97</v>
      </c>
      <c r="T22" s="774" t="s">
        <v>17</v>
      </c>
      <c r="U22" s="775">
        <f>H22</f>
        <v>97</v>
      </c>
      <c r="V22" s="774" t="s">
        <v>17</v>
      </c>
      <c r="W22" s="775">
        <f>J22</f>
        <v>97</v>
      </c>
      <c r="X22" s="1815"/>
      <c r="Y22" s="3215"/>
      <c r="Z22" s="1816" t="str">
        <f>Q22</f>
        <v>楼层</v>
      </c>
      <c r="AA22" s="1813">
        <f t="shared" si="3"/>
        <v>1.0309278350515463</v>
      </c>
      <c r="AB22" s="1813">
        <f t="shared" si="4"/>
        <v>1.0309278350515463</v>
      </c>
      <c r="AC22" s="1813">
        <f t="shared" si="5"/>
        <v>1.0309278350515463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5"/>
      <c r="Q24" s="1812">
        <f t="shared" ref="Q24:Q36"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652" t="s">
        <v>2564</v>
      </c>
      <c r="B26" s="70" t="s">
        <v>2713</v>
      </c>
      <c r="C26" s="2699" t="str">
        <f>B1</f>
        <v>办公</v>
      </c>
      <c r="D26" s="448">
        <v>100</v>
      </c>
      <c r="E26" s="447" t="s">
        <v>3120</v>
      </c>
      <c r="F26" s="449">
        <f>SUMIF(79:79,E26,80:80)-SUMIF(79:79,C26,80:80)+100</f>
        <v>105</v>
      </c>
      <c r="G26" s="447" t="s">
        <v>3120</v>
      </c>
      <c r="H26" s="448">
        <f>SUMIF(79:79,G26,80:80)-SUMIF(79:79,C26,80:80)+100</f>
        <v>105</v>
      </c>
      <c r="I26" s="447" t="s">
        <v>3120</v>
      </c>
      <c r="J26" s="448">
        <f>SUMIF(79:79,I26,80:80)-SUMIF(79:79,C26,80:80)+100</f>
        <v>105</v>
      </c>
      <c r="K26" s="612">
        <v>-5</v>
      </c>
      <c r="L26" s="1143"/>
      <c r="M26" s="1134"/>
      <c r="N26" s="1134"/>
      <c r="O26" s="1134"/>
      <c r="P26" s="3243" t="s">
        <v>2566</v>
      </c>
      <c r="Q26" s="1812" t="str">
        <f t="shared" si="11"/>
        <v>配套类型</v>
      </c>
      <c r="R26" s="774" t="s">
        <v>17</v>
      </c>
      <c r="S26" s="775">
        <f t="shared" ref="S26:S36" si="12">F26</f>
        <v>105</v>
      </c>
      <c r="T26" s="774" t="s">
        <v>17</v>
      </c>
      <c r="U26" s="775">
        <f t="shared" ref="U26:U36" si="13">H26</f>
        <v>105</v>
      </c>
      <c r="V26" s="774" t="s">
        <v>17</v>
      </c>
      <c r="W26" s="775">
        <f t="shared" ref="W26:W36" si="14">J26</f>
        <v>105</v>
      </c>
      <c r="X26" s="1815"/>
      <c r="Y26" s="3219" t="s">
        <v>2566</v>
      </c>
      <c r="Z26" s="1816" t="str">
        <f t="shared" ref="Z26:Z36" si="15">Q26</f>
        <v>配套类型</v>
      </c>
      <c r="AA26" s="1813">
        <f t="shared" si="3"/>
        <v>0.95238095238095233</v>
      </c>
      <c r="AB26" s="1813">
        <f t="shared" si="4"/>
        <v>0.95238095238095233</v>
      </c>
      <c r="AC26" s="1813">
        <f t="shared" si="5"/>
        <v>0.95238095238095233</v>
      </c>
    </row>
    <row r="27" spans="1:29" s="471" customFormat="1" ht="15" hidden="1">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3">
        <f t="shared" si="3"/>
        <v>1</v>
      </c>
      <c r="AB27" s="1813">
        <f t="shared" si="4"/>
        <v>1</v>
      </c>
      <c r="AC27" s="1813">
        <f t="shared" si="5"/>
        <v>1</v>
      </c>
    </row>
    <row r="28" spans="1:29" ht="15">
      <c r="A28" s="656"/>
      <c r="B28" s="654" t="s">
        <v>2715</v>
      </c>
      <c r="C28" s="460" t="s">
        <v>3125</v>
      </c>
      <c r="D28" s="435">
        <v>100</v>
      </c>
      <c r="E28" s="460" t="s">
        <v>3125</v>
      </c>
      <c r="F28" s="461">
        <f>SUMIF(83:83,E28,84:84)-SUMIF(83:83,C28,84:84)+100</f>
        <v>100</v>
      </c>
      <c r="G28" s="460" t="s">
        <v>3125</v>
      </c>
      <c r="H28" s="435">
        <f>SUMIF(83:83,G28,84:84)-SUMIF(83:83,C28,84:84)+100</f>
        <v>100</v>
      </c>
      <c r="I28" s="460" t="s">
        <v>3125</v>
      </c>
      <c r="J28" s="435">
        <f>SUMIF(83:83,I28,84:84)-SUMIF(83:83,C28,84:84)+100</f>
        <v>100</v>
      </c>
      <c r="K28" s="612">
        <v>2</v>
      </c>
      <c r="L28" s="1143"/>
      <c r="M28" s="1134"/>
      <c r="N28" s="1134"/>
      <c r="O28" s="1134"/>
      <c r="P28" s="3219"/>
      <c r="Q28" s="1812" t="str">
        <f t="shared" si="11"/>
        <v>公共部分装修</v>
      </c>
      <c r="R28" s="774" t="s">
        <v>17</v>
      </c>
      <c r="S28" s="775">
        <f t="shared" si="12"/>
        <v>100</v>
      </c>
      <c r="T28" s="774" t="s">
        <v>17</v>
      </c>
      <c r="U28" s="775">
        <f t="shared" si="13"/>
        <v>100</v>
      </c>
      <c r="V28" s="774" t="s">
        <v>17</v>
      </c>
      <c r="W28" s="775">
        <f t="shared" si="14"/>
        <v>100</v>
      </c>
      <c r="X28" s="1815"/>
      <c r="Y28" s="3219"/>
      <c r="Z28" s="1816" t="str">
        <f t="shared" si="15"/>
        <v>公共部分装修</v>
      </c>
      <c r="AA28" s="1813">
        <f t="shared" si="3"/>
        <v>1</v>
      </c>
      <c r="AB28" s="1813">
        <f t="shared" si="4"/>
        <v>1</v>
      </c>
      <c r="AC28" s="1813">
        <f t="shared" si="5"/>
        <v>1</v>
      </c>
    </row>
    <row r="29" spans="1:29" ht="15">
      <c r="A29" s="656"/>
      <c r="B29" s="654" t="s">
        <v>2716</v>
      </c>
      <c r="C29" s="469">
        <f>'数据-取费表'!Y6</f>
        <v>0.77</v>
      </c>
      <c r="D29" s="435">
        <v>100</v>
      </c>
      <c r="E29" s="474">
        <v>0.77</v>
      </c>
      <c r="F29" s="461">
        <f>LOOKUP(E29,86:86,87:87)-LOOKUP(C29,86:86,87:87)+100</f>
        <v>100</v>
      </c>
      <c r="G29" s="474">
        <v>0.77</v>
      </c>
      <c r="H29" s="461">
        <f>LOOKUP(G29,86:86,87:87)-LOOKUP(C29,86:86,87:87)+100</f>
        <v>100</v>
      </c>
      <c r="I29" s="474">
        <v>0.77</v>
      </c>
      <c r="J29" s="435">
        <f>LOOKUP(I29,86:86,87:87)-LOOKUP(C29,86:86,87:87)+100</f>
        <v>100</v>
      </c>
      <c r="K29" s="612">
        <v>2</v>
      </c>
      <c r="L29" s="1143"/>
      <c r="M29" s="1134"/>
      <c r="N29" s="1134"/>
      <c r="O29" s="1134"/>
      <c r="P29" s="3219"/>
      <c r="Q29" s="1812" t="str">
        <f t="shared" si="11"/>
        <v>成新率</v>
      </c>
      <c r="R29" s="774" t="s">
        <v>17</v>
      </c>
      <c r="S29" s="775">
        <f t="shared" si="12"/>
        <v>100</v>
      </c>
      <c r="T29" s="774" t="s">
        <v>17</v>
      </c>
      <c r="U29" s="775">
        <f t="shared" si="13"/>
        <v>100</v>
      </c>
      <c r="V29" s="774" t="s">
        <v>17</v>
      </c>
      <c r="W29" s="775">
        <f t="shared" si="14"/>
        <v>100</v>
      </c>
      <c r="X29" s="1815"/>
      <c r="Y29" s="3219"/>
      <c r="Z29" s="1816" t="str">
        <f t="shared" si="15"/>
        <v>成新率</v>
      </c>
      <c r="AA29" s="1813">
        <f t="shared" si="3"/>
        <v>1</v>
      </c>
      <c r="AB29" s="1813">
        <f t="shared" si="4"/>
        <v>1</v>
      </c>
      <c r="AC29" s="1813">
        <f t="shared" si="5"/>
        <v>1</v>
      </c>
    </row>
    <row r="30" spans="1:29" ht="15" hidden="1">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2" t="str">
        <f t="shared" si="11"/>
        <v>物业等级</v>
      </c>
      <c r="R30" s="774" t="s">
        <v>17</v>
      </c>
      <c r="S30" s="775">
        <f t="shared" si="12"/>
        <v>100</v>
      </c>
      <c r="T30" s="774" t="s">
        <v>17</v>
      </c>
      <c r="U30" s="775">
        <f t="shared" si="13"/>
        <v>100</v>
      </c>
      <c r="V30" s="774" t="s">
        <v>17</v>
      </c>
      <c r="W30" s="775">
        <f t="shared" si="14"/>
        <v>100</v>
      </c>
      <c r="X30" s="1815"/>
      <c r="Y30" s="3219"/>
      <c r="Z30" s="1816" t="str">
        <f t="shared" si="15"/>
        <v>物业等级</v>
      </c>
      <c r="AA30" s="1813">
        <f t="shared" si="3"/>
        <v>1</v>
      </c>
      <c r="AB30" s="1813">
        <f t="shared" si="4"/>
        <v>1</v>
      </c>
      <c r="AC30" s="1813">
        <f t="shared" si="5"/>
        <v>1</v>
      </c>
    </row>
    <row r="31" spans="1:29" s="117" customFormat="1" ht="15">
      <c r="A31" s="658"/>
      <c r="B31" s="654" t="s">
        <v>2718</v>
      </c>
      <c r="C31" s="469" t="s">
        <v>3110</v>
      </c>
      <c r="D31" s="136">
        <v>100</v>
      </c>
      <c r="E31" s="469" t="s">
        <v>3109</v>
      </c>
      <c r="F31" s="461">
        <f>LOOKUP(E31,91:91,92:92)-LOOKUP(C31,91:91,92:92)+100</f>
        <v>98</v>
      </c>
      <c r="G31" s="469" t="s">
        <v>3109</v>
      </c>
      <c r="H31" s="435">
        <f>LOOKUP(G31,91:91,92:92)-LOOKUP(C31,91:91,92:92)+100</f>
        <v>98</v>
      </c>
      <c r="I31" s="469" t="s">
        <v>3109</v>
      </c>
      <c r="J31" s="435">
        <f>LOOKUP(I31,91:91,92:92)-LOOKUP(C31,91:91,92:92)+100</f>
        <v>98</v>
      </c>
      <c r="K31" s="612">
        <v>2</v>
      </c>
      <c r="L31" s="1135"/>
      <c r="M31" s="1136"/>
      <c r="N31" s="1136"/>
      <c r="O31" s="1136"/>
      <c r="P31" s="3219"/>
      <c r="Q31" s="1797" t="str">
        <f t="shared" si="11"/>
        <v>停车位面积</v>
      </c>
      <c r="R31" s="770" t="s">
        <v>17</v>
      </c>
      <c r="S31" s="771">
        <f t="shared" si="12"/>
        <v>98</v>
      </c>
      <c r="T31" s="770" t="s">
        <v>17</v>
      </c>
      <c r="U31" s="771">
        <f t="shared" si="13"/>
        <v>98</v>
      </c>
      <c r="V31" s="770" t="s">
        <v>17</v>
      </c>
      <c r="W31" s="771">
        <f t="shared" si="14"/>
        <v>98</v>
      </c>
      <c r="X31" s="772"/>
      <c r="Y31" s="3219"/>
      <c r="Z31" s="55" t="str">
        <f t="shared" si="15"/>
        <v>停车位面积</v>
      </c>
      <c r="AA31" s="773">
        <f t="shared" si="3"/>
        <v>1.0204081632653061</v>
      </c>
      <c r="AB31" s="773">
        <f t="shared" si="4"/>
        <v>1.0204081632653061</v>
      </c>
      <c r="AC31" s="773">
        <f t="shared" si="5"/>
        <v>1.0204081632653061</v>
      </c>
    </row>
    <row r="32" spans="1:29" ht="15">
      <c r="A32" s="656"/>
      <c r="B32" s="654" t="s">
        <v>2719</v>
      </c>
      <c r="C32" s="460" t="s">
        <v>3123</v>
      </c>
      <c r="D32" s="435">
        <v>100</v>
      </c>
      <c r="E32" s="460" t="s">
        <v>3123</v>
      </c>
      <c r="F32" s="461">
        <f>SUMIF(93:93,E32,94:94)-SUMIF(93:93,C32,94:94)+100</f>
        <v>100</v>
      </c>
      <c r="G32" s="460" t="s">
        <v>3123</v>
      </c>
      <c r="H32" s="435">
        <f>SUMIF(93:93,G32,94:94)-SUMIF(93:93,C32,94:94)+100</f>
        <v>100</v>
      </c>
      <c r="I32" s="460" t="s">
        <v>3123</v>
      </c>
      <c r="J32" s="435">
        <f>SUMIF(93:93,I32,94:94)-SUMIF(93:93,C32,94:94)+100</f>
        <v>100</v>
      </c>
      <c r="K32" s="612">
        <v>2</v>
      </c>
      <c r="L32" s="1143"/>
      <c r="M32" s="1134"/>
      <c r="N32" s="1134"/>
      <c r="O32" s="1134"/>
      <c r="P32" s="3219" t="s">
        <v>2566</v>
      </c>
      <c r="Q32" s="1812" t="str">
        <f t="shared" si="11"/>
        <v>车位类型</v>
      </c>
      <c r="R32" s="774" t="s">
        <v>17</v>
      </c>
      <c r="S32" s="775">
        <f t="shared" si="12"/>
        <v>100</v>
      </c>
      <c r="T32" s="774" t="s">
        <v>17</v>
      </c>
      <c r="U32" s="775">
        <f t="shared" si="13"/>
        <v>100</v>
      </c>
      <c r="V32" s="774" t="s">
        <v>17</v>
      </c>
      <c r="W32" s="775">
        <f t="shared" si="14"/>
        <v>100</v>
      </c>
      <c r="X32" s="1815"/>
      <c r="Y32" s="3219" t="s">
        <v>2566</v>
      </c>
      <c r="Z32" s="1816" t="str">
        <f t="shared" si="15"/>
        <v>车位类型</v>
      </c>
      <c r="AA32" s="1813">
        <f t="shared" si="3"/>
        <v>1</v>
      </c>
      <c r="AB32" s="1813">
        <f t="shared" si="4"/>
        <v>1</v>
      </c>
      <c r="AC32" s="1813">
        <f t="shared" si="5"/>
        <v>1</v>
      </c>
    </row>
    <row r="33" spans="1:29" ht="15.75" thickBot="1">
      <c r="A33" s="656"/>
      <c r="B33" s="654" t="s">
        <v>2720</v>
      </c>
      <c r="C33" s="460" t="s">
        <v>3067</v>
      </c>
      <c r="D33" s="435">
        <v>100</v>
      </c>
      <c r="E33" s="460" t="s">
        <v>3067</v>
      </c>
      <c r="F33" s="461">
        <f>SUMIF(95:95,E33,96:96)-SUMIF(95:95,C33,96:96)+100</f>
        <v>100</v>
      </c>
      <c r="G33" s="460" t="s">
        <v>3067</v>
      </c>
      <c r="H33" s="435">
        <f>SUMIF(95:95,G33,96:96)-SUMIF(95:95,C33,96:96)+100</f>
        <v>100</v>
      </c>
      <c r="I33" s="460" t="s">
        <v>3067</v>
      </c>
      <c r="J33" s="435">
        <f>SUMIF(95:95,I33,96:96)-SUMIF(95:95,C33,96:96)+100</f>
        <v>100</v>
      </c>
      <c r="K33" s="612">
        <v>2</v>
      </c>
      <c r="L33" s="1143"/>
      <c r="M33" s="1134"/>
      <c r="N33" s="1134"/>
      <c r="O33" s="1134"/>
      <c r="P33" s="3219"/>
      <c r="Q33" s="1812" t="str">
        <f t="shared" si="11"/>
        <v>是否直接入户</v>
      </c>
      <c r="R33" s="774" t="s">
        <v>17</v>
      </c>
      <c r="S33" s="775">
        <f t="shared" si="12"/>
        <v>100</v>
      </c>
      <c r="T33" s="774" t="s">
        <v>17</v>
      </c>
      <c r="U33" s="775">
        <f t="shared" si="13"/>
        <v>100</v>
      </c>
      <c r="V33" s="774" t="s">
        <v>17</v>
      </c>
      <c r="W33" s="775">
        <f t="shared" si="14"/>
        <v>100</v>
      </c>
      <c r="X33" s="1815"/>
      <c r="Y33" s="3219"/>
      <c r="Z33" s="1816" t="str">
        <f t="shared" si="15"/>
        <v>是否直接入户</v>
      </c>
      <c r="AA33" s="1813">
        <f t="shared" si="3"/>
        <v>1</v>
      </c>
      <c r="AB33" s="1813">
        <f t="shared" si="4"/>
        <v>1</v>
      </c>
      <c r="AC33" s="1813">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3">
        <f t="shared" si="3"/>
        <v>1</v>
      </c>
      <c r="AB35" s="1813">
        <f t="shared" si="4"/>
        <v>1</v>
      </c>
      <c r="AC35" s="1813">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2">
        <f t="shared" si="11"/>
        <v>111</v>
      </c>
      <c r="R36" s="774" t="s">
        <v>17</v>
      </c>
      <c r="S36" s="775">
        <f t="shared" si="12"/>
        <v>100</v>
      </c>
      <c r="T36" s="774" t="s">
        <v>17</v>
      </c>
      <c r="U36" s="775">
        <f t="shared" si="13"/>
        <v>100</v>
      </c>
      <c r="V36" s="774" t="s">
        <v>17</v>
      </c>
      <c r="W36" s="775">
        <f t="shared" si="14"/>
        <v>100</v>
      </c>
      <c r="X36" s="1815"/>
      <c r="Y36" s="3219"/>
      <c r="Z36" s="1816">
        <f t="shared" si="15"/>
        <v>111</v>
      </c>
      <c r="AA36" s="1813">
        <f t="shared" si="3"/>
        <v>1</v>
      </c>
      <c r="AB36" s="1813">
        <f t="shared" si="4"/>
        <v>1</v>
      </c>
      <c r="AC36" s="1813">
        <f t="shared" si="5"/>
        <v>1</v>
      </c>
    </row>
    <row r="37" spans="1:29" ht="15">
      <c r="A37" s="479" t="s">
        <v>2721</v>
      </c>
      <c r="B37" s="2700" t="s">
        <v>2722</v>
      </c>
      <c r="C37" s="1409" t="s">
        <v>1</v>
      </c>
      <c r="D37" s="1410"/>
      <c r="E37" s="1411">
        <v>350000</v>
      </c>
      <c r="F37" s="1412"/>
      <c r="G37" s="1413">
        <v>350000</v>
      </c>
      <c r="H37" s="1414"/>
      <c r="I37" s="1411">
        <v>350000</v>
      </c>
      <c r="J37" s="1414"/>
      <c r="K37" s="619"/>
      <c r="L37" s="1146"/>
      <c r="M37" s="1147"/>
      <c r="N37" s="1134"/>
      <c r="O37" s="1147"/>
      <c r="P37" s="3221" t="str">
        <f>A37</f>
        <v>成交单价</v>
      </c>
      <c r="Q37" s="3221"/>
      <c r="R37" s="3222">
        <f>E37</f>
        <v>350000</v>
      </c>
      <c r="S37" s="3222"/>
      <c r="T37" s="3222">
        <f>G37</f>
        <v>350000</v>
      </c>
      <c r="U37" s="3222"/>
      <c r="V37" s="3222">
        <f>I37</f>
        <v>350000</v>
      </c>
      <c r="W37" s="3222"/>
      <c r="X37" s="759"/>
      <c r="Y37" s="781"/>
      <c r="Z37" s="759"/>
      <c r="AA37" s="759"/>
      <c r="AB37" s="759"/>
      <c r="AC37" s="759"/>
    </row>
    <row r="38" spans="1:29" ht="15.75" thickBot="1">
      <c r="A38" s="486" t="s">
        <v>2723</v>
      </c>
      <c r="B38" s="487" t="str">
        <f>B37</f>
        <v>元/车位</v>
      </c>
      <c r="C38" s="1415">
        <f>R39</f>
        <v>333767</v>
      </c>
      <c r="D38" s="1416"/>
      <c r="E38" s="1417">
        <f>R38</f>
        <v>333767</v>
      </c>
      <c r="F38" s="1417"/>
      <c r="G38" s="1415">
        <f>T38</f>
        <v>333767</v>
      </c>
      <c r="H38" s="1416"/>
      <c r="I38" s="1417">
        <f>V38</f>
        <v>333767</v>
      </c>
      <c r="J38" s="1416"/>
      <c r="K38" s="620"/>
      <c r="L38" s="1146"/>
      <c r="M38" s="1147"/>
      <c r="N38" s="1147"/>
      <c r="O38" s="1147"/>
      <c r="P38" s="3221" t="str">
        <f>A38</f>
        <v>比较价值（元/平方米）</v>
      </c>
      <c r="Q38" s="3221"/>
      <c r="R38" s="3222">
        <f>IF(F1="售价",ROUND(PRODUCT(R37,AA7:AA36),0),ROUND(PRODUCT(R37,AA7:AA36),1))</f>
        <v>333767</v>
      </c>
      <c r="S38" s="3222"/>
      <c r="T38" s="3222">
        <f>IF(F1="售价",ROUND(PRODUCT(T37,AB7:AB36),0),ROUND(PRODUCT(T37,AB7:AB36),1))</f>
        <v>333767</v>
      </c>
      <c r="U38" s="3222"/>
      <c r="V38" s="3222">
        <f>IF(F1="售价",ROUND(PRODUCT(V37,AC7:AC36),0),ROUND(PRODUCT(V37,AC7:AC36),1))</f>
        <v>333767</v>
      </c>
      <c r="W38" s="3222"/>
      <c r="X38" s="759"/>
      <c r="Y38" s="759"/>
      <c r="Z38" s="759"/>
      <c r="AA38" s="759"/>
      <c r="AB38" s="759"/>
      <c r="AC38" s="759"/>
    </row>
    <row r="39" spans="1:29" ht="15.75" thickBot="1">
      <c r="A39" s="492" t="s">
        <v>2724</v>
      </c>
      <c r="B39" s="493"/>
      <c r="C39" s="1419">
        <f>R39</f>
        <v>333767</v>
      </c>
      <c r="D39" s="1419"/>
      <c r="E39" s="1419"/>
      <c r="F39" s="1419"/>
      <c r="G39" s="1419"/>
      <c r="H39" s="1419"/>
      <c r="I39" s="1419"/>
      <c r="J39" s="1419"/>
      <c r="K39" s="621"/>
      <c r="L39" s="1146"/>
      <c r="M39" s="1147"/>
      <c r="N39" s="1147"/>
      <c r="O39" s="1147"/>
      <c r="P39" s="3244" t="str">
        <f>A39</f>
        <v>估价对象XX用房的比较价值（楼面单价，元/平方米）</v>
      </c>
      <c r="Q39" s="3245"/>
      <c r="R39" s="3246">
        <f>IF(F1="售价",ROUND(AVERAGE(R38:V38),0),ROUND(AVERAGE(R38:V38),1))</f>
        <v>333767</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4.8635724921876733E-2</v>
      </c>
      <c r="F42" s="500" t="str">
        <f>IF(OR(E42&gt;=0.3,E42&lt;=-0.3),"超过30%","")</f>
        <v/>
      </c>
      <c r="G42" s="499">
        <f>IF(G37&lt;G38,G38/G37-1,G37/G38-1)</f>
        <v>4.8635724921876733E-2</v>
      </c>
      <c r="H42" s="500" t="str">
        <f>IF(OR(G42&gt;=0.3,G42&lt;=-0.3),"超过30%","")</f>
        <v/>
      </c>
      <c r="I42" s="499">
        <f>IF(I37&lt;I38,I38/I37-1,I37/I38-1)</f>
        <v>4.8635724921876733E-2</v>
      </c>
      <c r="J42" s="500" t="str">
        <f>IF(OR(I42&gt;=0.3,I42&lt;=-0.3),"超过30%","")</f>
        <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t="str">
        <f>C9</f>
        <v>车位</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97</v>
      </c>
      <c r="E66" s="544">
        <f>D66-$K16</f>
        <v>94</v>
      </c>
      <c r="F66" s="544">
        <f>E66-$K16</f>
        <v>91</v>
      </c>
      <c r="G66" s="544">
        <f>F66-$K16</f>
        <v>88</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2974" t="s">
        <v>3116</v>
      </c>
      <c r="D71" s="2974" t="s">
        <v>3118</v>
      </c>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97</v>
      </c>
      <c r="E72" s="544">
        <f>D72-$K22</f>
        <v>94</v>
      </c>
      <c r="F72" s="544">
        <f>E72-$K22</f>
        <v>91</v>
      </c>
      <c r="G72" s="544">
        <f>F72-$K22</f>
        <v>88</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t="str">
        <f>C26</f>
        <v>办公</v>
      </c>
      <c r="D79" s="2975" t="s">
        <v>3121</v>
      </c>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2974" t="s">
        <v>3126</v>
      </c>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0-50(含)-50-100</v>
      </c>
      <c r="D90" s="578" t="str">
        <f t="shared" ref="D90:L90" si="21">D91&amp;"(含)"&amp;"-"&amp;E91</f>
        <v>50-100(含)-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t="s">
        <v>3109</v>
      </c>
      <c r="D91" s="595" t="s">
        <v>3110</v>
      </c>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100</v>
      </c>
      <c r="D92" s="536">
        <v>102</v>
      </c>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2974" t="s">
        <v>3124</v>
      </c>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2975" t="s">
        <v>3122</v>
      </c>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1" priority="14" stopIfTrue="1" operator="containsText" text="超过">
      <formula>NOT(ISERROR(SEARCH("超过",F42)))</formula>
    </cfRule>
  </conditionalFormatting>
  <conditionalFormatting sqref="J44">
    <cfRule type="containsText" dxfId="120" priority="13" stopIfTrue="1" operator="containsText" text="超过">
      <formula>NOT(ISERROR(SEARCH("超过",J44)))</formula>
    </cfRule>
  </conditionalFormatting>
  <conditionalFormatting sqref="H44">
    <cfRule type="containsText" dxfId="119" priority="12" stopIfTrue="1" operator="containsText" text="超过">
      <formula>NOT(ISERROR(SEARCH("超过",H44)))</formula>
    </cfRule>
  </conditionalFormatting>
  <conditionalFormatting sqref="F44">
    <cfRule type="containsText" dxfId="118" priority="11" stopIfTrue="1" operator="containsText" text="超过">
      <formula>NOT(ISERROR(SEARCH("超过",F44)))</formula>
    </cfRule>
  </conditionalFormatting>
  <conditionalFormatting sqref="F43 H43 J43">
    <cfRule type="containsText" dxfId="117" priority="10" stopIfTrue="1" operator="containsText" text="超过">
      <formula>NOT(ISERROR(SEARCH("超过",F43)))</formula>
    </cfRule>
  </conditionalFormatting>
  <conditionalFormatting sqref="E42">
    <cfRule type="expression" dxfId="116" priority="9" stopIfTrue="1">
      <formula>$F$42="超过30%"</formula>
    </cfRule>
  </conditionalFormatting>
  <conditionalFormatting sqref="G44">
    <cfRule type="expression" dxfId="115" priority="8" stopIfTrue="1">
      <formula>$H$54+$H$44="超过30%"</formula>
    </cfRule>
  </conditionalFormatting>
  <conditionalFormatting sqref="E43">
    <cfRule type="expression" dxfId="114" priority="7" stopIfTrue="1">
      <formula>$F$43="超过20%"</formula>
    </cfRule>
  </conditionalFormatting>
  <conditionalFormatting sqref="E44">
    <cfRule type="expression" dxfId="113" priority="6" stopIfTrue="1">
      <formula>$F$44="超过30%"</formula>
    </cfRule>
  </conditionalFormatting>
  <conditionalFormatting sqref="G42">
    <cfRule type="expression" dxfId="112" priority="5" stopIfTrue="1">
      <formula>$H$52+$H$42="超过30%"</formula>
    </cfRule>
  </conditionalFormatting>
  <conditionalFormatting sqref="G43">
    <cfRule type="expression" dxfId="111" priority="4" stopIfTrue="1">
      <formula>$H$43="超过20%"</formula>
    </cfRule>
  </conditionalFormatting>
  <conditionalFormatting sqref="I42">
    <cfRule type="expression" dxfId="110" priority="3" stopIfTrue="1">
      <formula>$J$52+$J$42="超过30%"</formula>
    </cfRule>
  </conditionalFormatting>
  <conditionalFormatting sqref="I43">
    <cfRule type="expression" dxfId="109" priority="2" stopIfTrue="1">
      <formula>$J$53+$J$43="超过20%"</formula>
    </cfRule>
  </conditionalFormatting>
  <conditionalFormatting sqref="I44">
    <cfRule type="expression" dxfId="10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3049</v>
      </c>
      <c r="D1" s="1822" t="s">
        <v>70</v>
      </c>
      <c r="E1" s="1823" t="s">
        <v>1385</v>
      </c>
      <c r="F1" s="1285">
        <f ca="1">J53</f>
        <v>25.28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21</v>
      </c>
      <c r="C2" s="1847" t="s">
        <v>1514</v>
      </c>
      <c r="D2" s="1847"/>
      <c r="E2" s="1848"/>
      <c r="F2" s="1849"/>
      <c r="G2" s="1850"/>
      <c r="H2" s="1842"/>
      <c r="I2" s="1842"/>
      <c r="J2" s="1842"/>
      <c r="K2" s="1843"/>
      <c r="L2" s="1842"/>
      <c r="M2" s="1842"/>
    </row>
    <row r="3" spans="1:37" ht="18" customHeight="1" thickBot="1">
      <c r="A3" s="1851" t="s">
        <v>1515</v>
      </c>
      <c r="B3" s="1852">
        <f ca="1">IF(ISERROR(B2*10000/F43),0,ROUND(B2*10000/F43,0))</f>
        <v>3371</v>
      </c>
      <c r="C3" s="1847" t="s">
        <v>1516</v>
      </c>
      <c r="D3" s="1847"/>
      <c r="E3" s="1848"/>
      <c r="F3" s="1849"/>
      <c r="G3" s="1850"/>
      <c r="H3" s="744" t="s">
        <v>1586</v>
      </c>
      <c r="I3" s="1842"/>
      <c r="J3" s="1842"/>
      <c r="K3" s="1843"/>
      <c r="L3" s="1842"/>
      <c r="M3" s="1842"/>
    </row>
    <row r="4" spans="1:37" ht="18" customHeight="1">
      <c r="A4" s="340" t="s">
        <v>1394</v>
      </c>
      <c r="B4" s="341" t="s">
        <v>1395</v>
      </c>
      <c r="C4" s="341" t="s">
        <v>1396</v>
      </c>
      <c r="D4" s="341" t="s">
        <v>1397</v>
      </c>
      <c r="E4" s="342" t="s">
        <v>1398</v>
      </c>
      <c r="F4" s="343"/>
      <c r="G4" s="1853"/>
      <c r="H4" s="340" t="s">
        <v>1394</v>
      </c>
      <c r="I4" s="341" t="s">
        <v>1395</v>
      </c>
      <c r="J4" s="341" t="s">
        <v>1396</v>
      </c>
      <c r="K4" s="341" t="s">
        <v>1397</v>
      </c>
      <c r="L4" s="342" t="s">
        <v>1398</v>
      </c>
      <c r="M4" s="343"/>
    </row>
    <row r="5" spans="1:37" ht="18" customHeight="1">
      <c r="A5" s="344">
        <v>1</v>
      </c>
      <c r="B5" s="345" t="s">
        <v>1399</v>
      </c>
      <c r="C5" s="1294">
        <f ca="1">C6+C10+C12</f>
        <v>1</v>
      </c>
      <c r="D5" s="1824" t="s">
        <v>1400</v>
      </c>
      <c r="E5" s="1295"/>
      <c r="F5" s="1296"/>
      <c r="G5" s="1853"/>
      <c r="H5" s="344">
        <v>1</v>
      </c>
      <c r="I5" s="345" t="s">
        <v>1399</v>
      </c>
      <c r="J5" s="1294">
        <f ca="1">J6+J10+J12</f>
        <v>0</v>
      </c>
      <c r="K5" s="1824" t="s">
        <v>1400</v>
      </c>
      <c r="L5" s="1295"/>
      <c r="M5" s="1296"/>
    </row>
    <row r="6" spans="1:37" ht="18" customHeight="1">
      <c r="A6" s="1293" t="s">
        <v>1035</v>
      </c>
      <c r="B6" s="3228" t="s">
        <v>1401</v>
      </c>
      <c r="C6" s="1298">
        <f ca="1">ROUND(F6*F8*F7*(1-F9)/10000,0)</f>
        <v>1</v>
      </c>
      <c r="D6" s="164" t="s">
        <v>3034</v>
      </c>
      <c r="E6" s="347" t="s">
        <v>1403</v>
      </c>
      <c r="F6" s="348">
        <f ca="1">INDIRECT("'数据-取费表'!u"&amp;$G$1)</f>
        <v>1200</v>
      </c>
      <c r="G6" s="1853"/>
      <c r="H6" s="1293" t="s">
        <v>1035</v>
      </c>
      <c r="I6" s="3228" t="s">
        <v>1401</v>
      </c>
      <c r="J6" s="346">
        <f ca="1">ROUND(M6*M8*M7*(1-M9)/10000,0)</f>
        <v>0</v>
      </c>
      <c r="K6" s="164" t="s">
        <v>3033</v>
      </c>
      <c r="L6" s="347" t="s">
        <v>1403</v>
      </c>
      <c r="M6" s="348">
        <f ca="1">INDIRECT("'数据-取费表'!z"&amp;$G$1)</f>
        <v>0</v>
      </c>
    </row>
    <row r="7" spans="1:37" ht="18" customHeight="1">
      <c r="A7" s="1297"/>
      <c r="B7" s="3229"/>
      <c r="C7" s="1299"/>
      <c r="D7" s="352"/>
      <c r="E7" s="2966" t="s">
        <v>1404</v>
      </c>
      <c r="F7" s="348">
        <f ca="1">IF(INDIRECT("'数据-取费表'!ah"&amp;$G$1)="",INDIRECT("'数据-取费表'!k"&amp;$G$1),INDIRECT("'数据-取费表'!ah"&amp;$G$1))</f>
        <v>1</v>
      </c>
      <c r="G7" s="1853"/>
      <c r="H7" s="349"/>
      <c r="I7" s="3229"/>
      <c r="J7" s="351"/>
      <c r="K7" s="352"/>
      <c r="L7" s="347" t="s">
        <v>1404</v>
      </c>
      <c r="M7" s="348">
        <f ca="1">F7</f>
        <v>1</v>
      </c>
    </row>
    <row r="8" spans="1:37" ht="18" customHeight="1">
      <c r="A8" s="349"/>
      <c r="B8" s="3229"/>
      <c r="C8" s="351"/>
      <c r="D8" s="352"/>
      <c r="E8" s="347" t="s">
        <v>1405</v>
      </c>
      <c r="F8" s="348">
        <f ca="1">INDIRECT("'数据-取费表'!ai"&amp;$G$1)</f>
        <v>12</v>
      </c>
      <c r="G8" s="1853"/>
      <c r="H8" s="349"/>
      <c r="I8" s="3229"/>
      <c r="J8" s="351"/>
      <c r="K8" s="352"/>
      <c r="L8" s="347" t="s">
        <v>1405</v>
      </c>
      <c r="M8" s="348">
        <f ca="1">INDIRECT("'数据-取费表'!ai"&amp;$G$1)</f>
        <v>12</v>
      </c>
    </row>
    <row r="9" spans="1:37" ht="18" customHeight="1">
      <c r="A9" s="349"/>
      <c r="B9" s="3230"/>
      <c r="C9" s="351"/>
      <c r="D9" s="352"/>
      <c r="E9" s="347" t="s">
        <v>1406</v>
      </c>
      <c r="F9" s="357">
        <f ca="1">INDIRECT("'数据-取费表'!w"&amp;$G$1)</f>
        <v>0.05</v>
      </c>
      <c r="G9" s="1853"/>
      <c r="H9" s="349"/>
      <c r="I9" s="3230"/>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26" t="s">
        <v>3042</v>
      </c>
      <c r="L10" s="358" t="s">
        <v>1408</v>
      </c>
      <c r="M10" s="1368" t="s">
        <v>1409</v>
      </c>
    </row>
    <row r="11" spans="1:37" ht="18" customHeight="1">
      <c r="A11" s="353"/>
      <c r="B11" s="1827" t="s">
        <v>1386</v>
      </c>
      <c r="C11" s="1181"/>
      <c r="D11" s="1828"/>
      <c r="E11" s="358" t="s">
        <v>1410</v>
      </c>
      <c r="F11" s="359">
        <f ca="1">'数据-取费表'!B39</f>
        <v>1.4999999999999999E-2</v>
      </c>
      <c r="G11" s="1853"/>
      <c r="H11" s="1301"/>
      <c r="I11" s="1827" t="s">
        <v>1386</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12</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INDIRECT("'数据-取费表'!m"&amp;$G$1)+INDIRECT("'数据-取费表'!t"&amp;$G$1)</f>
        <v>12</v>
      </c>
      <c r="D14" s="2954" t="s">
        <v>1416</v>
      </c>
      <c r="E14" s="2949"/>
      <c r="F14" s="364"/>
      <c r="G14" s="1853"/>
      <c r="H14" s="1204" t="s">
        <v>1035</v>
      </c>
      <c r="I14" s="347" t="s">
        <v>1417</v>
      </c>
      <c r="J14" s="24">
        <f ca="1">C29</f>
        <v>15</v>
      </c>
      <c r="K14" s="2965"/>
      <c r="L14" s="982"/>
      <c r="M14" s="983"/>
    </row>
    <row r="15" spans="1:37" s="1860" customFormat="1" ht="18" customHeight="1" thickBot="1">
      <c r="A15" s="1204" t="s">
        <v>1036</v>
      </c>
      <c r="B15" s="347" t="s">
        <v>1418</v>
      </c>
      <c r="C15" s="24">
        <f ca="1">ROUND(C14*F15,0)</f>
        <v>1</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ROUND(INDIRECT("'数据-取费表'!m"&amp;$G$1)*F16,0)</f>
        <v>0</v>
      </c>
      <c r="D16" s="347" t="s">
        <v>1419</v>
      </c>
      <c r="E16" s="347" t="s">
        <v>1420</v>
      </c>
      <c r="F16" s="367">
        <f ca="1">IF(INDIRECT("'数据-取费表'!c"&amp;$G$1)="住宅",'数据-取费表'!B34,0)</f>
        <v>0</v>
      </c>
      <c r="G16" s="1853"/>
      <c r="H16" s="1331" t="s">
        <v>1030</v>
      </c>
      <c r="I16" s="1332" t="s">
        <v>1422</v>
      </c>
      <c r="J16" s="355">
        <f ca="1">ROUND(J17+J22+J23+J24,0)</f>
        <v>0</v>
      </c>
      <c r="K16" s="1339" t="s">
        <v>1423</v>
      </c>
      <c r="L16" s="2956"/>
      <c r="M16" s="1296"/>
    </row>
    <row r="17" spans="1:37" s="1860" customFormat="1" ht="18" customHeight="1">
      <c r="A17" s="1204" t="s">
        <v>1388</v>
      </c>
      <c r="B17" s="347" t="s">
        <v>1424</v>
      </c>
      <c r="C17" s="24">
        <f ca="1">ROUND(F17*(F43+INDIRECT("'数据-取费表'!S"&amp;$G$1))/10000,0)</f>
        <v>1</v>
      </c>
      <c r="D17" s="347" t="s">
        <v>1425</v>
      </c>
      <c r="E17" s="347" t="s">
        <v>1426</v>
      </c>
      <c r="F17" s="26">
        <f>'数据-取费表'!B35</f>
        <v>200</v>
      </c>
      <c r="G17" s="1856"/>
      <c r="H17" s="1204" t="s">
        <v>1035</v>
      </c>
      <c r="I17" s="347" t="s">
        <v>1427</v>
      </c>
      <c r="J17" s="24">
        <f ca="1">ROUND(IF(项目基本情况!B11="自然人",J5*M17,J18+J19+J20),1)</f>
        <v>0.1</v>
      </c>
      <c r="K17" s="2954" t="s">
        <v>1428</v>
      </c>
      <c r="L17" s="2952"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0</v>
      </c>
      <c r="D18" s="347" t="s">
        <v>1419</v>
      </c>
      <c r="E18" s="347" t="s">
        <v>1420</v>
      </c>
      <c r="F18" s="367">
        <f>'数据-取费表'!B36</f>
        <v>1.4999999999999999E-2</v>
      </c>
      <c r="G18" s="1856"/>
      <c r="H18" s="1204" t="s">
        <v>1034</v>
      </c>
      <c r="I18" s="347" t="s">
        <v>1431</v>
      </c>
      <c r="J18" s="24">
        <f ca="1">ROUND(J5*M18/(1+'数据-取费表'!C42),2)</f>
        <v>0</v>
      </c>
      <c r="K18" s="2952"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14</v>
      </c>
      <c r="D19" s="140" t="s">
        <v>1434</v>
      </c>
      <c r="E19" s="2963"/>
      <c r="F19" s="26"/>
      <c r="G19" s="1853"/>
      <c r="H19" s="1204" t="s">
        <v>1036</v>
      </c>
      <c r="I19" s="347" t="s">
        <v>1435</v>
      </c>
      <c r="J19" s="24">
        <f ca="1">IF(K19="按租金收入计税",ROUND(J5*M19,2),ROUND(C29*M19*0.7,2))</f>
        <v>0.13</v>
      </c>
      <c r="K19" s="1830" t="s">
        <v>1436</v>
      </c>
      <c r="L19" s="347" t="s">
        <v>1420</v>
      </c>
      <c r="M19" s="367">
        <f>IF(K19="按租金收入计税",'数据-取费表'!B51,'数据-取费表'!B50)</f>
        <v>1.2E-2</v>
      </c>
    </row>
    <row r="20" spans="1:37" s="1860" customFormat="1" ht="18" customHeight="1">
      <c r="A20" s="1204" t="s">
        <v>1039</v>
      </c>
      <c r="B20" s="347" t="s">
        <v>1437</v>
      </c>
      <c r="C20" s="24">
        <f ca="1">ROUND(C19*F20,0)</f>
        <v>0</v>
      </c>
      <c r="D20" s="369" t="s">
        <v>1438</v>
      </c>
      <c r="E20" s="347" t="s">
        <v>1420</v>
      </c>
      <c r="F20" s="367">
        <f>'数据-取费表'!B37</f>
        <v>1.4999999999999999E-2</v>
      </c>
      <c r="G20" s="1856"/>
      <c r="H20" s="1204" t="s">
        <v>1387</v>
      </c>
      <c r="I20" s="164" t="s">
        <v>1439</v>
      </c>
      <c r="J20" s="25">
        <f ca="1">ROUND(M20*M21/10000,2)</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2963"/>
      <c r="F22" s="26"/>
      <c r="G22" s="1853"/>
      <c r="H22" s="1204" t="s">
        <v>1039</v>
      </c>
      <c r="I22" s="347" t="s">
        <v>1447</v>
      </c>
      <c r="J22" s="24">
        <f ca="1">ROUND(J14*M22,1)</f>
        <v>0.2</v>
      </c>
      <c r="K22" s="2952"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ROUND(J13*M23,1)</f>
        <v>0</v>
      </c>
      <c r="K23" s="2952" t="s">
        <v>1452</v>
      </c>
      <c r="L23" s="347" t="s">
        <v>1420</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1390</v>
      </c>
      <c r="I24" s="1342" t="s">
        <v>1437</v>
      </c>
      <c r="J24" s="1343">
        <f ca="1">ROUND(J5*M24,1)</f>
        <v>0</v>
      </c>
      <c r="K24" s="1344" t="s">
        <v>1457</v>
      </c>
      <c r="L24" s="1342" t="s">
        <v>1420</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1458</v>
      </c>
      <c r="B25" s="347" t="s">
        <v>1459</v>
      </c>
      <c r="C25" s="24"/>
      <c r="D25" s="140" t="s">
        <v>1460</v>
      </c>
      <c r="E25" s="2963"/>
      <c r="F25" s="26"/>
      <c r="G25" s="1853"/>
      <c r="H25" s="1331" t="s">
        <v>1031</v>
      </c>
      <c r="I25" s="1346" t="s">
        <v>1461</v>
      </c>
      <c r="J25" s="355">
        <f ca="1">J5-J16</f>
        <v>0</v>
      </c>
      <c r="K25" s="1347" t="s">
        <v>1462</v>
      </c>
      <c r="L25" s="1348"/>
      <c r="M25" s="1349"/>
    </row>
    <row r="26" spans="1:37">
      <c r="A26" s="1204" t="s">
        <v>1034</v>
      </c>
      <c r="B26" s="347" t="s">
        <v>1463</v>
      </c>
      <c r="C26" s="24">
        <f ca="1">ROUND((C19+C20)*F26,0)</f>
        <v>0</v>
      </c>
      <c r="D26" s="369" t="s">
        <v>1464</v>
      </c>
      <c r="E26" s="358" t="s">
        <v>1465</v>
      </c>
      <c r="F26" s="357">
        <f ca="1">INDIRECT("'数据-取费表'!q"&amp;$G$1)</f>
        <v>0.03</v>
      </c>
      <c r="G26" s="1853"/>
      <c r="H26" s="344" t="s">
        <v>1032</v>
      </c>
      <c r="I26" s="345" t="s">
        <v>1466</v>
      </c>
      <c r="J26" s="346">
        <f ca="1">IF(J5&lt;&gt;0,ROUND(J25*(1-((1+M28)/(1+M26))^M27)/(M26-M28),0),0)</f>
        <v>0</v>
      </c>
      <c r="K26" s="370" t="s">
        <v>1467</v>
      </c>
      <c r="L26" s="347" t="s">
        <v>1468</v>
      </c>
      <c r="M26" s="357">
        <f ca="1">INDIRECT("'数据-取费表'!I"&amp;$G$1)</f>
        <v>0.05</v>
      </c>
    </row>
    <row r="27" spans="1:37" ht="18" customHeight="1">
      <c r="A27" s="1204" t="s">
        <v>1036</v>
      </c>
      <c r="B27" s="347" t="s">
        <v>1469</v>
      </c>
      <c r="C27" s="24">
        <f ca="1">ROUND(F21*F26,4)</f>
        <v>5.9999999999999995E-4</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15</v>
      </c>
      <c r="D29" s="1344"/>
      <c r="E29" s="1342"/>
      <c r="F29" s="1345"/>
      <c r="G29" s="1856"/>
      <c r="H29" s="380" t="s">
        <v>1033</v>
      </c>
      <c r="I29" s="381" t="s">
        <v>1477</v>
      </c>
      <c r="J29" s="382">
        <f ca="1">ROUND(J26/(1+F40)^F41,0)</f>
        <v>0</v>
      </c>
      <c r="K29" s="383" t="s">
        <v>1478</v>
      </c>
      <c r="L29" s="384"/>
      <c r="M29" s="385">
        <f ca="1">INDIRECT("'数据-取费表'!k"&amp;$G$1)</f>
        <v>62.3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0</v>
      </c>
      <c r="D30" s="1339" t="s">
        <v>1423</v>
      </c>
      <c r="E30" s="2956"/>
      <c r="F30" s="1296"/>
      <c r="G30" s="1853"/>
      <c r="H30" s="745"/>
      <c r="I30" s="746"/>
      <c r="J30" s="747"/>
      <c r="K30" s="748"/>
      <c r="L30" s="749"/>
      <c r="M30" s="750"/>
    </row>
    <row r="31" spans="1:37" ht="18" customHeight="1">
      <c r="A31" s="1204" t="s">
        <v>1035</v>
      </c>
      <c r="B31" s="347" t="s">
        <v>1427</v>
      </c>
      <c r="C31" s="24">
        <f ca="1">ROUND(IF(项目基本情况!B11="自然人",C5*F31,C32+C33+C34),1)</f>
        <v>0.2</v>
      </c>
      <c r="D31" s="2954" t="s">
        <v>1428</v>
      </c>
      <c r="E31" s="2952"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IF(项目基本情况!B11="自然人","——",ROUND(C5*F32/(1+'数据-取费表'!C42),2))</f>
        <v>0.05</v>
      </c>
      <c r="D32" s="2952"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IF(项目基本情况!B11="自然人","——",IF(D33="按租金收入计税",ROUND(C5*F33,2),IF(D33="按房产原值计税",ROUND(C29*F33*0.7,2),INDIRECT("'数据-取费表'!Aj"&amp;$G$1))))</f>
        <v>0.12</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IF(项目基本情况!B11="自然人","——",ROUND(F34*F35/10000,2))</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ROUND(C29*F36,1)</f>
        <v>0.2</v>
      </c>
      <c r="D36" s="2952"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ROUND(C13*F37,1)</f>
        <v>0</v>
      </c>
      <c r="D37" s="2952" t="s">
        <v>1452</v>
      </c>
      <c r="E37" s="347" t="s">
        <v>1420</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0</v>
      </c>
      <c r="D38" s="1344" t="s">
        <v>1457</v>
      </c>
      <c r="E38" s="1342" t="s">
        <v>1420</v>
      </c>
      <c r="F38" s="1338">
        <f ca="1">INDIRECT("'数据-取费表'!Am"&amp;$G$1)</f>
        <v>0.01</v>
      </c>
      <c r="G38" s="1853"/>
      <c r="H38" s="1861"/>
      <c r="I38" s="1862"/>
      <c r="J38" s="1863"/>
      <c r="K38" s="1867"/>
      <c r="L38" s="1861"/>
      <c r="M38" s="1861"/>
    </row>
    <row r="39" spans="1:18" ht="24.6" customHeight="1" thickTop="1">
      <c r="A39" s="1331" t="s">
        <v>1031</v>
      </c>
      <c r="B39" s="1346" t="s">
        <v>1461</v>
      </c>
      <c r="C39" s="355">
        <f ca="1">C5-C30</f>
        <v>1</v>
      </c>
      <c r="D39" s="1347" t="s">
        <v>1462</v>
      </c>
      <c r="E39" s="1348"/>
      <c r="F39" s="1349"/>
      <c r="G39" s="1853"/>
      <c r="H39" s="1861"/>
      <c r="I39" s="1862"/>
      <c r="J39" s="1863"/>
      <c r="K39" s="1867"/>
      <c r="L39" s="1861"/>
      <c r="M39" s="1861"/>
    </row>
    <row r="40" spans="1:18" ht="18" customHeight="1">
      <c r="A40" s="344" t="s">
        <v>1032</v>
      </c>
      <c r="B40" s="345" t="s">
        <v>1483</v>
      </c>
      <c r="C40" s="346">
        <f ca="1">ROUND(C39*(1-((1+F42)/(1+F40))^F41)/(F40-F42),0)</f>
        <v>20</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ROUND(C40*10000/F43,0)</f>
        <v>3210</v>
      </c>
      <c r="D43" s="383" t="s">
        <v>1486</v>
      </c>
      <c r="E43" s="384" t="s">
        <v>1487</v>
      </c>
      <c r="F43" s="385">
        <f ca="1">INDIRECT("'数据-取费表'!k"&amp;$G$1)</f>
        <v>62.3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-48</v>
      </c>
      <c r="D46" s="1874" t="str">
        <f>C2</f>
        <v>万元</v>
      </c>
      <c r="E46" s="1868"/>
      <c r="F46" s="1868"/>
      <c r="I46" s="1875" t="s">
        <v>1519</v>
      </c>
      <c r="J46" s="1876"/>
      <c r="K46" s="1877"/>
      <c r="L46" s="1878">
        <f ca="1">IF(M47="住宅",0,IF(L48&gt;J51,L60,J60))</f>
        <v>1</v>
      </c>
      <c r="O46" s="1879" t="s">
        <v>1520</v>
      </c>
      <c r="P46" s="1880" t="s">
        <v>1521</v>
      </c>
      <c r="Q46" s="1881" t="s">
        <v>1522</v>
      </c>
      <c r="R46" s="1881" t="s">
        <v>1523</v>
      </c>
    </row>
    <row r="47" spans="1:18" s="1844" customFormat="1" ht="13.5" thickBot="1">
      <c r="A47" s="1168" t="s">
        <v>1394</v>
      </c>
      <c r="B47" s="1200" t="s">
        <v>1395</v>
      </c>
      <c r="C47" s="1369"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20</v>
      </c>
      <c r="R47" s="1888" t="s">
        <v>1527</v>
      </c>
    </row>
    <row r="48" spans="1:18" s="1844" customFormat="1" ht="28.5" thickBot="1">
      <c r="A48" s="1362" t="s">
        <v>1135</v>
      </c>
      <c r="B48" s="345" t="s">
        <v>1399</v>
      </c>
      <c r="C48" s="2962">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1</v>
      </c>
      <c r="R48" s="1888" t="s">
        <v>1531</v>
      </c>
    </row>
    <row r="49" spans="1:18" s="1844" customFormat="1" ht="13.5" thickBot="1">
      <c r="A49" s="1197" t="s">
        <v>1136</v>
      </c>
      <c r="B49" s="1831" t="s">
        <v>1488</v>
      </c>
      <c r="C49" s="1366">
        <f ca="1">ROUND(F49*F51*F50*(1-F52)/10000,0)</f>
        <v>0</v>
      </c>
      <c r="D49" s="1278" t="s">
        <v>3033</v>
      </c>
      <c r="E49" s="1832" t="s">
        <v>1489</v>
      </c>
      <c r="F49" s="1283"/>
      <c r="G49" s="1893"/>
      <c r="H49" s="793"/>
      <c r="I49" s="1889" t="s">
        <v>1532</v>
      </c>
      <c r="J49" s="1894">
        <v>1999</v>
      </c>
      <c r="K49" s="1891" t="s">
        <v>1533</v>
      </c>
      <c r="L49" s="1895"/>
      <c r="O49" s="1896" t="s">
        <v>1042</v>
      </c>
      <c r="P49" s="1887" t="s">
        <v>1534</v>
      </c>
      <c r="Q49" s="1888">
        <f ca="1">C29</f>
        <v>15</v>
      </c>
      <c r="R49" s="1888" t="s">
        <v>1527</v>
      </c>
    </row>
    <row r="50" spans="1:18" s="1844" customFormat="1" ht="13.5" thickBot="1">
      <c r="A50" s="1198"/>
      <c r="B50" s="1201"/>
      <c r="C50" s="1370"/>
      <c r="D50" s="1175"/>
      <c r="E50" s="1279" t="s">
        <v>1404</v>
      </c>
      <c r="F50" s="1280">
        <f ca="1">F7</f>
        <v>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12</v>
      </c>
      <c r="I51" s="1900" t="s">
        <v>1538</v>
      </c>
      <c r="J51" s="1901">
        <f>IF(J49="",J50,J49+J50-YEAR('数据-取费表'!B2))</f>
        <v>41</v>
      </c>
      <c r="K51" s="1902" t="s">
        <v>1539</v>
      </c>
      <c r="L51" s="1903">
        <f ca="1">ROUND(-PV(INDIRECT("'数据-取费表'!h"&amp;$G$1),L48,(C39-C13*C76),0),0)</f>
        <v>0</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24.75" thickBot="1">
      <c r="A53" s="1407" t="s">
        <v>1137</v>
      </c>
      <c r="B53" s="1833" t="s">
        <v>1407</v>
      </c>
      <c r="C53" s="361">
        <f ca="1">ROUND(IF(F53="押一",C49/12*F11,IF(F53="押二",C49/12*2*F11,IF(F53="押三",C49/12*3*F11,C54*F11))),0)</f>
        <v>0</v>
      </c>
      <c r="D53" s="1826" t="s">
        <v>3042</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6" t="s">
        <v>1546</v>
      </c>
      <c r="L53" s="3227"/>
      <c r="O53" s="1886" t="s">
        <v>1046</v>
      </c>
      <c r="P53" s="1887" t="s">
        <v>1547</v>
      </c>
      <c r="Q53" s="1888">
        <f ca="1">Q47+Q48</f>
        <v>21</v>
      </c>
      <c r="R53" s="1888" t="s">
        <v>1047</v>
      </c>
    </row>
    <row r="54" spans="1:18" s="1844" customFormat="1" ht="13.5" thickBot="1">
      <c r="A54" s="1408"/>
      <c r="B54" s="1827" t="s">
        <v>1386</v>
      </c>
      <c r="C54" s="1181"/>
      <c r="D54" s="1826"/>
      <c r="E54" s="295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2958"/>
      <c r="F55" s="1909"/>
      <c r="I55" s="1912" t="s">
        <v>1549</v>
      </c>
      <c r="J55" s="1913">
        <f ca="1">ROUND(IF(J47="钢混",J57/J50,1-(1-2%)*(J50-J57)/J50),3)</f>
        <v>0.26200000000000001</v>
      </c>
      <c r="K55" s="1914" t="s">
        <v>1550</v>
      </c>
      <c r="L55" s="1915" t="s">
        <v>1551</v>
      </c>
      <c r="O55" s="1879" t="s">
        <v>1520</v>
      </c>
      <c r="P55" s="1880" t="s">
        <v>1521</v>
      </c>
      <c r="Q55" s="1881" t="s">
        <v>1522</v>
      </c>
      <c r="R55" s="1881" t="s">
        <v>1523</v>
      </c>
    </row>
    <row r="56" spans="1:18" s="1844" customFormat="1" ht="25.5" thickTop="1" thickBot="1">
      <c r="A56" s="1179">
        <v>2</v>
      </c>
      <c r="B56" s="1180" t="s">
        <v>1412</v>
      </c>
      <c r="C56" s="276">
        <f ca="1">C13</f>
        <v>12</v>
      </c>
      <c r="D56" s="1916"/>
      <c r="E56" s="1917"/>
      <c r="F56" s="1909"/>
      <c r="I56" s="1918" t="s">
        <v>1552</v>
      </c>
      <c r="J56" s="1919" t="s">
        <v>3067</v>
      </c>
      <c r="K56" s="1889" t="s">
        <v>1553</v>
      </c>
      <c r="L56" s="1892" t="str">
        <f ca="1">IF(L48&lt;J51,"——",L48-J53)</f>
        <v>——</v>
      </c>
      <c r="O56" s="1886" t="s">
        <v>1040</v>
      </c>
      <c r="P56" s="1887" t="s">
        <v>1526</v>
      </c>
      <c r="Q56" s="1888">
        <f ca="1">C40+J29</f>
        <v>20</v>
      </c>
      <c r="R56" s="1888" t="s">
        <v>1527</v>
      </c>
    </row>
    <row r="57" spans="1:18" s="1844" customFormat="1" ht="24.75" thickBot="1">
      <c r="A57" s="1920"/>
      <c r="B57" s="1172" t="s">
        <v>1476</v>
      </c>
      <c r="C57" s="282">
        <f ca="1">C29</f>
        <v>15</v>
      </c>
      <c r="D57" s="1921"/>
      <c r="E57" s="1922"/>
      <c r="F57" s="1923"/>
      <c r="I57" s="1924" t="s">
        <v>1554</v>
      </c>
      <c r="J57" s="1925">
        <f ca="1">IF(OR(M47="住宅",J51&lt;L48,J56="是"),"——",J51-L48)</f>
        <v>15.719999999999999</v>
      </c>
      <c r="K57" s="1889" t="s">
        <v>1555</v>
      </c>
      <c r="L57" s="1892" t="str">
        <f ca="1">IF(L48&lt;J51,"——",IF(L55="比较法",L49,IF(L55="基准地价",L50,L51)))</f>
        <v>——</v>
      </c>
      <c r="O57" s="1886" t="s">
        <v>1041</v>
      </c>
      <c r="P57" s="1887" t="s">
        <v>1556</v>
      </c>
      <c r="Q57" s="1888">
        <f ca="1">L60</f>
        <v>0</v>
      </c>
      <c r="R57" s="1888" t="s">
        <v>1557</v>
      </c>
    </row>
    <row r="58" spans="1:18" s="1844" customFormat="1" ht="24.75" thickBot="1">
      <c r="A58" s="360" t="s">
        <v>1030</v>
      </c>
      <c r="B58" s="1180" t="s">
        <v>1422</v>
      </c>
      <c r="C58" s="361">
        <f ca="1">ROUND(C59+C64+C65+C66,0)</f>
        <v>2</v>
      </c>
      <c r="D58" s="1182" t="s">
        <v>1423</v>
      </c>
      <c r="E58" s="1183"/>
      <c r="F58" s="1184"/>
      <c r="I58" s="1924" t="s">
        <v>1558</v>
      </c>
      <c r="J58" s="1926">
        <f ca="1">IF(J55&lt;0.4,0.4,J55)</f>
        <v>0.4</v>
      </c>
      <c r="K58" s="1902" t="s">
        <v>1559</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ROUND(IF(项目基本情况!B11="自然人",C48*F59,C60+C61+C62),1)</f>
        <v>1.3</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IF(项目基本情况!B11="自然人","——",ROUND(C48*F60/(1+'数据-取费表'!C42),2))</f>
        <v>0</v>
      </c>
      <c r="D60" s="1186" t="s">
        <v>1432</v>
      </c>
      <c r="E60" s="1172" t="s">
        <v>1420</v>
      </c>
      <c r="F60" s="377">
        <f t="shared" ref="F60:F66" si="0">F32</f>
        <v>5.6000000000000001E-2</v>
      </c>
      <c r="I60" s="1927" t="s">
        <v>1563</v>
      </c>
      <c r="J60" s="1928">
        <f ca="1">IF(OR(M47="住宅",J51&lt;L48,J56="是"),"0",ROUND(J59/(1+J52)^J53,0))</f>
        <v>1</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1435</v>
      </c>
      <c r="C61" s="24">
        <f ca="1">IF(项目基本情况!B11="自然人","——",IF(D61="按租金收入计税",ROUND(C48*F61,2),IF(D61="按房产原值计税",ROUND(C57*F61*0.7,2),INDIRECT("'数据-取费表'!Aj"&amp;$G$1))))</f>
        <v>1.26</v>
      </c>
      <c r="D61" s="1830" t="s">
        <v>1436</v>
      </c>
      <c r="E61" s="1172" t="s">
        <v>1420</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1439</v>
      </c>
      <c r="C62" s="25">
        <f ca="1">IF(项目基本情况!B11="自然人","——",ROUND(F62*F63/10000,2))</f>
        <v>0</v>
      </c>
      <c r="D62" s="1187" t="s">
        <v>1440</v>
      </c>
      <c r="E62" s="1172" t="s">
        <v>1441</v>
      </c>
      <c r="F62" s="371">
        <f t="shared" si="0"/>
        <v>0</v>
      </c>
      <c r="I62" s="1931" t="s">
        <v>1568</v>
      </c>
      <c r="J62" s="1932" t="s">
        <v>1569</v>
      </c>
      <c r="K62" s="1932" t="s">
        <v>1570</v>
      </c>
      <c r="L62" s="1932" t="s">
        <v>1571</v>
      </c>
      <c r="M62" s="1933" t="s">
        <v>1572</v>
      </c>
      <c r="O62" s="1886" t="s">
        <v>1046</v>
      </c>
      <c r="P62" s="1887" t="s">
        <v>1547</v>
      </c>
      <c r="Q62" s="1888">
        <f ca="1">Q56+Q57</f>
        <v>20</v>
      </c>
      <c r="R62" s="1888" t="s">
        <v>1047</v>
      </c>
    </row>
    <row r="63" spans="1:18" s="1844" customFormat="1" ht="13.5" thickBot="1">
      <c r="A63" s="372"/>
      <c r="B63" s="1178"/>
      <c r="C63" s="29"/>
      <c r="D63" s="1188"/>
      <c r="E63" s="1172" t="s">
        <v>1445</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1039</v>
      </c>
      <c r="B64" s="1172" t="s">
        <v>1447</v>
      </c>
      <c r="C64" s="24">
        <f ca="1">ROUND(C57*F64,1)</f>
        <v>0.2</v>
      </c>
      <c r="D64" s="1186" t="s">
        <v>1480</v>
      </c>
      <c r="E64" s="1172" t="s">
        <v>1420</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ROUND(C56*F65,1)</f>
        <v>0</v>
      </c>
      <c r="D65" s="1186" t="s">
        <v>1452</v>
      </c>
      <c r="E65" s="1172" t="s">
        <v>1420</v>
      </c>
      <c r="F65" s="376">
        <f t="shared" ca="1" si="0"/>
        <v>1.5E-3</v>
      </c>
      <c r="I65" s="1931" t="s">
        <v>1577</v>
      </c>
      <c r="J65" s="1932">
        <v>40</v>
      </c>
      <c r="K65" s="1932">
        <v>30</v>
      </c>
      <c r="L65" s="1932">
        <v>50</v>
      </c>
      <c r="M65" s="1934">
        <v>0.02</v>
      </c>
      <c r="O65" s="1886" t="s">
        <v>1040</v>
      </c>
      <c r="P65" s="1887" t="s">
        <v>1526</v>
      </c>
      <c r="Q65" s="1888">
        <f ca="1">C40+J29</f>
        <v>20</v>
      </c>
      <c r="R65" s="1888" t="s">
        <v>1527</v>
      </c>
    </row>
    <row r="66" spans="1:18" s="1844" customFormat="1" ht="16.5" thickBot="1">
      <c r="A66" s="1204" t="s">
        <v>1502</v>
      </c>
      <c r="B66" s="1172" t="s">
        <v>1437</v>
      </c>
      <c r="C66" s="24">
        <f ca="1">ROUND(C48*F66,1)</f>
        <v>0</v>
      </c>
      <c r="D66" s="1186" t="s">
        <v>1457</v>
      </c>
      <c r="E66" s="1172" t="s">
        <v>1420</v>
      </c>
      <c r="F66" s="357">
        <f t="shared" ca="1" si="0"/>
        <v>0.01</v>
      </c>
      <c r="O66" s="1886" t="s">
        <v>1041</v>
      </c>
      <c r="P66" s="1887" t="s">
        <v>1556</v>
      </c>
      <c r="Q66" s="1888">
        <f ca="1">L60</f>
        <v>0</v>
      </c>
      <c r="R66" s="1888" t="s">
        <v>1579</v>
      </c>
    </row>
    <row r="67" spans="1:18" s="1844" customFormat="1" ht="16.5" thickBot="1">
      <c r="A67" s="1179" t="s">
        <v>1031</v>
      </c>
      <c r="B67" s="1189" t="s">
        <v>1461</v>
      </c>
      <c r="C67" s="361">
        <f ca="1">C48-C58</f>
        <v>-2</v>
      </c>
      <c r="D67" s="1185" t="s">
        <v>1462</v>
      </c>
      <c r="E67" s="1190"/>
      <c r="F67" s="1191"/>
      <c r="O67" s="1896" t="s">
        <v>1042</v>
      </c>
      <c r="P67" s="1887" t="s">
        <v>1560</v>
      </c>
      <c r="Q67" s="1935">
        <f ca="1">L51</f>
        <v>0</v>
      </c>
      <c r="R67" s="1888" t="s">
        <v>1580</v>
      </c>
    </row>
    <row r="68" spans="1:18" s="1844" customFormat="1" ht="16.5" thickBot="1">
      <c r="A68" s="1169" t="s">
        <v>1032</v>
      </c>
      <c r="B68" s="1170" t="s">
        <v>1483</v>
      </c>
      <c r="C68" s="346">
        <f ca="1">ROUND(C67*(1-((1+F70)/(1+F68))^F69)/(F68-F70),0)</f>
        <v>-28</v>
      </c>
      <c r="D68" s="1187" t="s">
        <v>1467</v>
      </c>
      <c r="E68" s="1172" t="s">
        <v>1468</v>
      </c>
      <c r="F68" s="357">
        <f ca="1">F40</f>
        <v>0.05</v>
      </c>
      <c r="O68" s="1896" t="s">
        <v>1043</v>
      </c>
      <c r="P68" s="1936" t="s">
        <v>1581</v>
      </c>
      <c r="Q68" s="1888">
        <f ca="1">ROUND(Q69-Q70*Q71,0)</f>
        <v>0</v>
      </c>
      <c r="R68" s="1888" t="s">
        <v>1051</v>
      </c>
    </row>
    <row r="69" spans="1:18" s="1844" customFormat="1" ht="13.5" thickBot="1">
      <c r="A69" s="1173"/>
      <c r="B69" s="1174"/>
      <c r="C69" s="351"/>
      <c r="D69" s="1192" t="s">
        <v>1471</v>
      </c>
      <c r="E69" s="1172" t="s">
        <v>1472</v>
      </c>
      <c r="F69" s="379">
        <f ca="1">F41</f>
        <v>25.28</v>
      </c>
      <c r="O69" s="1896" t="s">
        <v>1048</v>
      </c>
      <c r="P69" s="1936" t="s">
        <v>1582</v>
      </c>
      <c r="Q69" s="1888">
        <f ca="1">C39</f>
        <v>1</v>
      </c>
      <c r="R69" s="1888" t="s">
        <v>1527</v>
      </c>
    </row>
    <row r="70" spans="1:18" s="1844" customFormat="1" ht="13.5" thickBot="1">
      <c r="A70" s="1176"/>
      <c r="B70" s="1177"/>
      <c r="C70" s="355"/>
      <c r="D70" s="1188"/>
      <c r="E70" s="1172" t="s">
        <v>1475</v>
      </c>
      <c r="F70" s="1277"/>
      <c r="O70" s="1896" t="s">
        <v>1049</v>
      </c>
      <c r="P70" s="1936" t="s">
        <v>1583</v>
      </c>
      <c r="Q70" s="1888">
        <f ca="1">C13</f>
        <v>12</v>
      </c>
      <c r="R70" s="1888" t="s">
        <v>1527</v>
      </c>
    </row>
    <row r="71" spans="1:18" s="1844" customFormat="1" ht="13.5" thickBot="1">
      <c r="A71" s="1193" t="s">
        <v>1033</v>
      </c>
      <c r="B71" s="1194" t="s">
        <v>1485</v>
      </c>
      <c r="C71" s="382">
        <f ca="1">ROUND(C68*10000/F71,0)</f>
        <v>-4494</v>
      </c>
      <c r="D71" s="1195" t="s">
        <v>1486</v>
      </c>
      <c r="E71" s="1196" t="s">
        <v>1487</v>
      </c>
      <c r="F71" s="385">
        <f ca="1">F43</f>
        <v>62.3</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1</v>
      </c>
      <c r="D75" s="1844"/>
      <c r="E75" s="1844"/>
      <c r="F75" s="1844"/>
      <c r="K75" s="1870"/>
      <c r="L75" s="1844"/>
      <c r="O75" s="1886" t="s">
        <v>1046</v>
      </c>
      <c r="P75" s="1887" t="s">
        <v>1547</v>
      </c>
      <c r="Q75" s="1888">
        <f ca="1">Q65+Q66</f>
        <v>20</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v>
      </c>
    </row>
    <row r="80" spans="1:18">
      <c r="B80" s="386" t="s">
        <v>1509</v>
      </c>
      <c r="C80" s="318">
        <f ca="1">ROUND(C75/C39,3)</f>
        <v>1</v>
      </c>
    </row>
    <row r="81" spans="2:3">
      <c r="B81" s="314" t="s">
        <v>1510</v>
      </c>
      <c r="C81" s="282"/>
    </row>
    <row r="82" spans="2:3">
      <c r="B82" s="317" t="s">
        <v>1511</v>
      </c>
      <c r="C82" s="319">
        <f ca="1">1-C83</f>
        <v>0.4</v>
      </c>
    </row>
    <row r="83" spans="2:3">
      <c r="B83" s="317" t="s">
        <v>1512</v>
      </c>
      <c r="C83" s="318">
        <f ca="1">ROUND(C13/C40,3)</f>
        <v>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D40" sqref="D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3049</v>
      </c>
      <c r="D1" s="1822" t="s">
        <v>70</v>
      </c>
      <c r="E1" s="1823" t="s">
        <v>1385</v>
      </c>
      <c r="F1" s="1285">
        <f ca="1">J53</f>
        <v>25.28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1588</v>
      </c>
      <c r="B2" s="1846">
        <f ca="1">ROUND(D2/10000,0)</f>
        <v>18</v>
      </c>
      <c r="C2" s="1847" t="s">
        <v>1589</v>
      </c>
      <c r="D2" s="1940">
        <f ca="1">C40+J29+L46</f>
        <v>179705</v>
      </c>
      <c r="E2" s="1848" t="s">
        <v>1590</v>
      </c>
      <c r="F2" s="1849"/>
      <c r="G2" s="1850"/>
      <c r="H2" s="1842"/>
      <c r="I2" s="1842"/>
      <c r="J2" s="1842"/>
      <c r="K2" s="1843"/>
      <c r="L2" s="1842"/>
      <c r="M2" s="1842"/>
    </row>
    <row r="3" spans="1:37" ht="18" customHeight="1" thickBot="1">
      <c r="A3" s="1851" t="s">
        <v>1591</v>
      </c>
      <c r="B3" s="1852">
        <f ca="1">IF(ISERROR(D2/F43),0,ROUND(D2/F43,0))</f>
        <v>2885</v>
      </c>
      <c r="C3" s="1847" t="s">
        <v>1592</v>
      </c>
      <c r="D3" s="1847"/>
      <c r="E3" s="1848"/>
      <c r="F3" s="1849"/>
      <c r="G3" s="1850"/>
      <c r="H3" s="744"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4">
        <f ca="1">C6+C10+C12</f>
        <v>13680</v>
      </c>
      <c r="D5" s="1824" t="s">
        <v>1599</v>
      </c>
      <c r="E5" s="1295"/>
      <c r="F5" s="1296"/>
      <c r="G5" s="1853"/>
      <c r="H5" s="344">
        <v>1</v>
      </c>
      <c r="I5" s="345" t="s">
        <v>1598</v>
      </c>
      <c r="J5" s="1294">
        <f ca="1">J6+J10+J12</f>
        <v>0</v>
      </c>
      <c r="K5" s="1824" t="s">
        <v>1599</v>
      </c>
      <c r="L5" s="1295"/>
      <c r="M5" s="1296"/>
    </row>
    <row r="6" spans="1:37" ht="18" customHeight="1">
      <c r="A6" s="1293" t="s">
        <v>1035</v>
      </c>
      <c r="B6" s="3228" t="s">
        <v>1401</v>
      </c>
      <c r="C6" s="1298">
        <f ca="1">ROUND(F6*F8*F7*(1-F9),0)</f>
        <v>13680</v>
      </c>
      <c r="D6" s="164" t="s">
        <v>3031</v>
      </c>
      <c r="E6" s="347" t="s">
        <v>1403</v>
      </c>
      <c r="F6" s="348">
        <f ca="1">INDIRECT("'数据-取费表'!u"&amp;$G$1)</f>
        <v>1200</v>
      </c>
      <c r="G6" s="1853"/>
      <c r="H6" s="1293" t="s">
        <v>1035</v>
      </c>
      <c r="I6" s="3228" t="s">
        <v>1401</v>
      </c>
      <c r="J6" s="346">
        <f ca="1">ROUND(M6*M8*M7*(1-M9),0)</f>
        <v>0</v>
      </c>
      <c r="K6" s="1836" t="s">
        <v>3032</v>
      </c>
      <c r="L6" s="347" t="s">
        <v>1403</v>
      </c>
      <c r="M6" s="348">
        <f ca="1">INDIRECT("'数据-取费表'!z"&amp;$G$1)</f>
        <v>0</v>
      </c>
    </row>
    <row r="7" spans="1:37" ht="18" customHeight="1">
      <c r="A7" s="1297"/>
      <c r="B7" s="3229"/>
      <c r="C7" s="1299"/>
      <c r="D7" s="352"/>
      <c r="E7" s="1300" t="s">
        <v>1404</v>
      </c>
      <c r="F7" s="348">
        <f ca="1">IF(INDIRECT("'数据-取费表'!ah"&amp;$G$1)="",INDIRECT("'数据-取费表'!k"&amp;$G$1),INDIRECT("'数据-取费表'!ah"&amp;$G$1))</f>
        <v>1</v>
      </c>
      <c r="G7" s="1853"/>
      <c r="H7" s="349"/>
      <c r="I7" s="3229"/>
      <c r="J7" s="351"/>
      <c r="K7" s="352"/>
      <c r="L7" s="347" t="s">
        <v>1404</v>
      </c>
      <c r="M7" s="348">
        <f ca="1">F7</f>
        <v>1</v>
      </c>
    </row>
    <row r="8" spans="1:37" ht="18" customHeight="1">
      <c r="A8" s="349"/>
      <c r="B8" s="3229"/>
      <c r="C8" s="351"/>
      <c r="D8" s="352"/>
      <c r="E8" s="347" t="s">
        <v>1405</v>
      </c>
      <c r="F8" s="348">
        <f ca="1">INDIRECT("'数据-取费表'!ai"&amp;$G$1)</f>
        <v>12</v>
      </c>
      <c r="G8" s="1853"/>
      <c r="H8" s="349"/>
      <c r="I8" s="3229"/>
      <c r="J8" s="351"/>
      <c r="K8" s="352"/>
      <c r="L8" s="347" t="s">
        <v>1405</v>
      </c>
      <c r="M8" s="348">
        <f ca="1">INDIRECT("'数据-取费表'!ai"&amp;$G$1)</f>
        <v>12</v>
      </c>
    </row>
    <row r="9" spans="1:37" ht="18" customHeight="1">
      <c r="A9" s="349"/>
      <c r="B9" s="3230"/>
      <c r="C9" s="351"/>
      <c r="D9" s="352"/>
      <c r="E9" s="347" t="s">
        <v>1406</v>
      </c>
      <c r="F9" s="357">
        <f ca="1">INDIRECT("'数据-取费表'!w"&amp;$G$1)</f>
        <v>0.05</v>
      </c>
      <c r="G9" s="1853"/>
      <c r="H9" s="349"/>
      <c r="I9" s="3230"/>
      <c r="J9" s="351"/>
      <c r="K9" s="352"/>
      <c r="L9" s="358" t="s">
        <v>1406</v>
      </c>
      <c r="M9" s="359">
        <f ca="1">INDIRECT("'数据-取费表'!ab"&amp;$G$1)</f>
        <v>0</v>
      </c>
    </row>
    <row r="10" spans="1:37" ht="18" customHeight="1">
      <c r="A10" s="1293" t="s">
        <v>1039</v>
      </c>
      <c r="B10" s="1825" t="s">
        <v>1407</v>
      </c>
      <c r="C10" s="361">
        <f ca="1">ROUND(IF(F10="押一",C6/12*F11,IF(F10="押二",C6/12*2*F11,IF(F10="押三",C6/12*3*F11,C11*F11))),0)</f>
        <v>0</v>
      </c>
      <c r="D10" s="1826" t="s">
        <v>3042</v>
      </c>
      <c r="E10" s="358" t="s">
        <v>1408</v>
      </c>
      <c r="F10" s="1368"/>
      <c r="G10" s="1853"/>
      <c r="H10" s="1293" t="s">
        <v>1039</v>
      </c>
      <c r="I10" s="1825" t="s">
        <v>1407</v>
      </c>
      <c r="J10" s="346">
        <f ca="1">ROUND(IF(M10="押一",J6/12*M11,IF(M10="押二",J6/12*2*M11,IF(M10="押三",J6/12*3*M11,J11*M11))),0)</f>
        <v>0</v>
      </c>
      <c r="K10" s="1837" t="s">
        <v>3044</v>
      </c>
      <c r="L10" s="358" t="s">
        <v>1408</v>
      </c>
      <c r="M10" s="1368"/>
    </row>
    <row r="11" spans="1:37" ht="18" customHeight="1">
      <c r="A11" s="353"/>
      <c r="B11" s="1827" t="s">
        <v>1600</v>
      </c>
      <c r="C11" s="1181"/>
      <c r="D11" s="352"/>
      <c r="E11" s="358" t="s">
        <v>1410</v>
      </c>
      <c r="F11" s="359">
        <f ca="1">'数据-取费表'!B39</f>
        <v>1.4999999999999999E-2</v>
      </c>
      <c r="G11" s="1853"/>
      <c r="H11" s="1301"/>
      <c r="I11" s="1827" t="s">
        <v>1601</v>
      </c>
      <c r="J11" s="1181"/>
      <c r="K11" s="748"/>
      <c r="L11" s="358" t="s">
        <v>1410</v>
      </c>
      <c r="M11" s="1059">
        <f ca="1">'数据-取费表'!B39</f>
        <v>1.4999999999999999E-2</v>
      </c>
    </row>
    <row r="12" spans="1:37" ht="18" customHeight="1" thickBot="1">
      <c r="A12" s="1335" t="s">
        <v>1075</v>
      </c>
      <c r="B12" s="1829" t="s">
        <v>1411</v>
      </c>
      <c r="C12" s="1336"/>
      <c r="D12" s="1337"/>
      <c r="E12" s="1342"/>
      <c r="F12" s="1338"/>
      <c r="G12" s="1853"/>
      <c r="H12" s="1335" t="s">
        <v>1075</v>
      </c>
      <c r="I12" s="1829" t="s">
        <v>1411</v>
      </c>
      <c r="J12" s="1336"/>
      <c r="K12" s="1350"/>
      <c r="L12" s="1342"/>
      <c r="M12" s="1351"/>
    </row>
    <row r="13" spans="1:37" ht="18" customHeight="1" thickTop="1">
      <c r="A13" s="1331">
        <v>2</v>
      </c>
      <c r="B13" s="1332" t="s">
        <v>1412</v>
      </c>
      <c r="C13" s="355">
        <f ca="1">ROUND(C29*F13,0)</f>
        <v>128896</v>
      </c>
      <c r="D13" s="1333" t="s">
        <v>1413</v>
      </c>
      <c r="E13" s="1333" t="s">
        <v>1414</v>
      </c>
      <c r="F13" s="1334">
        <f ca="1">INDIRECT("'数据-取费表'!y"&amp;$G$1)</f>
        <v>0.77</v>
      </c>
      <c r="G13" s="1853"/>
      <c r="H13" s="1331">
        <v>2</v>
      </c>
      <c r="I13" s="1332" t="s">
        <v>1412</v>
      </c>
      <c r="J13" s="1292">
        <f ca="1">ROUND(J14*J15,0)</f>
        <v>0</v>
      </c>
      <c r="K13" s="1339" t="s">
        <v>1413</v>
      </c>
      <c r="L13" s="1854"/>
      <c r="M13" s="1855"/>
    </row>
    <row r="14" spans="1:37" ht="18" customHeight="1">
      <c r="A14" s="1204" t="s">
        <v>1034</v>
      </c>
      <c r="B14" s="347" t="s">
        <v>1415</v>
      </c>
      <c r="C14" s="363">
        <f ca="1">ROUND(INDIRECT("'数据-取费表'!l"&amp;$G$1)*F43+'数据-取费表'!L14*INDIRECT("'数据-取费表'!S"&amp;$G$1),0)</f>
        <v>124600</v>
      </c>
      <c r="D14" s="1802" t="s">
        <v>1416</v>
      </c>
      <c r="E14" s="1796"/>
      <c r="F14" s="364"/>
      <c r="G14" s="1853"/>
      <c r="H14" s="1204" t="s">
        <v>1035</v>
      </c>
      <c r="I14" s="347" t="s">
        <v>1417</v>
      </c>
      <c r="J14" s="24">
        <f ca="1">C29</f>
        <v>167398</v>
      </c>
      <c r="K14" s="15"/>
      <c r="L14" s="982"/>
      <c r="M14" s="983"/>
    </row>
    <row r="15" spans="1:37" s="1860" customFormat="1" ht="18" customHeight="1" thickBot="1">
      <c r="A15" s="1204" t="s">
        <v>1036</v>
      </c>
      <c r="B15" s="347" t="s">
        <v>1418</v>
      </c>
      <c r="C15" s="24">
        <f ca="1">ROUND(C14*F15,0)</f>
        <v>6230</v>
      </c>
      <c r="D15" s="365" t="s">
        <v>1419</v>
      </c>
      <c r="E15" s="365" t="s">
        <v>1420</v>
      </c>
      <c r="F15" s="366">
        <f>'数据-取费表'!B33</f>
        <v>0.05</v>
      </c>
      <c r="G15" s="1856"/>
      <c r="H15" s="1341" t="s">
        <v>1039</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1387</v>
      </c>
      <c r="B16" s="347" t="s">
        <v>1421</v>
      </c>
      <c r="C16" s="24">
        <f ca="1">ROUND(INDIRECT("'数据-取费表'!l"&amp;$G$1)*F43*F16,0)</f>
        <v>0</v>
      </c>
      <c r="D16" s="347" t="s">
        <v>1419</v>
      </c>
      <c r="E16" s="347" t="s">
        <v>1420</v>
      </c>
      <c r="F16" s="367">
        <f ca="1">IF(INDIRECT("'数据-取费表'!c"&amp;$G$1)="住宅",'数据-取费表'!B34,0)</f>
        <v>0</v>
      </c>
      <c r="G16" s="1853"/>
      <c r="H16" s="1331" t="s">
        <v>1030</v>
      </c>
      <c r="I16" s="1332" t="s">
        <v>1422</v>
      </c>
      <c r="J16" s="355">
        <f ca="1">ROUND(J17+J22+J23+J24,0)</f>
        <v>3917</v>
      </c>
      <c r="K16" s="1339" t="s">
        <v>1423</v>
      </c>
      <c r="L16" s="1340"/>
      <c r="M16" s="1296"/>
    </row>
    <row r="17" spans="1:37" s="1860" customFormat="1" ht="18" customHeight="1">
      <c r="A17" s="1204" t="s">
        <v>1388</v>
      </c>
      <c r="B17" s="347" t="s">
        <v>1424</v>
      </c>
      <c r="C17" s="24">
        <f ca="1">ROUND(F17*(F43+INDIRECT("'数据-取费表'!S"&amp;$G$1)),0)</f>
        <v>12460</v>
      </c>
      <c r="D17" s="347" t="s">
        <v>1425</v>
      </c>
      <c r="E17" s="347" t="s">
        <v>1426</v>
      </c>
      <c r="F17" s="26">
        <f>'数据-取费表'!B35</f>
        <v>200</v>
      </c>
      <c r="G17" s="1856"/>
      <c r="H17" s="1204" t="s">
        <v>1035</v>
      </c>
      <c r="I17" s="347" t="s">
        <v>1427</v>
      </c>
      <c r="J17" s="24">
        <f ca="1">ROUND(IF(项目基本情况!B11="自然人",J5*M17,J18+J19+J20),0)</f>
        <v>1406</v>
      </c>
      <c r="K17" s="1802" t="s">
        <v>1428</v>
      </c>
      <c r="L17" s="1800" t="s">
        <v>1429</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1389</v>
      </c>
      <c r="B18" s="347" t="s">
        <v>1430</v>
      </c>
      <c r="C18" s="24">
        <f ca="1">ROUND(C14*F18,0)</f>
        <v>1869</v>
      </c>
      <c r="D18" s="347" t="s">
        <v>1419</v>
      </c>
      <c r="E18" s="347" t="s">
        <v>1420</v>
      </c>
      <c r="F18" s="367">
        <f>'数据-取费表'!B36</f>
        <v>1.4999999999999999E-2</v>
      </c>
      <c r="G18" s="1856"/>
      <c r="H18" s="1204" t="s">
        <v>1034</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1433</v>
      </c>
      <c r="C19" s="24">
        <f ca="1">SUM(C14:C18)</f>
        <v>145159</v>
      </c>
      <c r="D19" s="140" t="s">
        <v>1434</v>
      </c>
      <c r="E19" s="1820"/>
      <c r="F19" s="26"/>
      <c r="G19" s="1853"/>
      <c r="H19" s="1204" t="s">
        <v>1036</v>
      </c>
      <c r="I19" s="347" t="s">
        <v>1435</v>
      </c>
      <c r="J19" s="24">
        <f ca="1">IF(K19="按租金收入计税",ROUND(J5*M19,0),ROUND(C29*M19*0.7,0))</f>
        <v>1406</v>
      </c>
      <c r="K19" s="1830" t="s">
        <v>1436</v>
      </c>
      <c r="L19" s="347" t="s">
        <v>1420</v>
      </c>
      <c r="M19" s="367">
        <f>IF(K19="按租金收入计税",'数据-取费表'!B51,'数据-取费表'!B50)</f>
        <v>1.2E-2</v>
      </c>
    </row>
    <row r="20" spans="1:37" s="1860" customFormat="1" ht="18" customHeight="1">
      <c r="A20" s="1204" t="s">
        <v>1039</v>
      </c>
      <c r="B20" s="347" t="s">
        <v>1437</v>
      </c>
      <c r="C20" s="24">
        <f ca="1">ROUND(C19*F20,0)</f>
        <v>2177</v>
      </c>
      <c r="D20" s="369" t="s">
        <v>1438</v>
      </c>
      <c r="E20" s="347" t="s">
        <v>1420</v>
      </c>
      <c r="F20" s="367">
        <f>'数据-取费表'!B37</f>
        <v>1.4999999999999999E-2</v>
      </c>
      <c r="G20" s="1856"/>
      <c r="H20" s="1204" t="s">
        <v>1387</v>
      </c>
      <c r="I20" s="164" t="s">
        <v>1439</v>
      </c>
      <c r="J20" s="25">
        <f ca="1">ROUND(M20*M21,0)</f>
        <v>0</v>
      </c>
      <c r="K20" s="370" t="s">
        <v>1440</v>
      </c>
      <c r="L20" s="347" t="s">
        <v>1441</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1390</v>
      </c>
      <c r="B22" s="347" t="s">
        <v>1446</v>
      </c>
      <c r="C22" s="24"/>
      <c r="D22" s="140" t="str">
        <f>IF(F23&lt;=1,"单利计息。","复利计息。")&amp;"建造成本、管理费用、销售费用产生的利息。"</f>
        <v>单利计息。建造成本、管理费用、销售费用产生的利息。</v>
      </c>
      <c r="E22" s="1820"/>
      <c r="F22" s="26"/>
      <c r="G22" s="1853"/>
      <c r="H22" s="1204" t="s">
        <v>1039</v>
      </c>
      <c r="I22" s="347" t="s">
        <v>1447</v>
      </c>
      <c r="J22" s="24">
        <f ca="1">ROUND(J14*M22,0)</f>
        <v>2511</v>
      </c>
      <c r="K22" s="1800" t="s">
        <v>1448</v>
      </c>
      <c r="L22" s="347" t="s">
        <v>1420</v>
      </c>
      <c r="M22" s="374">
        <f ca="1">INDIRECT("'数据-取费表'!Ak"&amp;$G$1)</f>
        <v>1.4999999999999999E-2</v>
      </c>
    </row>
    <row r="23" spans="1:37" s="1860" customFormat="1" ht="18" customHeight="1">
      <c r="A23" s="1204" t="s">
        <v>1034</v>
      </c>
      <c r="B23" s="347" t="s">
        <v>1449</v>
      </c>
      <c r="C23" s="24">
        <f ca="1">IF('数据-取费表'!B22&lt;=1,ROUND(C19*F24*F23/2,0)+ROUND(C20*F24*F23/2,0),ROUND(C19*(POWER((1+F24),F23/2)-1),0)+ROUND(C20*(POWER((1+F24),F23/2)-1),0))</f>
        <v>3204</v>
      </c>
      <c r="D23" s="375" t="str">
        <f>IF(F23&lt;=1,"(建造成本+管理费用)×利率×(建设周期÷2)","(建造成本+管理费用)×((1+利率)^(建设周期÷2)-1)")</f>
        <v>(建造成本+管理费用)×利率×(建设周期÷2)</v>
      </c>
      <c r="E23" s="347" t="s">
        <v>1450</v>
      </c>
      <c r="F23" s="371">
        <f>'数据-取费表'!B20</f>
        <v>1</v>
      </c>
      <c r="G23" s="1856"/>
      <c r="H23" s="1204" t="s">
        <v>1075</v>
      </c>
      <c r="I23" s="347" t="s">
        <v>1451</v>
      </c>
      <c r="J23" s="24">
        <f ca="1">ROUND(J13*M23,0)</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1" t="s">
        <v>1391</v>
      </c>
      <c r="I24" s="1342" t="s">
        <v>1437</v>
      </c>
      <c r="J24" s="1343">
        <f ca="1">ROUND(J5*M24,0)</f>
        <v>0</v>
      </c>
      <c r="K24" s="1344" t="s">
        <v>1457</v>
      </c>
      <c r="L24" s="1342" t="s">
        <v>1453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1458</v>
      </c>
      <c r="B25" s="347" t="s">
        <v>1459</v>
      </c>
      <c r="C25" s="24"/>
      <c r="D25" s="140" t="s">
        <v>1460</v>
      </c>
      <c r="E25" s="1820"/>
      <c r="F25" s="26"/>
      <c r="G25" s="1853"/>
      <c r="H25" s="1331" t="s">
        <v>1031</v>
      </c>
      <c r="I25" s="1346" t="s">
        <v>1461</v>
      </c>
      <c r="J25" s="355">
        <f ca="1">J5-J16</f>
        <v>-3917</v>
      </c>
      <c r="K25" s="1347" t="s">
        <v>1462</v>
      </c>
      <c r="L25" s="1348"/>
      <c r="M25" s="1349"/>
    </row>
    <row r="26" spans="1:37" ht="18" customHeight="1">
      <c r="A26" s="1204" t="s">
        <v>1034</v>
      </c>
      <c r="B26" s="347" t="s">
        <v>1463</v>
      </c>
      <c r="C26" s="24">
        <f ca="1">ROUND((C19+C20)*F26,0)</f>
        <v>4420</v>
      </c>
      <c r="D26" s="369" t="s">
        <v>1464</v>
      </c>
      <c r="E26" s="358" t="s">
        <v>1465</v>
      </c>
      <c r="F26" s="357">
        <f ca="1">INDIRECT("'数据-取费表'!q"&amp;$G$1)</f>
        <v>0.03</v>
      </c>
      <c r="G26" s="1853"/>
      <c r="H26" s="344" t="s">
        <v>1032</v>
      </c>
      <c r="I26" s="345" t="s">
        <v>1466</v>
      </c>
      <c r="J26" s="346">
        <f ca="1">IF(J5&lt;&gt;0,ROUND(J25*(1-((1+M28)/(1+M26))^M27)/(M26-M28),0),0)</f>
        <v>0</v>
      </c>
      <c r="K26" s="370" t="s">
        <v>1467</v>
      </c>
      <c r="L26" s="347" t="s">
        <v>1468</v>
      </c>
      <c r="M26" s="357">
        <f ca="1">INDIRECT("'数据-取费表'!I"&amp;$G$1)</f>
        <v>0.05</v>
      </c>
    </row>
    <row r="27" spans="1:37" ht="18" customHeight="1">
      <c r="A27" s="1204" t="s">
        <v>1036</v>
      </c>
      <c r="B27" s="347" t="s">
        <v>1469</v>
      </c>
      <c r="C27" s="24">
        <f ca="1">ROUND(F21*F26,4)</f>
        <v>5.9999999999999995E-4</v>
      </c>
      <c r="D27" s="369" t="s">
        <v>1470</v>
      </c>
      <c r="E27" s="365"/>
      <c r="F27" s="366"/>
      <c r="G27" s="1853"/>
      <c r="H27" s="349"/>
      <c r="I27" s="350"/>
      <c r="J27" s="351"/>
      <c r="K27" s="378" t="s">
        <v>1471</v>
      </c>
      <c r="L27" s="347" t="s">
        <v>1472</v>
      </c>
      <c r="M27" s="379">
        <f ca="1">INDIRECT("'数据-取费表'!ag"&amp;$G$1)</f>
        <v>0</v>
      </c>
    </row>
    <row r="28" spans="1:37" s="1860" customFormat="1" ht="18" customHeight="1">
      <c r="A28" s="1204" t="s">
        <v>1037</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1476</v>
      </c>
      <c r="C29" s="1343">
        <f ca="1">ROUND((C19+C20+C23+C26)/(1-F21-C24-C27-C28),0)</f>
        <v>167398</v>
      </c>
      <c r="D29" s="1344"/>
      <c r="E29" s="1342"/>
      <c r="F29" s="1345"/>
      <c r="G29" s="1856"/>
      <c r="H29" s="380" t="s">
        <v>1033</v>
      </c>
      <c r="I29" s="381" t="s">
        <v>1477</v>
      </c>
      <c r="J29" s="382">
        <f ca="1">ROUND(J26/(1+F40)^F41,0)</f>
        <v>0</v>
      </c>
      <c r="K29" s="383" t="s">
        <v>1478</v>
      </c>
      <c r="L29" s="384"/>
      <c r="M29" s="385">
        <f ca="1">INDIRECT("'数据-取费表'!k"&amp;$G$1)</f>
        <v>62.3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1422</v>
      </c>
      <c r="C30" s="355">
        <f ca="1">ROUND(C31+C36+C37+C38,0)</f>
        <v>5213</v>
      </c>
      <c r="D30" s="1339" t="s">
        <v>1423</v>
      </c>
      <c r="E30" s="1340"/>
      <c r="F30" s="1296"/>
      <c r="G30" s="1853"/>
      <c r="H30" s="745"/>
      <c r="I30" s="746"/>
      <c r="J30" s="747"/>
      <c r="K30" s="748"/>
      <c r="L30" s="749"/>
      <c r="M30" s="750"/>
    </row>
    <row r="31" spans="1:37" ht="18" customHeight="1">
      <c r="A31" s="1204" t="s">
        <v>1035</v>
      </c>
      <c r="B31" s="347" t="s">
        <v>1427</v>
      </c>
      <c r="C31" s="24">
        <f ca="1">ROUND(IF(项目基本情况!B11="自然人",C5*F31,C32+C33+C34),0)</f>
        <v>2372</v>
      </c>
      <c r="D31" s="1802" t="s">
        <v>1428</v>
      </c>
      <c r="E31" s="1800" t="s">
        <v>1479</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1431</v>
      </c>
      <c r="C32" s="24">
        <f ca="1">IF(项目基本情况!B11="自然人","——",ROUND(C5*F32/(1+'数据-取费表'!C42),0))</f>
        <v>730</v>
      </c>
      <c r="D32" s="1800" t="s">
        <v>1432</v>
      </c>
      <c r="E32" s="347" t="s">
        <v>1420</v>
      </c>
      <c r="F32" s="377">
        <f>'数据-取费表'!B41</f>
        <v>5.6000000000000001E-2</v>
      </c>
      <c r="G32" s="1853"/>
      <c r="H32" s="745"/>
      <c r="I32" s="746"/>
      <c r="J32" s="747"/>
      <c r="K32" s="748"/>
      <c r="L32" s="749"/>
      <c r="M32" s="750"/>
    </row>
    <row r="33" spans="1:18" ht="18" customHeight="1">
      <c r="A33" s="1204" t="s">
        <v>1036</v>
      </c>
      <c r="B33" s="347" t="s">
        <v>1435</v>
      </c>
      <c r="C33" s="24">
        <f ca="1">IF(项目基本情况!B11="自然人","——",IF(D33="按租金收入计税",ROUND(C5*F33,0),IF(D33="按房产原值计税",ROUND(C29*F33*0.7,0),INDIRECT("'数据-取费表'!Aj"&amp;$G$1))))</f>
        <v>1642</v>
      </c>
      <c r="D33" s="1830" t="s">
        <v>3064</v>
      </c>
      <c r="E33" s="347" t="s">
        <v>1420</v>
      </c>
      <c r="F33" s="367">
        <f>IF(D33="按票据","——",IF(D33="按租金收入计税",'数据-取费表'!B51,'数据-取费表'!B50))</f>
        <v>0.12</v>
      </c>
      <c r="G33" s="1853"/>
      <c r="H33" s="1861"/>
      <c r="I33" s="1862"/>
      <c r="J33" s="1863"/>
      <c r="K33" s="1864"/>
      <c r="L33" s="1861"/>
      <c r="M33" s="1861"/>
    </row>
    <row r="34" spans="1:18" ht="18" customHeight="1">
      <c r="A34" s="1293" t="s">
        <v>1387</v>
      </c>
      <c r="B34" s="164" t="s">
        <v>1439</v>
      </c>
      <c r="C34" s="25">
        <f ca="1">IF(项目基本情况!B11="自然人","——",ROUND(F34*F35,))</f>
        <v>0</v>
      </c>
      <c r="D34" s="370" t="s">
        <v>1440</v>
      </c>
      <c r="E34" s="347" t="s">
        <v>1441</v>
      </c>
      <c r="F34" s="371">
        <f>'数据-取费表'!B52</f>
        <v>0</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1039</v>
      </c>
      <c r="B36" s="347" t="s">
        <v>1447</v>
      </c>
      <c r="C36" s="24">
        <f ca="1">ROUND(C29*F36,0)</f>
        <v>2511</v>
      </c>
      <c r="D36" s="1800" t="s">
        <v>1480</v>
      </c>
      <c r="E36" s="347" t="s">
        <v>1420</v>
      </c>
      <c r="F36" s="374">
        <f ca="1">INDIRECT("'数据-取费表'!Ak"&amp;$G$1)</f>
        <v>1.4999999999999999E-2</v>
      </c>
      <c r="G36" s="1853"/>
      <c r="H36" s="1861"/>
      <c r="I36" s="1862"/>
      <c r="J36" s="1863"/>
      <c r="K36" s="751"/>
      <c r="L36" s="1861"/>
      <c r="M36" s="1861"/>
    </row>
    <row r="37" spans="1:18" ht="18" customHeight="1">
      <c r="A37" s="1204" t="s">
        <v>1075</v>
      </c>
      <c r="B37" s="347" t="s">
        <v>1451</v>
      </c>
      <c r="C37" s="24">
        <f ca="1">ROUND(C13*F37,0)</f>
        <v>193</v>
      </c>
      <c r="D37" s="1800" t="s">
        <v>1452</v>
      </c>
      <c r="E37" s="347" t="s">
        <v>1453</v>
      </c>
      <c r="F37" s="376">
        <f ca="1">INDIRECT("'数据-取费表'!Al"&amp;$G$1)</f>
        <v>1.5E-3</v>
      </c>
      <c r="G37" s="1853"/>
      <c r="H37" s="1861"/>
      <c r="I37" s="1862"/>
      <c r="J37" s="1863"/>
      <c r="K37" s="751"/>
      <c r="L37" s="1861"/>
      <c r="M37" s="1861"/>
    </row>
    <row r="38" spans="1:18" ht="18" customHeight="1" thickBot="1">
      <c r="A38" s="1341" t="s">
        <v>1391</v>
      </c>
      <c r="B38" s="1342" t="s">
        <v>1437</v>
      </c>
      <c r="C38" s="1343">
        <f ca="1">ROUND(C5*F38,1)</f>
        <v>136.80000000000001</v>
      </c>
      <c r="D38" s="1344" t="s">
        <v>1457</v>
      </c>
      <c r="E38" s="1342" t="s">
        <v>1453</v>
      </c>
      <c r="F38" s="1338">
        <f ca="1">INDIRECT("'数据-取费表'!Am"&amp;$G$1)</f>
        <v>0.01</v>
      </c>
      <c r="G38" s="1853"/>
      <c r="H38" s="1861"/>
      <c r="I38" s="1862"/>
      <c r="J38" s="1863"/>
      <c r="K38" s="1867"/>
      <c r="L38" s="1861"/>
      <c r="M38" s="1861"/>
    </row>
    <row r="39" spans="1:18" ht="24.6" customHeight="1" thickTop="1">
      <c r="A39" s="1331" t="s">
        <v>1031</v>
      </c>
      <c r="B39" s="1346" t="s">
        <v>1481</v>
      </c>
      <c r="C39" s="355">
        <f ca="1">C5-C30</f>
        <v>8467</v>
      </c>
      <c r="D39" s="1347" t="s">
        <v>1482</v>
      </c>
      <c r="E39" s="1348"/>
      <c r="F39" s="1349"/>
      <c r="G39" s="1853"/>
      <c r="H39" s="1861"/>
      <c r="I39" s="1862"/>
      <c r="J39" s="1863"/>
      <c r="K39" s="1867"/>
      <c r="L39" s="1861"/>
      <c r="M39" s="1861"/>
    </row>
    <row r="40" spans="1:18" ht="18" customHeight="1">
      <c r="A40" s="344" t="s">
        <v>1032</v>
      </c>
      <c r="B40" s="345" t="s">
        <v>1483</v>
      </c>
      <c r="C40" s="346">
        <f ca="1">ROUND(C39*(1-((1+F42)/(1+F40))^F41)/(F40-F42),0)</f>
        <v>172125</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25.28</v>
      </c>
      <c r="G41" s="1853"/>
      <c r="H41" s="732"/>
      <c r="I41" s="1862"/>
      <c r="J41" s="1863"/>
      <c r="K41" s="751"/>
      <c r="L41" s="732"/>
      <c r="M41" s="732"/>
    </row>
    <row r="42" spans="1:18" ht="18" customHeight="1">
      <c r="A42" s="353"/>
      <c r="B42" s="354"/>
      <c r="C42" s="355"/>
      <c r="D42" s="373"/>
      <c r="E42" s="347" t="s">
        <v>1475</v>
      </c>
      <c r="F42" s="357">
        <f ca="1">INDIRECT("'数据-取费表'!v"&amp;$G$1)</f>
        <v>3.5000000000000003E-2</v>
      </c>
      <c r="G42" s="1853"/>
      <c r="H42" s="732"/>
      <c r="I42" s="1862"/>
      <c r="J42" s="1863"/>
      <c r="K42" s="751"/>
      <c r="L42" s="732"/>
      <c r="M42" s="732"/>
    </row>
    <row r="43" spans="1:18" ht="18" customHeight="1" thickBot="1">
      <c r="A43" s="380" t="s">
        <v>1033</v>
      </c>
      <c r="B43" s="381" t="s">
        <v>1485</v>
      </c>
      <c r="C43" s="382">
        <f ca="1">ROUND(C40/F43,0)</f>
        <v>2763</v>
      </c>
      <c r="D43" s="383" t="s">
        <v>1486</v>
      </c>
      <c r="E43" s="384" t="s">
        <v>1487</v>
      </c>
      <c r="F43" s="385">
        <f ca="1">INDIRECT("'数据-取费表'!k"&amp;$G$1)</f>
        <v>62.3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-512939</v>
      </c>
      <c r="D45" s="1942" t="s">
        <v>1602</v>
      </c>
      <c r="E45" s="1868"/>
      <c r="F45" s="1868"/>
      <c r="O45" s="1871" t="s">
        <v>1517</v>
      </c>
      <c r="P45" s="1841"/>
      <c r="Q45" s="1841"/>
      <c r="R45" s="1841"/>
    </row>
    <row r="46" spans="1:18" s="1844" customFormat="1" ht="13.5" thickBot="1">
      <c r="A46" s="1872" t="s">
        <v>1518</v>
      </c>
      <c r="C46" s="1873">
        <f ca="1">ROUND(C45/10000,0)</f>
        <v>-51</v>
      </c>
      <c r="D46" s="1874" t="str">
        <f>C2</f>
        <v>万元</v>
      </c>
      <c r="I46" s="1875" t="s">
        <v>1519</v>
      </c>
      <c r="J46" s="1876"/>
      <c r="K46" s="1877"/>
      <c r="L46" s="1878">
        <f ca="1">IF(M47="住宅",0,IF(L48&gt;J51,L60,J60))</f>
        <v>7580</v>
      </c>
      <c r="O46" s="1879" t="s">
        <v>1520</v>
      </c>
      <c r="P46" s="1880" t="s">
        <v>1521</v>
      </c>
      <c r="Q46" s="1881" t="s">
        <v>1522</v>
      </c>
      <c r="R46" s="1881" t="s">
        <v>1523</v>
      </c>
    </row>
    <row r="47" spans="1:18" s="1844" customFormat="1" ht="13.5" thickBot="1">
      <c r="A47" s="1168" t="s">
        <v>1394</v>
      </c>
      <c r="B47" s="1200" t="s">
        <v>1395</v>
      </c>
      <c r="C47" s="1200" t="s">
        <v>1396</v>
      </c>
      <c r="D47" s="1200" t="s">
        <v>1397</v>
      </c>
      <c r="E47" s="1281" t="s">
        <v>1398</v>
      </c>
      <c r="F47" s="1282"/>
      <c r="G47" s="792"/>
      <c r="I47" s="1882" t="s">
        <v>1524</v>
      </c>
      <c r="J47" s="1883" t="s">
        <v>3065</v>
      </c>
      <c r="K47" s="1884" t="s">
        <v>1525</v>
      </c>
      <c r="L47" s="1885">
        <f ca="1">INDIRECT("'数据-取费表'!d"&amp;$G$1)</f>
        <v>50</v>
      </c>
      <c r="M47" s="1840" t="str">
        <f>IF(ISNUMBER(FIND("住宅",C1)),"住宅","非住宅")</f>
        <v>非住宅</v>
      </c>
      <c r="O47" s="1886" t="s">
        <v>1040</v>
      </c>
      <c r="P47" s="1887" t="s">
        <v>1526</v>
      </c>
      <c r="Q47" s="1888">
        <f ca="1">C40+J29</f>
        <v>172125</v>
      </c>
      <c r="R47" s="1888" t="s">
        <v>1527</v>
      </c>
    </row>
    <row r="48" spans="1:18" s="1844" customFormat="1" ht="28.5" thickBot="1">
      <c r="A48" s="1362" t="s">
        <v>1135</v>
      </c>
      <c r="B48" s="345" t="s">
        <v>1399</v>
      </c>
      <c r="C48" s="1819">
        <f ca="1">C49+C53+C55</f>
        <v>0</v>
      </c>
      <c r="D48" s="1364"/>
      <c r="E48" s="1365"/>
      <c r="F48" s="1184"/>
      <c r="G48" s="792"/>
      <c r="H48" s="793"/>
      <c r="I48" s="1889" t="s">
        <v>1528</v>
      </c>
      <c r="J48" s="1890" t="s">
        <v>3066</v>
      </c>
      <c r="K48" s="1891" t="s">
        <v>1529</v>
      </c>
      <c r="L48" s="1892">
        <f ca="1">INDIRECT("'数据-取费表'!f"&amp;$G$1)</f>
        <v>25.28</v>
      </c>
      <c r="O48" s="1886" t="s">
        <v>1041</v>
      </c>
      <c r="P48" s="1887" t="s">
        <v>1530</v>
      </c>
      <c r="Q48" s="1888">
        <f ca="1">J60</f>
        <v>7580</v>
      </c>
      <c r="R48" s="1888" t="s">
        <v>1531</v>
      </c>
    </row>
    <row r="49" spans="1:18" s="1844" customFormat="1" ht="13.5" thickBot="1">
      <c r="A49" s="1197" t="s">
        <v>1136</v>
      </c>
      <c r="B49" s="1831" t="s">
        <v>1488</v>
      </c>
      <c r="C49" s="1366">
        <f ca="1">ROUND(F49*F51*F50*(1-F52),0)</f>
        <v>0</v>
      </c>
      <c r="D49" s="1278" t="s">
        <v>1402</v>
      </c>
      <c r="E49" s="1832" t="s">
        <v>1489</v>
      </c>
      <c r="F49" s="1283"/>
      <c r="G49" s="1893"/>
      <c r="H49" s="793"/>
      <c r="I49" s="1889" t="s">
        <v>1532</v>
      </c>
      <c r="J49" s="1894">
        <v>1999</v>
      </c>
      <c r="K49" s="1891" t="s">
        <v>1533</v>
      </c>
      <c r="L49" s="1895"/>
      <c r="O49" s="1896" t="s">
        <v>1042</v>
      </c>
      <c r="P49" s="1887" t="s">
        <v>1534</v>
      </c>
      <c r="Q49" s="1888">
        <f ca="1">C29</f>
        <v>167398</v>
      </c>
      <c r="R49" s="1888" t="s">
        <v>1527</v>
      </c>
    </row>
    <row r="50" spans="1:18" s="1844" customFormat="1" ht="13.5" thickBot="1">
      <c r="A50" s="1198"/>
      <c r="B50" s="1201"/>
      <c r="C50" s="1202"/>
      <c r="D50" s="1175"/>
      <c r="E50" s="1279" t="s">
        <v>1404</v>
      </c>
      <c r="F50" s="1280">
        <f ca="1">F7</f>
        <v>1</v>
      </c>
      <c r="H50" s="793"/>
      <c r="I50" s="1889" t="s">
        <v>1535</v>
      </c>
      <c r="J50" s="1897">
        <f>SUMPRODUCT((I63:I65=J47)*(J62:L62=J48)*(J63:L65))</f>
        <v>60</v>
      </c>
      <c r="K50" s="1891" t="s">
        <v>1536</v>
      </c>
      <c r="L50" s="1895"/>
      <c r="M50" s="1898"/>
      <c r="O50" s="1896" t="s">
        <v>1043</v>
      </c>
      <c r="P50" s="1887" t="s">
        <v>1537</v>
      </c>
      <c r="Q50" s="1899">
        <f ca="1">J58</f>
        <v>0.4</v>
      </c>
      <c r="R50" s="1888"/>
    </row>
    <row r="51" spans="1:18" s="1844" customFormat="1" ht="13.5" thickBot="1">
      <c r="A51" s="1199"/>
      <c r="B51" s="1201"/>
      <c r="C51" s="1202"/>
      <c r="D51" s="1175"/>
      <c r="E51" s="1203" t="s">
        <v>1405</v>
      </c>
      <c r="F51" s="348">
        <f ca="1">F8</f>
        <v>12</v>
      </c>
      <c r="I51" s="1900" t="s">
        <v>1538</v>
      </c>
      <c r="J51" s="1901">
        <f>IF(J49="",J50,J49+J50-YEAR('数据-取费表'!B2))</f>
        <v>41</v>
      </c>
      <c r="K51" s="1902" t="s">
        <v>1539</v>
      </c>
      <c r="L51" s="1903">
        <f ca="1">ROUND(-PV(INDIRECT("'数据-取费表'!h"&amp;$G$1),L48,(C39-C13*C76),0),0)</f>
        <v>-37135</v>
      </c>
      <c r="M51" s="1904"/>
      <c r="O51" s="1896" t="s">
        <v>1044</v>
      </c>
      <c r="P51" s="1887" t="s">
        <v>1540</v>
      </c>
      <c r="Q51" s="1899">
        <f>J52</f>
        <v>0.09</v>
      </c>
      <c r="R51" s="1888"/>
    </row>
    <row r="52" spans="1:18" s="1844" customFormat="1" ht="13.5" thickBot="1">
      <c r="A52" s="1199"/>
      <c r="B52" s="1201"/>
      <c r="C52" s="1202"/>
      <c r="D52" s="1175"/>
      <c r="E52" s="1203" t="s">
        <v>1406</v>
      </c>
      <c r="F52" s="1277"/>
      <c r="I52" s="1905" t="s">
        <v>1541</v>
      </c>
      <c r="J52" s="1906">
        <v>0.09</v>
      </c>
      <c r="K52" s="1905" t="s">
        <v>1542</v>
      </c>
      <c r="L52" s="1906"/>
      <c r="O52" s="1896" t="s">
        <v>1045</v>
      </c>
      <c r="P52" s="1887" t="s">
        <v>1543</v>
      </c>
      <c r="Q52" s="1888">
        <f ca="1">J53</f>
        <v>25.28</v>
      </c>
      <c r="R52" s="1888" t="s">
        <v>1544</v>
      </c>
    </row>
    <row r="53" spans="1:18" s="1844" customFormat="1" ht="30.75" customHeight="1" thickBot="1">
      <c r="A53" s="1363" t="s">
        <v>1137</v>
      </c>
      <c r="B53" s="369" t="s">
        <v>1407</v>
      </c>
      <c r="C53" s="361">
        <f ca="1">ROUND(IF(F53="押一",C49/12*F11,IF(F53="押二",C49/12*2*F11,IF(F53="押三",C49/12*3*F11,C54*F11))),0)</f>
        <v>0</v>
      </c>
      <c r="D53" s="1826" t="s">
        <v>3045</v>
      </c>
      <c r="E53" s="358" t="s">
        <v>1408</v>
      </c>
      <c r="F53" s="1368"/>
      <c r="I53" s="1907" t="s">
        <v>1545</v>
      </c>
      <c r="J53" s="1908">
        <f ca="1">IF(M47="住宅",IF(D1="——",MAX(J51,L48),IF(D1="在建（套用方法）",MAX(J51,L48-'数据-取费表'!B24),MAX(J51,L48-'数据-取费表'!B20))),IF(D1="——",MIN(J51,L48),IF(D1="在建（套用方法）",MIN(J51,L48-'数据-取费表'!B24),IF(D1="土地（套用方法）",MIN(J51,L48-'数据-取费表'!B20)))))</f>
        <v>25.28</v>
      </c>
      <c r="K53" s="3226" t="s">
        <v>1546</v>
      </c>
      <c r="L53" s="3227"/>
      <c r="O53" s="1886" t="s">
        <v>1046</v>
      </c>
      <c r="P53" s="1887" t="s">
        <v>1547</v>
      </c>
      <c r="Q53" s="1888">
        <f ca="1">Q47+Q48</f>
        <v>179705</v>
      </c>
      <c r="R53" s="1888" t="s">
        <v>1047</v>
      </c>
    </row>
    <row r="54" spans="1:18" s="1844" customFormat="1" ht="13.5" thickBot="1">
      <c r="A54" s="1197"/>
      <c r="B54" s="1943" t="s">
        <v>1601</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1075</v>
      </c>
      <c r="B55" s="1829" t="s">
        <v>1411</v>
      </c>
      <c r="C55" s="1336"/>
      <c r="D55" s="1826"/>
      <c r="E55" s="1834"/>
      <c r="F55" s="1909"/>
      <c r="I55" s="1912" t="s">
        <v>1549</v>
      </c>
      <c r="J55" s="1913">
        <f ca="1">ROUND(IF(J47="钢混",J57/J50,1-(1-2%)*(J50-J57)/J50),3)</f>
        <v>0.26200000000000001</v>
      </c>
      <c r="K55" s="1914" t="s">
        <v>1550</v>
      </c>
      <c r="L55" s="1915"/>
      <c r="O55" s="1879" t="s">
        <v>1520</v>
      </c>
      <c r="P55" s="1880" t="s">
        <v>1521</v>
      </c>
      <c r="Q55" s="1881" t="s">
        <v>1522</v>
      </c>
      <c r="R55" s="1881" t="s">
        <v>1523</v>
      </c>
    </row>
    <row r="56" spans="1:18" s="1844" customFormat="1" ht="36" customHeight="1" thickTop="1" thickBot="1">
      <c r="A56" s="1179">
        <v>2</v>
      </c>
      <c r="B56" s="1180" t="s">
        <v>1412</v>
      </c>
      <c r="C56" s="276">
        <f ca="1">C13</f>
        <v>128896</v>
      </c>
      <c r="D56" s="1916"/>
      <c r="E56" s="1917"/>
      <c r="F56" s="1909"/>
      <c r="I56" s="1918" t="s">
        <v>1552</v>
      </c>
      <c r="J56" s="1919" t="s">
        <v>3067</v>
      </c>
      <c r="K56" s="1889" t="s">
        <v>1553</v>
      </c>
      <c r="L56" s="1892" t="str">
        <f ca="1">IF(L48&lt;J51,"——",L48-J51)</f>
        <v>——</v>
      </c>
      <c r="O56" s="1886" t="s">
        <v>1040</v>
      </c>
      <c r="P56" s="1887" t="s">
        <v>1526</v>
      </c>
      <c r="Q56" s="1888">
        <f ca="1">C40+J29</f>
        <v>172125</v>
      </c>
      <c r="R56" s="1888" t="s">
        <v>1527</v>
      </c>
    </row>
    <row r="57" spans="1:18" s="1844" customFormat="1" ht="24.75" thickBot="1">
      <c r="A57" s="1920"/>
      <c r="B57" s="1172" t="s">
        <v>1476</v>
      </c>
      <c r="C57" s="282">
        <f ca="1">C29</f>
        <v>167398</v>
      </c>
      <c r="D57" s="1921"/>
      <c r="E57" s="1922"/>
      <c r="F57" s="1923"/>
      <c r="I57" s="1924" t="s">
        <v>1554</v>
      </c>
      <c r="J57" s="1925">
        <f ca="1">IF(OR(M47="住宅",J51&lt;L48,J56="是"),"——",J51-L48)</f>
        <v>15.719999999999999</v>
      </c>
      <c r="K57" s="1889" t="s">
        <v>1603</v>
      </c>
      <c r="L57" s="1892" t="str">
        <f ca="1">IF(L48&lt;J51,"——",IF(L55="比较法",L49,IF(L55="基准地价",L50,L51)))</f>
        <v>——</v>
      </c>
      <c r="O57" s="1886" t="s">
        <v>1041</v>
      </c>
      <c r="P57" s="1887" t="s">
        <v>1604</v>
      </c>
      <c r="Q57" s="1888">
        <f ca="1">L60</f>
        <v>0</v>
      </c>
      <c r="R57" s="1888" t="s">
        <v>1605</v>
      </c>
    </row>
    <row r="58" spans="1:18" s="1844" customFormat="1" ht="24.75" thickBot="1">
      <c r="A58" s="360" t="s">
        <v>1030</v>
      </c>
      <c r="B58" s="1180" t="s">
        <v>1422</v>
      </c>
      <c r="C58" s="361">
        <f ca="1">ROUND(C59+C64+C65+C66,0)</f>
        <v>16765</v>
      </c>
      <c r="D58" s="1182" t="s">
        <v>1423</v>
      </c>
      <c r="E58" s="1183"/>
      <c r="F58" s="1184"/>
      <c r="I58" s="1924" t="s">
        <v>1558</v>
      </c>
      <c r="J58" s="1926">
        <f ca="1">IF(J55&lt;0.4,0.4,J55)</f>
        <v>0.4</v>
      </c>
      <c r="K58" s="1902" t="s">
        <v>1606</v>
      </c>
      <c r="L58" s="1892" t="e">
        <f ca="1">ROUND(POWER(1+L52,L47-L48)*(POWER(1+L52,L48)-1)/(POWER(1+L52,L47)-1),4)</f>
        <v>#DIV/0!</v>
      </c>
      <c r="O58" s="1896" t="s">
        <v>1042</v>
      </c>
      <c r="P58" s="1887" t="s">
        <v>1560</v>
      </c>
      <c r="Q58" s="1888">
        <f>IF(L55="比较法",L49,IF(L55="基准地价",L50,0))</f>
        <v>0</v>
      </c>
      <c r="R58" s="1888" t="s">
        <v>1527</v>
      </c>
    </row>
    <row r="59" spans="1:18" s="1844" customFormat="1" ht="24.75" thickBot="1">
      <c r="A59" s="1204" t="s">
        <v>1035</v>
      </c>
      <c r="B59" s="1172" t="s">
        <v>1427</v>
      </c>
      <c r="C59" s="24">
        <f ca="1">ROUND(IF(项目基本情况!B11="自然人",C48*F59,C60+C61+C62),0)</f>
        <v>14061</v>
      </c>
      <c r="D59" s="1185" t="s">
        <v>1428</v>
      </c>
      <c r="E59" s="1186" t="s">
        <v>1429</v>
      </c>
      <c r="F59" s="368">
        <f ca="1">IF(项目基本情况!B11="企业","",IF(INDIRECT("'数据-取费表'!c"&amp;$G$1)="住宅",5%,IF(F49*F50*F51/12/(1+'数据-取费表'!C42)&gt;20000,12%,7%)))</f>
        <v>7.0000000000000007E-2</v>
      </c>
      <c r="I59" s="1924" t="s">
        <v>1561</v>
      </c>
      <c r="J59" s="1925">
        <f ca="1">IF(OR(M47="住宅",J51&lt;L48,J56="是"),"——",ROUND(C29*J58,0))</f>
        <v>66959</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1562</v>
      </c>
      <c r="Q59" s="1899">
        <f>L52</f>
        <v>0</v>
      </c>
      <c r="R59" s="1888"/>
    </row>
    <row r="60" spans="1:18" s="1844" customFormat="1" ht="16.5" thickBot="1">
      <c r="A60" s="1204" t="s">
        <v>1034</v>
      </c>
      <c r="B60" s="1172" t="s">
        <v>1431</v>
      </c>
      <c r="C60" s="24">
        <f ca="1">IF(项目基本情况!B11="自然人","——",ROUND(C48*F60/(1+'数据-取费表'!C42),0))</f>
        <v>0</v>
      </c>
      <c r="D60" s="1186" t="s">
        <v>1432</v>
      </c>
      <c r="E60" s="1172" t="s">
        <v>1420</v>
      </c>
      <c r="F60" s="377">
        <f t="shared" ref="F60:F66" si="0">F32</f>
        <v>5.6000000000000001E-2</v>
      </c>
      <c r="I60" s="1927" t="s">
        <v>1563</v>
      </c>
      <c r="J60" s="1928">
        <f ca="1">IF(OR(M47="住宅",J51&lt;L48,J56="是"),"0",ROUND(J59/(1+J52)^J53,0))</f>
        <v>7580</v>
      </c>
      <c r="K60" s="1929" t="s">
        <v>1564</v>
      </c>
      <c r="L60" s="1928">
        <f ca="1">IF(OR(M47="住宅",L48&lt;J51),0,ROUND(L57*(L58/L59-1),0))</f>
        <v>0</v>
      </c>
      <c r="O60" s="1896" t="s">
        <v>1044</v>
      </c>
      <c r="P60" s="1887" t="s">
        <v>1565</v>
      </c>
      <c r="Q60" s="1888" t="e">
        <f ca="1">L58</f>
        <v>#DIV/0!</v>
      </c>
      <c r="R60" s="1888" t="s">
        <v>1566</v>
      </c>
    </row>
    <row r="61" spans="1:18" s="1844" customFormat="1" ht="13.5" thickBot="1">
      <c r="A61" s="1204" t="s">
        <v>1490</v>
      </c>
      <c r="B61" s="1172" t="s">
        <v>1491</v>
      </c>
      <c r="C61" s="24">
        <f ca="1">IF(项目基本情况!B11="自然人","——",IF(D61="按租金收入计税",ROUND(C48*F61,0),IF(D61="按房产原值计税",ROUND(C57*F61*0.7,0),INDIRECT("'数据-取费表'!Aj"&amp;$G$1))))</f>
        <v>14061</v>
      </c>
      <c r="D61" s="1830" t="s">
        <v>1436</v>
      </c>
      <c r="E61" s="1172" t="s">
        <v>1492</v>
      </c>
      <c r="F61" s="367">
        <f t="shared" si="0"/>
        <v>0.12</v>
      </c>
      <c r="I61" s="1930"/>
      <c r="J61" s="1930"/>
      <c r="K61" s="1930"/>
      <c r="L61" s="1930"/>
      <c r="O61" s="1896" t="s">
        <v>1045</v>
      </c>
      <c r="P61" s="1887" t="str">
        <f>K59</f>
        <v>建筑物剩余耐用年限下的土地年期修正系数Kn</v>
      </c>
      <c r="Q61" s="1888" t="e">
        <f ca="1">L59</f>
        <v>#DIV/0!</v>
      </c>
      <c r="R61" s="1888" t="s">
        <v>1567</v>
      </c>
    </row>
    <row r="62" spans="1:18" s="1844" customFormat="1" ht="13.5" thickBot="1">
      <c r="A62" s="1204" t="s">
        <v>1493</v>
      </c>
      <c r="B62" s="1171" t="s">
        <v>1494</v>
      </c>
      <c r="C62" s="25">
        <f ca="1">IF(项目基本情况!B11="自然人","——",ROUND(F62*F63,0))</f>
        <v>0</v>
      </c>
      <c r="D62" s="1187" t="s">
        <v>1495</v>
      </c>
      <c r="E62" s="1172" t="s">
        <v>1496</v>
      </c>
      <c r="F62" s="371">
        <f t="shared" si="0"/>
        <v>0</v>
      </c>
      <c r="I62" s="1931" t="s">
        <v>1568</v>
      </c>
      <c r="J62" s="1932" t="s">
        <v>1569</v>
      </c>
      <c r="K62" s="1932" t="s">
        <v>1570</v>
      </c>
      <c r="L62" s="1932" t="s">
        <v>1571</v>
      </c>
      <c r="M62" s="1933" t="s">
        <v>1572</v>
      </c>
      <c r="O62" s="1886" t="s">
        <v>1046</v>
      </c>
      <c r="P62" s="1887" t="s">
        <v>1573</v>
      </c>
      <c r="Q62" s="1888">
        <f ca="1">Q56+Q57</f>
        <v>172125</v>
      </c>
      <c r="R62" s="1888" t="s">
        <v>1047</v>
      </c>
    </row>
    <row r="63" spans="1:18" s="1844" customFormat="1" ht="13.5" thickBot="1">
      <c r="A63" s="372"/>
      <c r="B63" s="1178"/>
      <c r="C63" s="29"/>
      <c r="D63" s="1188"/>
      <c r="E63" s="1172"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4" t="s">
        <v>1498</v>
      </c>
      <c r="B64" s="1172" t="s">
        <v>1499</v>
      </c>
      <c r="C64" s="24">
        <f ca="1">ROUND(C57*F64,0)</f>
        <v>2511</v>
      </c>
      <c r="D64" s="1186" t="s">
        <v>1500</v>
      </c>
      <c r="E64" s="1172"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4" t="s">
        <v>1501</v>
      </c>
      <c r="B65" s="1172" t="s">
        <v>1451</v>
      </c>
      <c r="C65" s="24">
        <f ca="1">ROUND(C56*F65,0)</f>
        <v>193</v>
      </c>
      <c r="D65" s="1186" t="s">
        <v>1452</v>
      </c>
      <c r="E65" s="1172" t="s">
        <v>1453</v>
      </c>
      <c r="F65" s="376">
        <f t="shared" ca="1" si="0"/>
        <v>1.5E-3</v>
      </c>
      <c r="I65" s="1931" t="s">
        <v>1577</v>
      </c>
      <c r="J65" s="1932">
        <v>40</v>
      </c>
      <c r="K65" s="1932">
        <v>30</v>
      </c>
      <c r="L65" s="1932">
        <v>50</v>
      </c>
      <c r="M65" s="1934">
        <v>0.02</v>
      </c>
      <c r="O65" s="1886" t="s">
        <v>1040</v>
      </c>
      <c r="P65" s="1887" t="s">
        <v>1578</v>
      </c>
      <c r="Q65" s="1888">
        <f ca="1">C40+J29</f>
        <v>172125</v>
      </c>
      <c r="R65" s="1888" t="s">
        <v>1527</v>
      </c>
    </row>
    <row r="66" spans="1:18" s="1844" customFormat="1" ht="16.5" thickBot="1">
      <c r="A66" s="1204" t="s">
        <v>1502</v>
      </c>
      <c r="B66" s="1172" t="s">
        <v>1437</v>
      </c>
      <c r="C66" s="24">
        <f ca="1">ROUND(C48*F66,0)</f>
        <v>0</v>
      </c>
      <c r="D66" s="1186" t="s">
        <v>1503</v>
      </c>
      <c r="E66" s="1172" t="s">
        <v>1420</v>
      </c>
      <c r="F66" s="357">
        <f t="shared" ca="1" si="0"/>
        <v>0.01</v>
      </c>
      <c r="O66" s="1886" t="s">
        <v>1041</v>
      </c>
      <c r="P66" s="1887" t="s">
        <v>1556</v>
      </c>
      <c r="Q66" s="1888">
        <f ca="1">L60</f>
        <v>0</v>
      </c>
      <c r="R66" s="1888" t="s">
        <v>1579</v>
      </c>
    </row>
    <row r="67" spans="1:18" s="1844" customFormat="1" ht="16.5" thickBot="1">
      <c r="A67" s="1179" t="s">
        <v>1031</v>
      </c>
      <c r="B67" s="1189" t="s">
        <v>1461</v>
      </c>
      <c r="C67" s="361">
        <f ca="1">C48-C58</f>
        <v>-16765</v>
      </c>
      <c r="D67" s="1185" t="s">
        <v>1462</v>
      </c>
      <c r="E67" s="1190"/>
      <c r="F67" s="1191"/>
      <c r="O67" s="1896" t="s">
        <v>1042</v>
      </c>
      <c r="P67" s="1887" t="s">
        <v>1560</v>
      </c>
      <c r="Q67" s="1935">
        <f ca="1">L51</f>
        <v>-37135</v>
      </c>
      <c r="R67" s="1888" t="s">
        <v>1580</v>
      </c>
    </row>
    <row r="68" spans="1:18" s="1844" customFormat="1" ht="16.5" thickBot="1">
      <c r="A68" s="1169" t="s">
        <v>1032</v>
      </c>
      <c r="B68" s="1170" t="s">
        <v>1483</v>
      </c>
      <c r="C68" s="346">
        <f ca="1">ROUND(C67*(1-((1+F70)/(1+F68))^F69)/(F68-F70),0)</f>
        <v>-340814</v>
      </c>
      <c r="D68" s="1187" t="s">
        <v>1467</v>
      </c>
      <c r="E68" s="1172" t="s">
        <v>1468</v>
      </c>
      <c r="F68" s="357">
        <f ca="1">F40</f>
        <v>0.05</v>
      </c>
      <c r="O68" s="1896" t="s">
        <v>1043</v>
      </c>
      <c r="P68" s="1936" t="s">
        <v>1581</v>
      </c>
      <c r="Q68" s="1888">
        <f ca="1">ROUND(Q69-Q70*Q71,0)</f>
        <v>-2489</v>
      </c>
      <c r="R68" s="1888" t="s">
        <v>1051</v>
      </c>
    </row>
    <row r="69" spans="1:18" s="1844" customFormat="1" ht="13.5" thickBot="1">
      <c r="A69" s="1173"/>
      <c r="B69" s="1174"/>
      <c r="C69" s="351"/>
      <c r="D69" s="1192" t="s">
        <v>1471</v>
      </c>
      <c r="E69" s="1172" t="s">
        <v>1472</v>
      </c>
      <c r="F69" s="379">
        <f ca="1">F41</f>
        <v>25.28</v>
      </c>
      <c r="O69" s="1896" t="s">
        <v>1048</v>
      </c>
      <c r="P69" s="1936" t="s">
        <v>1582</v>
      </c>
      <c r="Q69" s="1888">
        <f ca="1">C39</f>
        <v>8467</v>
      </c>
      <c r="R69" s="1888" t="s">
        <v>1527</v>
      </c>
    </row>
    <row r="70" spans="1:18" s="1844" customFormat="1" ht="13.5" thickBot="1">
      <c r="A70" s="1176"/>
      <c r="B70" s="1177"/>
      <c r="C70" s="355"/>
      <c r="D70" s="1188"/>
      <c r="E70" s="1172" t="s">
        <v>1475</v>
      </c>
      <c r="F70" s="1277">
        <f ca="1">F42</f>
        <v>3.5000000000000003E-2</v>
      </c>
      <c r="O70" s="1896" t="s">
        <v>1049</v>
      </c>
      <c r="P70" s="1936" t="s">
        <v>1583</v>
      </c>
      <c r="Q70" s="1888">
        <f ca="1">C13</f>
        <v>128896</v>
      </c>
      <c r="R70" s="1888" t="s">
        <v>1527</v>
      </c>
    </row>
    <row r="71" spans="1:18" s="1844" customFormat="1" ht="13.5" thickBot="1">
      <c r="A71" s="1193" t="s">
        <v>1033</v>
      </c>
      <c r="B71" s="1194" t="s">
        <v>1485</v>
      </c>
      <c r="C71" s="382">
        <f ca="1">ROUND(C68/F71,0)</f>
        <v>-5471</v>
      </c>
      <c r="D71" s="1195" t="s">
        <v>1486</v>
      </c>
      <c r="E71" s="1196" t="s">
        <v>1487</v>
      </c>
      <c r="F71" s="385">
        <f ca="1">F43</f>
        <v>62.3</v>
      </c>
      <c r="O71" s="1896" t="s">
        <v>1050</v>
      </c>
      <c r="P71" s="1936" t="s">
        <v>1584</v>
      </c>
      <c r="Q71" s="1899">
        <f ca="1">C76</f>
        <v>8.5000000000000006E-2</v>
      </c>
      <c r="R71" s="1888"/>
    </row>
    <row r="72" spans="1:18" s="1844" customFormat="1" ht="13.5" thickBot="1">
      <c r="B72" s="796"/>
      <c r="C72" s="796"/>
      <c r="O72" s="1896" t="s">
        <v>1044</v>
      </c>
      <c r="P72" s="1887" t="s">
        <v>1562</v>
      </c>
      <c r="Q72" s="1899">
        <f>L52</f>
        <v>0</v>
      </c>
      <c r="R72" s="1888"/>
    </row>
    <row r="73" spans="1:18" ht="16.5" thickBot="1">
      <c r="A73" s="1844"/>
      <c r="B73" s="796"/>
      <c r="C73" s="796"/>
      <c r="D73" s="1844"/>
      <c r="E73" s="1844"/>
      <c r="F73" s="1844"/>
      <c r="O73" s="1896" t="s">
        <v>1045</v>
      </c>
      <c r="P73" s="1887" t="s">
        <v>1565</v>
      </c>
      <c r="Q73" s="1888" t="e">
        <f ca="1">L58</f>
        <v>#DIV/0!</v>
      </c>
      <c r="R73" s="1888" t="s">
        <v>1566</v>
      </c>
    </row>
    <row r="74" spans="1:18" ht="13.5" thickBot="1">
      <c r="A74" s="1844"/>
      <c r="B74" s="317" t="s">
        <v>1585</v>
      </c>
      <c r="C74" s="1938"/>
      <c r="D74" s="1844"/>
      <c r="E74" s="1844"/>
      <c r="F74" s="1844"/>
      <c r="O74" s="1896" t="s">
        <v>1052</v>
      </c>
      <c r="P74" s="1887" t="str">
        <f>K59</f>
        <v>建筑物剩余耐用年限下的土地年期修正系数Kn</v>
      </c>
      <c r="Q74" s="1888" t="e">
        <f ca="1">L59</f>
        <v>#DIV/0!</v>
      </c>
      <c r="R74" s="1888" t="s">
        <v>1567</v>
      </c>
    </row>
    <row r="75" spans="1:18" ht="13.5" thickBot="1">
      <c r="A75" s="1844"/>
      <c r="B75" s="386" t="s">
        <v>1504</v>
      </c>
      <c r="C75" s="387">
        <f ca="1">ROUND(C13*C76,0)</f>
        <v>10956</v>
      </c>
      <c r="D75" s="1844"/>
      <c r="E75" s="1844"/>
      <c r="F75" s="1844"/>
      <c r="K75" s="1870"/>
      <c r="L75" s="1844"/>
      <c r="O75" s="1886" t="s">
        <v>1046</v>
      </c>
      <c r="P75" s="1887" t="s">
        <v>1547</v>
      </c>
      <c r="Q75" s="1888">
        <f ca="1">Q65+Q66</f>
        <v>172125</v>
      </c>
      <c r="R75" s="1888" t="s">
        <v>1047</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-0.29400000000000004</v>
      </c>
    </row>
    <row r="80" spans="1:18">
      <c r="B80" s="386" t="s">
        <v>1509</v>
      </c>
      <c r="C80" s="318">
        <f ca="1">ROUND(C75/C39,3)</f>
        <v>1.294</v>
      </c>
    </row>
    <row r="81" spans="2:3">
      <c r="B81" s="314" t="s">
        <v>1510</v>
      </c>
      <c r="C81" s="282"/>
    </row>
    <row r="82" spans="2:3">
      <c r="B82" s="317" t="s">
        <v>1511</v>
      </c>
      <c r="C82" s="319">
        <f ca="1">1-C83</f>
        <v>0.251</v>
      </c>
    </row>
    <row r="83" spans="2:3">
      <c r="B83" s="317" t="s">
        <v>1512</v>
      </c>
      <c r="C83" s="318">
        <f ca="1">ROUND(C13/C40,3)</f>
        <v>0.749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五矿国际信托有限公司：</v>
      </c>
    </row>
    <row r="4" spans="1:1" ht="18">
      <c r="A4" s="1950" t="str">
        <f>"受贵公司委托，我公司对"&amp;项目基本情况!S1&amp;"进行了预评估。"</f>
        <v>受贵公司委托，我公司对房地产抵押价值进行了预评估。</v>
      </c>
    </row>
    <row r="5" spans="1:1" ht="18.75">
      <c r="A5" s="1951" t="s">
        <v>1610</v>
      </c>
    </row>
    <row r="6" spans="1:1" ht="18.75">
      <c r="A6" s="1952" t="s">
        <v>1611</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3" t="s">
        <v>1612</v>
      </c>
    </row>
    <row r="9" spans="1:1" ht="18.75">
      <c r="A9" s="1952" t="s">
        <v>1613</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1616</v>
      </c>
    </row>
    <row r="15" spans="1:1" ht="18">
      <c r="A15" s="1956" t="str">
        <f>TEXT(项目基本情况!D3,"yyyy年m月d日;;")&amp;IF(项目基本情况!D3=项目基本情况!B3,"（评估专业人员实地查勘之日）","")</f>
        <v>2018年6月19日（评估专业人员实地查勘之日）</v>
      </c>
    </row>
    <row r="16" spans="1:1" ht="18.75">
      <c r="A16" s="1955" t="s">
        <v>1617</v>
      </c>
    </row>
    <row r="17" spans="1:1" ht="75">
      <c r="A17" s="1950" t="s">
        <v>1618</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1607</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614</v>
      </c>
      <c r="C2" s="2571" t="s">
        <v>2520</v>
      </c>
      <c r="D2" s="2572" t="s">
        <v>2521</v>
      </c>
      <c r="E2" s="2573">
        <f>SUM(E6:E13)</f>
        <v>270.51</v>
      </c>
    </row>
    <row r="3" spans="1:6" ht="15.75">
      <c r="A3" s="2569" t="s">
        <v>1393</v>
      </c>
      <c r="B3" s="2570">
        <f ca="1">ROUND(B2*10000/E2,0)</f>
        <v>22698</v>
      </c>
      <c r="C3" s="2571" t="s">
        <v>2528</v>
      </c>
      <c r="D3" s="2574"/>
      <c r="E3" s="2575"/>
    </row>
    <row r="4" spans="1:6" ht="15.75">
      <c r="A4" s="2576"/>
      <c r="B4" s="2574"/>
      <c r="C4" s="2574"/>
      <c r="D4" s="2574"/>
      <c r="E4" s="2575"/>
    </row>
    <row r="5" spans="1:6" ht="15">
      <c r="A5" s="2577" t="s">
        <v>2522</v>
      </c>
      <c r="B5" s="3247" t="s">
        <v>2523</v>
      </c>
      <c r="C5" s="3247"/>
      <c r="D5" s="2578"/>
      <c r="E5" s="2579" t="s">
        <v>2524</v>
      </c>
      <c r="F5" s="2580" t="s">
        <v>2525</v>
      </c>
    </row>
    <row r="6" spans="1:6">
      <c r="A6" s="2581" t="str">
        <f>'数据-取费表'!AN6</f>
        <v>收益法 (元)-办公</v>
      </c>
      <c r="B6" s="2580">
        <f ca="1">IF(F6="是",'数据-取费表'!AO6,0)</f>
        <v>596</v>
      </c>
      <c r="C6" s="2571" t="s">
        <v>2520</v>
      </c>
      <c r="D6" s="2574"/>
      <c r="E6" s="2582">
        <f>IF(OR(A6=0,F6="否"),0,'数据-取费表'!K6+'数据-取费表'!S6)</f>
        <v>208.21</v>
      </c>
      <c r="F6" s="2583" t="s">
        <v>2526</v>
      </c>
    </row>
    <row r="7" spans="1:6">
      <c r="A7" s="2581" t="str">
        <f>'数据-取费表'!AN7</f>
        <v>收益法 (元)-车位</v>
      </c>
      <c r="B7" s="2580">
        <f ca="1">IF(F7="是",'数据-取费表'!AO7,0)</f>
        <v>18</v>
      </c>
      <c r="C7" s="2571" t="s">
        <v>2520</v>
      </c>
      <c r="D7" s="2574"/>
      <c r="E7" s="2582">
        <f>IF(OR(A7=0,F7="否"),0,'数据-取费表'!K7+'数据-取费表'!S7)</f>
        <v>62.3</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53" t="s">
        <v>1077</v>
      </c>
      <c r="B2" s="3254" t="s">
        <v>1078</v>
      </c>
      <c r="C2" s="3254"/>
      <c r="D2" s="1303" t="s">
        <v>1079</v>
      </c>
      <c r="E2" s="1303" t="s">
        <v>1080</v>
      </c>
      <c r="F2" s="1303" t="s">
        <v>1081</v>
      </c>
      <c r="G2" s="1303" t="s">
        <v>1082</v>
      </c>
      <c r="H2" s="1303" t="s">
        <v>1083</v>
      </c>
      <c r="I2" s="1304" t="s">
        <v>1084</v>
      </c>
    </row>
    <row r="3" spans="1:9">
      <c r="A3" s="3253"/>
      <c r="B3" s="3254" t="s">
        <v>1085</v>
      </c>
      <c r="C3" s="3254"/>
      <c r="D3" s="1305"/>
      <c r="E3" s="1303"/>
      <c r="F3" s="1306"/>
      <c r="G3" s="1306"/>
      <c r="H3" s="1307"/>
      <c r="I3" s="1308">
        <f>ROUND(D3*E3*F3*G3*H3/10000,0)</f>
        <v>0</v>
      </c>
    </row>
    <row r="4" spans="1:9">
      <c r="A4" s="3253"/>
      <c r="B4" s="3254" t="s">
        <v>1086</v>
      </c>
      <c r="C4" s="3254"/>
      <c r="D4" s="1305"/>
      <c r="E4" s="1303"/>
      <c r="F4" s="1306"/>
      <c r="G4" s="1306"/>
      <c r="H4" s="1307"/>
      <c r="I4" s="1308">
        <f t="shared" ref="I4:I9" si="0">ROUND(D4*E4*F4*G4*H4/10000,0)</f>
        <v>0</v>
      </c>
    </row>
    <row r="5" spans="1:9">
      <c r="A5" s="3253"/>
      <c r="B5" s="3254" t="s">
        <v>1087</v>
      </c>
      <c r="C5" s="3254"/>
      <c r="D5" s="1305"/>
      <c r="E5" s="1303"/>
      <c r="F5" s="1306"/>
      <c r="G5" s="1306"/>
      <c r="H5" s="1307"/>
      <c r="I5" s="1308">
        <f t="shared" si="0"/>
        <v>0</v>
      </c>
    </row>
    <row r="6" spans="1:9">
      <c r="A6" s="3253"/>
      <c r="B6" s="3254" t="s">
        <v>1088</v>
      </c>
      <c r="C6" s="3254"/>
      <c r="D6" s="1305"/>
      <c r="E6" s="1303"/>
      <c r="F6" s="1306"/>
      <c r="G6" s="1306"/>
      <c r="H6" s="1307"/>
      <c r="I6" s="1308">
        <f t="shared" si="0"/>
        <v>0</v>
      </c>
    </row>
    <row r="7" spans="1:9">
      <c r="A7" s="3253"/>
      <c r="B7" s="3254" t="s">
        <v>1089</v>
      </c>
      <c r="C7" s="3254"/>
      <c r="D7" s="1305"/>
      <c r="E7" s="1303"/>
      <c r="F7" s="1306"/>
      <c r="G7" s="1306"/>
      <c r="H7" s="1307"/>
      <c r="I7" s="1308">
        <f t="shared" si="0"/>
        <v>0</v>
      </c>
    </row>
    <row r="8" spans="1:9">
      <c r="A8" s="3253"/>
      <c r="B8" s="3254" t="s">
        <v>1090</v>
      </c>
      <c r="C8" s="3254"/>
      <c r="D8" s="1305"/>
      <c r="E8" s="1303"/>
      <c r="F8" s="1306"/>
      <c r="G8" s="1306"/>
      <c r="H8" s="1307"/>
      <c r="I8" s="1308">
        <f t="shared" si="0"/>
        <v>0</v>
      </c>
    </row>
    <row r="9" spans="1:9">
      <c r="A9" s="3253"/>
      <c r="B9" s="3254" t="s">
        <v>1091</v>
      </c>
      <c r="C9" s="3254"/>
      <c r="D9" s="1305"/>
      <c r="E9" s="1303"/>
      <c r="F9" s="1306"/>
      <c r="G9" s="1306"/>
      <c r="H9" s="1307"/>
      <c r="I9" s="1308">
        <f t="shared" si="0"/>
        <v>0</v>
      </c>
    </row>
    <row r="10" spans="1:9">
      <c r="A10" s="3253"/>
      <c r="B10" s="3255" t="s">
        <v>1092</v>
      </c>
      <c r="C10" s="3255"/>
      <c r="D10" s="1309"/>
      <c r="E10" s="1309" t="e">
        <f>ROUND(D1*10000/D10/H9,0)</f>
        <v>#DIV/0!</v>
      </c>
      <c r="F10" s="1310"/>
      <c r="G10" s="1310"/>
      <c r="H10" s="1311"/>
      <c r="I10" s="1312">
        <f>SUM(I3:I9)</f>
        <v>0</v>
      </c>
    </row>
    <row r="11" spans="1:9" ht="14.25">
      <c r="A11" s="3253" t="s">
        <v>1093</v>
      </c>
      <c r="B11" s="3254" t="s">
        <v>1094</v>
      </c>
      <c r="C11" s="3254"/>
      <c r="D11" s="1305" t="s">
        <v>1095</v>
      </c>
      <c r="E11" s="1305" t="s">
        <v>1096</v>
      </c>
      <c r="F11" s="1306" t="s">
        <v>1097</v>
      </c>
      <c r="G11" s="1306" t="s">
        <v>1083</v>
      </c>
      <c r="H11" s="1313" t="s">
        <v>1098</v>
      </c>
      <c r="I11" s="1304" t="s">
        <v>1084</v>
      </c>
    </row>
    <row r="12" spans="1:9">
      <c r="A12" s="3253"/>
      <c r="B12" s="3254" t="s">
        <v>1099</v>
      </c>
      <c r="C12" s="3254"/>
      <c r="D12" s="1305"/>
      <c r="E12" s="1305"/>
      <c r="F12" s="1306"/>
      <c r="G12" s="1307"/>
      <c r="H12" s="1314"/>
      <c r="I12" s="1304">
        <f>ROUND(D12*E12*F12*G12/10000,0)</f>
        <v>0</v>
      </c>
    </row>
    <row r="13" spans="1:9">
      <c r="A13" s="3253"/>
      <c r="B13" s="3254" t="s">
        <v>1100</v>
      </c>
      <c r="C13" s="3254"/>
      <c r="D13" s="1305"/>
      <c r="E13" s="1305"/>
      <c r="F13" s="1306"/>
      <c r="G13" s="1307"/>
      <c r="H13" s="1314"/>
      <c r="I13" s="1304">
        <f>ROUND(D13*E13*F13*G13/10000,0)</f>
        <v>0</v>
      </c>
    </row>
    <row r="14" spans="1:9">
      <c r="A14" s="3253"/>
      <c r="B14" s="3254" t="s">
        <v>1101</v>
      </c>
      <c r="C14" s="3254"/>
      <c r="D14" s="1305"/>
      <c r="E14" s="1305"/>
      <c r="F14" s="1306"/>
      <c r="G14" s="1307"/>
      <c r="H14" s="1314"/>
      <c r="I14" s="1304">
        <f>ROUND(D14*E14*F14*G14/10000,0)</f>
        <v>0</v>
      </c>
    </row>
    <row r="15" spans="1:9">
      <c r="A15" s="3253"/>
      <c r="B15" s="3255" t="s">
        <v>1092</v>
      </c>
      <c r="C15" s="3255"/>
      <c r="D15" s="1309"/>
      <c r="E15" s="1309">
        <f>SUM(E12:E14)</f>
        <v>0</v>
      </c>
      <c r="F15" s="1310"/>
      <c r="G15" s="1307"/>
      <c r="H15" s="1314"/>
      <c r="I15" s="1315">
        <f>SUM(I12:I14)</f>
        <v>0</v>
      </c>
    </row>
    <row r="16" spans="1:9" ht="24">
      <c r="A16" s="3253" t="s">
        <v>1102</v>
      </c>
      <c r="B16" s="3254" t="s">
        <v>1103</v>
      </c>
      <c r="C16" s="3254"/>
      <c r="D16" s="1305" t="s">
        <v>1079</v>
      </c>
      <c r="E16" s="1316" t="s">
        <v>1104</v>
      </c>
      <c r="F16" s="1306" t="s">
        <v>1105</v>
      </c>
      <c r="G16" s="1307" t="s">
        <v>1083</v>
      </c>
      <c r="H16" s="1313" t="s">
        <v>1098</v>
      </c>
      <c r="I16" s="1304" t="s">
        <v>1084</v>
      </c>
    </row>
    <row r="17" spans="1:9" ht="14.25">
      <c r="A17" s="3253"/>
      <c r="B17" s="3254" t="s">
        <v>1106</v>
      </c>
      <c r="C17" s="3254"/>
      <c r="D17" s="1305"/>
      <c r="E17" s="1305"/>
      <c r="F17" s="1306"/>
      <c r="G17" s="1307"/>
      <c r="H17" s="1317"/>
      <c r="I17" s="1318">
        <f>ROUND(D17*E17*F17*G17/10000,0)</f>
        <v>0</v>
      </c>
    </row>
    <row r="18" spans="1:9" ht="14.25">
      <c r="A18" s="3253"/>
      <c r="B18" s="3254" t="s">
        <v>1107</v>
      </c>
      <c r="C18" s="3254"/>
      <c r="D18" s="1305"/>
      <c r="E18" s="1305"/>
      <c r="F18" s="1306"/>
      <c r="G18" s="1307"/>
      <c r="H18" s="1317"/>
      <c r="I18" s="1318">
        <f>ROUND(D18*E18*F18*G18/10000,0)</f>
        <v>0</v>
      </c>
    </row>
    <row r="19" spans="1:9" ht="14.25">
      <c r="A19" s="3253"/>
      <c r="B19" s="3254" t="s">
        <v>1108</v>
      </c>
      <c r="C19" s="3254"/>
      <c r="D19" s="1305"/>
      <c r="E19" s="1305"/>
      <c r="F19" s="1306"/>
      <c r="G19" s="1307"/>
      <c r="H19" s="1317"/>
      <c r="I19" s="1318">
        <f>ROUND(D19*E19*F19*G19/10000,0)</f>
        <v>0</v>
      </c>
    </row>
    <row r="20" spans="1:9">
      <c r="A20" s="3253"/>
      <c r="B20" s="3255" t="s">
        <v>1092</v>
      </c>
      <c r="C20" s="3255"/>
      <c r="D20" s="1309">
        <f>SUM(D17:D19)</f>
        <v>0</v>
      </c>
      <c r="E20" s="1309"/>
      <c r="F20" s="1310"/>
      <c r="G20" s="1307"/>
      <c r="H20" s="1314"/>
      <c r="I20" s="1315">
        <f>SUM(I17:I19)</f>
        <v>0</v>
      </c>
    </row>
    <row r="21" spans="1:9">
      <c r="A21" s="3253" t="s">
        <v>1109</v>
      </c>
      <c r="B21" s="3257"/>
      <c r="C21" s="3257"/>
      <c r="D21" s="3257"/>
      <c r="E21" s="3257"/>
      <c r="F21" s="3257"/>
      <c r="G21" s="3257"/>
      <c r="H21" s="1767">
        <v>0.1</v>
      </c>
      <c r="I21" s="1312">
        <f>ROUND(I10*H21,0)</f>
        <v>0</v>
      </c>
    </row>
    <row r="22" spans="1:9" ht="14.25">
      <c r="A22" s="3258" t="s">
        <v>1110</v>
      </c>
      <c r="B22" s="3259"/>
      <c r="C22" s="3260"/>
      <c r="D22" s="1319" t="s">
        <v>1111</v>
      </c>
      <c r="E22" s="1319" t="s">
        <v>1112</v>
      </c>
      <c r="F22" s="1320" t="s">
        <v>1113</v>
      </c>
      <c r="G22" s="1320" t="s">
        <v>1114</v>
      </c>
      <c r="H22" s="1313" t="s">
        <v>1115</v>
      </c>
      <c r="I22" s="1304" t="s">
        <v>1116</v>
      </c>
    </row>
    <row r="23" spans="1:9" ht="14.25" thickBot="1">
      <c r="A23" s="3261"/>
      <c r="B23" s="3262"/>
      <c r="C23" s="3263"/>
      <c r="D23" s="1321"/>
      <c r="E23" s="1321"/>
      <c r="F23" s="1321"/>
      <c r="G23" s="1322"/>
      <c r="H23" s="1323"/>
      <c r="I23" s="1324">
        <f>ROUND(E23*D23*F23*(1-G23)/10000,0)</f>
        <v>0</v>
      </c>
    </row>
    <row r="26" spans="1:9">
      <c r="A26" s="1325" t="s">
        <v>1117</v>
      </c>
      <c r="B26" s="1325"/>
      <c r="C26" s="1325"/>
      <c r="D26" s="1325"/>
      <c r="E26" s="3264">
        <f>C27-C30-C31-C32</f>
        <v>0</v>
      </c>
      <c r="F26" s="3264"/>
      <c r="G26" s="3264"/>
      <c r="H26" s="1739" t="s">
        <v>1340</v>
      </c>
    </row>
    <row r="27" spans="1:9">
      <c r="A27" s="1326">
        <v>1</v>
      </c>
      <c r="B27" s="1327" t="s">
        <v>1118</v>
      </c>
      <c r="C27" s="1327">
        <f>C28+C29</f>
        <v>0</v>
      </c>
      <c r="D27" s="1327"/>
      <c r="E27" s="3265"/>
      <c r="F27" s="3265"/>
      <c r="G27" s="3265"/>
    </row>
    <row r="28" spans="1:9">
      <c r="A28" s="1328" t="s">
        <v>1119</v>
      </c>
      <c r="B28" s="1327" t="s">
        <v>1120</v>
      </c>
      <c r="C28" s="1327"/>
      <c r="D28" s="1327"/>
      <c r="E28" s="3265"/>
      <c r="F28" s="3265"/>
      <c r="G28" s="326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6"/>
      <c r="F32" s="3256"/>
      <c r="G32" s="3256"/>
    </row>
    <row r="33" spans="1:7" hidden="1">
      <c r="A33" s="3266" t="s">
        <v>1129</v>
      </c>
      <c r="B33" s="3267"/>
      <c r="C33" s="3267"/>
      <c r="D33" s="3268"/>
      <c r="E33" s="3264"/>
      <c r="F33" s="3264"/>
      <c r="G33" s="3264"/>
    </row>
    <row r="34" spans="1:7" hidden="1">
      <c r="A34" s="1330">
        <v>1</v>
      </c>
      <c r="B34" s="1327" t="s">
        <v>1130</v>
      </c>
      <c r="C34" s="1327"/>
      <c r="D34" s="1327"/>
      <c r="E34" s="3265"/>
      <c r="F34" s="3265"/>
      <c r="G34" s="3265"/>
    </row>
    <row r="35" spans="1:7" hidden="1">
      <c r="A35" s="1330">
        <v>2</v>
      </c>
      <c r="B35" s="1327" t="s">
        <v>1131</v>
      </c>
      <c r="C35" s="1327"/>
      <c r="D35" s="1327"/>
      <c r="E35" s="3265"/>
      <c r="F35" s="3265"/>
      <c r="G35" s="3265"/>
    </row>
    <row r="36" spans="1:7" hidden="1">
      <c r="A36" s="1330">
        <v>3</v>
      </c>
      <c r="B36" s="1327" t="s">
        <v>1132</v>
      </c>
      <c r="C36" s="1327"/>
      <c r="D36" s="1327"/>
      <c r="E36" s="3265"/>
      <c r="F36" s="3265"/>
      <c r="G36" s="3265"/>
    </row>
    <row r="37" spans="1:7" hidden="1">
      <c r="A37" s="1330">
        <v>4</v>
      </c>
      <c r="B37" s="1327" t="s">
        <v>1133</v>
      </c>
      <c r="C37" s="1327"/>
      <c r="D37" s="1327"/>
      <c r="E37" s="3265"/>
      <c r="F37" s="3265"/>
      <c r="G37" s="3265"/>
    </row>
    <row r="38" spans="1:7" hidden="1">
      <c r="A38" s="3266" t="s">
        <v>1134</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1392</v>
      </c>
      <c r="B2" s="1420" t="e">
        <f ca="1">IF(C2="——",ROUND(C49*D3/10000,0),ROUND(C49*D3/10000,0)-D2)</f>
        <v>#DIV/0!</v>
      </c>
      <c r="C2" s="2591"/>
      <c r="D2" s="1367"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1393</v>
      </c>
      <c r="B3" s="399" t="e">
        <f ca="1">IF(C2="——",C49,ROUND(B2*10000/D3,0))</f>
        <v>#DIV/0!</v>
      </c>
      <c r="C3" s="400" t="s">
        <v>2535</v>
      </c>
      <c r="D3" s="399">
        <f>IF(D1="",'数据-汇总表'!E3,SUMIF('数据-汇总表'!$C19:$C33,D1,'数据-汇总表'!$E19:$E33))</f>
        <v>270.51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4"/>
    </row>
    <row r="4" spans="1:29" ht="15">
      <c r="A4" s="401" t="s">
        <v>2536</v>
      </c>
      <c r="B4" s="402"/>
      <c r="C4" s="3196" t="s">
        <v>2537</v>
      </c>
      <c r="D4" s="3197"/>
      <c r="E4" s="3198" t="s">
        <v>2538</v>
      </c>
      <c r="F4" s="3199"/>
      <c r="G4" s="3196" t="s">
        <v>2539</v>
      </c>
      <c r="H4" s="3197"/>
      <c r="I4" s="3196" t="s">
        <v>2540</v>
      </c>
      <c r="J4" s="3197"/>
      <c r="K4" s="2601" t="s">
        <v>2541</v>
      </c>
      <c r="L4" s="1133"/>
      <c r="M4" s="1134"/>
      <c r="N4" s="1134"/>
      <c r="O4" s="1134"/>
      <c r="P4" s="3239" t="s">
        <v>2542</v>
      </c>
      <c r="Q4" s="3240"/>
      <c r="R4" s="3236" t="s">
        <v>2538</v>
      </c>
      <c r="S4" s="3237"/>
      <c r="T4" s="3236" t="s">
        <v>2539</v>
      </c>
      <c r="U4" s="3237"/>
      <c r="V4" s="3209" t="s">
        <v>2540</v>
      </c>
      <c r="W4" s="3209"/>
      <c r="X4" s="1815"/>
      <c r="Y4" s="3236" t="s">
        <v>2542</v>
      </c>
      <c r="Z4" s="3237"/>
      <c r="AA4" s="3235" t="s">
        <v>2538</v>
      </c>
      <c r="AB4" s="3235" t="s">
        <v>2539</v>
      </c>
      <c r="AC4" s="3235" t="s">
        <v>2540</v>
      </c>
    </row>
    <row r="5" spans="1:29" ht="15">
      <c r="A5" s="404"/>
      <c r="B5" s="405"/>
      <c r="C5" s="3186" t="s">
        <v>2543</v>
      </c>
      <c r="D5" s="3187"/>
      <c r="E5" s="3269" t="s">
        <v>2544</v>
      </c>
      <c r="F5" s="3185"/>
      <c r="G5" s="3186" t="s">
        <v>2545</v>
      </c>
      <c r="H5" s="3187"/>
      <c r="I5" s="3186" t="s">
        <v>2546</v>
      </c>
      <c r="J5" s="3187"/>
      <c r="K5" s="2602"/>
      <c r="L5" s="1133"/>
      <c r="M5" s="1134"/>
      <c r="N5" s="1134"/>
      <c r="O5" s="1134"/>
      <c r="P5" s="3241"/>
      <c r="Q5" s="3203"/>
      <c r="R5" s="3182"/>
      <c r="S5" s="3183"/>
      <c r="T5" s="3182"/>
      <c r="U5" s="3183"/>
      <c r="V5" s="3209"/>
      <c r="W5" s="3209"/>
      <c r="X5" s="1815"/>
      <c r="Y5" s="3182"/>
      <c r="Z5" s="3183"/>
      <c r="AA5" s="3176"/>
      <c r="AB5" s="3176"/>
      <c r="AC5" s="3176"/>
    </row>
    <row r="6" spans="1:29" ht="15.75" thickBot="1">
      <c r="A6" s="406"/>
      <c r="B6" s="407"/>
      <c r="C6" s="3188" t="s">
        <v>2547</v>
      </c>
      <c r="D6" s="3189"/>
      <c r="E6" s="3190" t="s">
        <v>2547</v>
      </c>
      <c r="F6" s="3191"/>
      <c r="G6" s="3188" t="s">
        <v>2547</v>
      </c>
      <c r="H6" s="3189"/>
      <c r="I6" s="3188" t="s">
        <v>2547</v>
      </c>
      <c r="J6" s="3189"/>
      <c r="K6" s="2602" t="s">
        <v>2548</v>
      </c>
      <c r="L6" s="1133"/>
      <c r="M6" s="1134"/>
      <c r="N6" s="1134"/>
      <c r="O6" s="1134"/>
      <c r="P6" s="3242"/>
      <c r="Q6" s="3205"/>
      <c r="R6" s="3182"/>
      <c r="S6" s="3183"/>
      <c r="T6" s="3206"/>
      <c r="U6" s="3207"/>
      <c r="V6" s="3209"/>
      <c r="W6" s="3209"/>
      <c r="X6" s="1815"/>
      <c r="Y6" s="3206"/>
      <c r="Z6" s="3207"/>
      <c r="AA6" s="3177"/>
      <c r="AB6" s="3177"/>
      <c r="AC6" s="3177"/>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8" t="s">
        <v>2550</v>
      </c>
      <c r="Q7" s="3211"/>
      <c r="R7" s="770" t="s">
        <v>23</v>
      </c>
      <c r="S7" s="771">
        <f t="shared" ref="S7:S15" si="0">F7</f>
        <v>0</v>
      </c>
      <c r="T7" s="770" t="s">
        <v>23</v>
      </c>
      <c r="U7" s="771">
        <f t="shared" ref="U7:U15" si="1">H7</f>
        <v>0</v>
      </c>
      <c r="V7" s="770" t="s">
        <v>23</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8" t="s">
        <v>2553</v>
      </c>
      <c r="Q8" s="3179"/>
      <c r="R8" s="770" t="s">
        <v>23</v>
      </c>
      <c r="S8" s="771">
        <f t="shared" si="0"/>
        <v>0</v>
      </c>
      <c r="T8" s="770" t="s">
        <v>23</v>
      </c>
      <c r="U8" s="771">
        <f t="shared" si="1"/>
        <v>0</v>
      </c>
      <c r="V8" s="770" t="s">
        <v>23</v>
      </c>
      <c r="W8" s="771">
        <f t="shared" si="2"/>
        <v>0</v>
      </c>
      <c r="X8" s="772"/>
      <c r="Y8" s="3178" t="s">
        <v>2553</v>
      </c>
      <c r="Z8" s="317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92"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7"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92"/>
      <c r="Q12" s="1797">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92"/>
      <c r="Q13" s="1797">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92"/>
      <c r="Q14" s="1797">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2560</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2561</v>
      </c>
      <c r="Q15" s="1812" t="str">
        <f t="shared" si="6"/>
        <v>居住社区成熟度</v>
      </c>
      <c r="R15" s="774" t="s">
        <v>21</v>
      </c>
      <c r="S15" s="775">
        <f t="shared" si="0"/>
        <v>100</v>
      </c>
      <c r="T15" s="774" t="s">
        <v>21</v>
      </c>
      <c r="U15" s="775">
        <f t="shared" si="1"/>
        <v>100</v>
      </c>
      <c r="V15" s="774" t="s">
        <v>21</v>
      </c>
      <c r="W15" s="775">
        <f t="shared" si="2"/>
        <v>100</v>
      </c>
      <c r="X15" s="1815"/>
      <c r="Y15" s="3214" t="s">
        <v>2561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2" t="str">
        <f>B17</f>
        <v>交通便捷度</v>
      </c>
      <c r="R17" s="774" t="s">
        <v>21</v>
      </c>
      <c r="S17" s="775">
        <f>F17</f>
        <v>100</v>
      </c>
      <c r="T17" s="774" t="s">
        <v>21</v>
      </c>
      <c r="U17" s="775">
        <f>H17</f>
        <v>100</v>
      </c>
      <c r="V17" s="774" t="s">
        <v>21</v>
      </c>
      <c r="W17" s="775">
        <f>J17</f>
        <v>100</v>
      </c>
      <c r="X17" s="1815"/>
      <c r="Y17" s="3215"/>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2" t="str">
        <f>B19</f>
        <v>公共配套设施</v>
      </c>
      <c r="R19" s="774" t="s">
        <v>21</v>
      </c>
      <c r="S19" s="775">
        <f>F19</f>
        <v>100</v>
      </c>
      <c r="T19" s="774" t="s">
        <v>21</v>
      </c>
      <c r="U19" s="775">
        <f>H19</f>
        <v>100</v>
      </c>
      <c r="V19" s="774" t="s">
        <v>21</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13"/>
      <c r="Q20" s="1812"/>
      <c r="R20" s="774"/>
      <c r="S20" s="775"/>
      <c r="T20" s="774"/>
      <c r="U20" s="775"/>
      <c r="V20" s="774"/>
      <c r="W20" s="775"/>
      <c r="X20" s="1815"/>
      <c r="Y20" s="3215"/>
      <c r="Z20" s="1816"/>
      <c r="AA20" s="1813">
        <v>1</v>
      </c>
      <c r="AB20" s="1813">
        <v>1</v>
      </c>
      <c r="AC20" s="1813">
        <v>1</v>
      </c>
    </row>
    <row r="21" spans="1:29" ht="28.5">
      <c r="A21" s="428"/>
      <c r="B21" s="1386"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3"/>
      <c r="M22" s="1134"/>
      <c r="N22" s="1134"/>
      <c r="O22" s="1134"/>
      <c r="P22" s="3213"/>
      <c r="Q22" s="1812"/>
      <c r="R22" s="774"/>
      <c r="S22" s="775"/>
      <c r="T22" s="774"/>
      <c r="U22" s="775"/>
      <c r="V22" s="774"/>
      <c r="W22" s="775"/>
      <c r="X22" s="1815"/>
      <c r="Y22" s="3215"/>
      <c r="Z22" s="1816"/>
      <c r="AA22" s="1813">
        <v>1</v>
      </c>
      <c r="AB22" s="1813">
        <v>1</v>
      </c>
      <c r="AC22" s="1813">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2" t="str">
        <f>B23</f>
        <v>自然及人文环境</v>
      </c>
      <c r="R23" s="774" t="s">
        <v>21</v>
      </c>
      <c r="S23" s="775">
        <f>F23</f>
        <v>100</v>
      </c>
      <c r="T23" s="774" t="s">
        <v>21</v>
      </c>
      <c r="U23" s="775">
        <f>H23</f>
        <v>100</v>
      </c>
      <c r="V23" s="774" t="s">
        <v>21</v>
      </c>
      <c r="W23" s="775">
        <f>J23</f>
        <v>100</v>
      </c>
      <c r="X23" s="1815"/>
      <c r="Y23" s="3215"/>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1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13"/>
      <c r="Q26" s="1812" t="str">
        <f t="shared" si="11"/>
        <v>朝向</v>
      </c>
      <c r="R26" s="774" t="s">
        <v>21</v>
      </c>
      <c r="S26" s="775">
        <f t="shared" si="12"/>
        <v>100</v>
      </c>
      <c r="T26" s="774" t="s">
        <v>21</v>
      </c>
      <c r="U26" s="775">
        <f t="shared" si="13"/>
        <v>100</v>
      </c>
      <c r="V26" s="774" t="s">
        <v>21</v>
      </c>
      <c r="W26" s="775">
        <f t="shared" si="14"/>
        <v>100</v>
      </c>
      <c r="X26" s="1815"/>
      <c r="Y26" s="321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13"/>
      <c r="Q27" s="1797">
        <f t="shared" si="11"/>
        <v>111</v>
      </c>
      <c r="R27" s="770" t="s">
        <v>21</v>
      </c>
      <c r="S27" s="771">
        <f t="shared" si="12"/>
        <v>100</v>
      </c>
      <c r="T27" s="770" t="s">
        <v>21</v>
      </c>
      <c r="U27" s="771">
        <f t="shared" si="13"/>
        <v>100</v>
      </c>
      <c r="V27" s="770" t="s">
        <v>21</v>
      </c>
      <c r="W27" s="771">
        <f t="shared" si="14"/>
        <v>100</v>
      </c>
      <c r="X27" s="772"/>
      <c r="Y27" s="321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13"/>
      <c r="Q28" s="1812">
        <f t="shared" si="11"/>
        <v>111</v>
      </c>
      <c r="R28" s="774" t="s">
        <v>21</v>
      </c>
      <c r="S28" s="775">
        <f t="shared" si="12"/>
        <v>100</v>
      </c>
      <c r="T28" s="774" t="s">
        <v>21</v>
      </c>
      <c r="U28" s="775">
        <f t="shared" si="13"/>
        <v>100</v>
      </c>
      <c r="V28" s="774" t="s">
        <v>21</v>
      </c>
      <c r="W28" s="775">
        <f t="shared" si="14"/>
        <v>100</v>
      </c>
      <c r="X28" s="1815"/>
      <c r="Y28" s="321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13"/>
      <c r="Q29" s="1812">
        <f t="shared" si="11"/>
        <v>111</v>
      </c>
      <c r="R29" s="774" t="s">
        <v>21</v>
      </c>
      <c r="S29" s="775">
        <f t="shared" si="12"/>
        <v>100</v>
      </c>
      <c r="T29" s="774" t="s">
        <v>21</v>
      </c>
      <c r="U29" s="775">
        <f t="shared" si="13"/>
        <v>100</v>
      </c>
      <c r="V29" s="774" t="s">
        <v>21</v>
      </c>
      <c r="W29" s="775">
        <f t="shared" si="14"/>
        <v>100</v>
      </c>
      <c r="X29" s="1815"/>
      <c r="Y29" s="321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13"/>
      <c r="Q30" s="1812">
        <f t="shared" si="11"/>
        <v>111</v>
      </c>
      <c r="R30" s="774" t="s">
        <v>21</v>
      </c>
      <c r="S30" s="775">
        <f t="shared" si="12"/>
        <v>100</v>
      </c>
      <c r="T30" s="774" t="s">
        <v>21</v>
      </c>
      <c r="U30" s="775">
        <f t="shared" si="13"/>
        <v>100</v>
      </c>
      <c r="V30" s="774" t="s">
        <v>21</v>
      </c>
      <c r="W30" s="775">
        <f t="shared" si="14"/>
        <v>100</v>
      </c>
      <c r="X30" s="1815"/>
      <c r="Y30" s="321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13"/>
      <c r="Q31" s="1812">
        <f t="shared" si="11"/>
        <v>111</v>
      </c>
      <c r="R31" s="774" t="s">
        <v>21</v>
      </c>
      <c r="S31" s="775">
        <f t="shared" si="12"/>
        <v>100</v>
      </c>
      <c r="T31" s="774" t="s">
        <v>21</v>
      </c>
      <c r="U31" s="775">
        <f t="shared" si="13"/>
        <v>100</v>
      </c>
      <c r="V31" s="774" t="s">
        <v>21</v>
      </c>
      <c r="W31" s="775">
        <f t="shared" si="14"/>
        <v>100</v>
      </c>
      <c r="X31" s="1815"/>
      <c r="Y31" s="3215"/>
      <c r="Z31" s="1816">
        <f t="shared" si="18"/>
        <v>111</v>
      </c>
      <c r="AA31" s="1813">
        <f t="shared" si="15"/>
        <v>1</v>
      </c>
      <c r="AB31" s="1813">
        <f t="shared" si="16"/>
        <v>1</v>
      </c>
      <c r="AC31" s="1813">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16" t="s">
        <v>2566</v>
      </c>
      <c r="Q32" s="1812" t="str">
        <f t="shared" si="11"/>
        <v>建筑类型</v>
      </c>
      <c r="R32" s="774" t="s">
        <v>21</v>
      </c>
      <c r="S32" s="775">
        <f t="shared" si="12"/>
        <v>100</v>
      </c>
      <c r="T32" s="774" t="s">
        <v>21</v>
      </c>
      <c r="U32" s="775">
        <f t="shared" si="13"/>
        <v>100</v>
      </c>
      <c r="V32" s="774" t="s">
        <v>21</v>
      </c>
      <c r="W32" s="775">
        <f t="shared" si="14"/>
        <v>100</v>
      </c>
      <c r="X32" s="1815"/>
      <c r="Y32" s="3219"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3" t="e">
        <f t="shared" si="15"/>
        <v>#N/A</v>
      </c>
      <c r="AB33" s="1813" t="e">
        <f t="shared" si="16"/>
        <v>#N/A</v>
      </c>
      <c r="AC33" s="1813"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17"/>
      <c r="Q34" s="1812" t="str">
        <f t="shared" si="11"/>
        <v>建筑结构</v>
      </c>
      <c r="R34" s="774" t="s">
        <v>21</v>
      </c>
      <c r="S34" s="775">
        <f t="shared" si="12"/>
        <v>100</v>
      </c>
      <c r="T34" s="774" t="s">
        <v>21</v>
      </c>
      <c r="U34" s="775">
        <f t="shared" si="13"/>
        <v>100</v>
      </c>
      <c r="V34" s="774" t="s">
        <v>21</v>
      </c>
      <c r="W34" s="775">
        <f t="shared" si="14"/>
        <v>100</v>
      </c>
      <c r="X34" s="1815"/>
      <c r="Y34" s="3219"/>
      <c r="Z34" s="1816" t="str">
        <f t="shared" si="18"/>
        <v>建筑结构</v>
      </c>
      <c r="AA34" s="1813">
        <f t="shared" si="15"/>
        <v>1</v>
      </c>
      <c r="AB34" s="1813">
        <f t="shared" si="16"/>
        <v>1</v>
      </c>
      <c r="AC34" s="1813">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17"/>
      <c r="Q35" s="1812" t="str">
        <f t="shared" si="11"/>
        <v>建筑品质</v>
      </c>
      <c r="R35" s="774" t="s">
        <v>21</v>
      </c>
      <c r="S35" s="775">
        <f t="shared" si="12"/>
        <v>100</v>
      </c>
      <c r="T35" s="774" t="s">
        <v>21</v>
      </c>
      <c r="U35" s="775">
        <f t="shared" si="13"/>
        <v>100</v>
      </c>
      <c r="V35" s="774" t="s">
        <v>21</v>
      </c>
      <c r="W35" s="775">
        <f t="shared" si="14"/>
        <v>100</v>
      </c>
      <c r="X35" s="1815"/>
      <c r="Y35" s="3219"/>
      <c r="Z35" s="1816" t="str">
        <f t="shared" si="18"/>
        <v>建筑品质</v>
      </c>
      <c r="AA35" s="1813">
        <f t="shared" si="15"/>
        <v>1</v>
      </c>
      <c r="AB35" s="1813">
        <f t="shared" si="16"/>
        <v>1</v>
      </c>
      <c r="AC35" s="1813">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17"/>
      <c r="Q36" s="1812" t="str">
        <f t="shared" si="11"/>
        <v>公共部分装修</v>
      </c>
      <c r="R36" s="774" t="s">
        <v>21</v>
      </c>
      <c r="S36" s="775">
        <f t="shared" si="12"/>
        <v>100</v>
      </c>
      <c r="T36" s="774" t="s">
        <v>21</v>
      </c>
      <c r="U36" s="775">
        <f t="shared" si="13"/>
        <v>100</v>
      </c>
      <c r="V36" s="774" t="s">
        <v>21</v>
      </c>
      <c r="W36" s="775">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7"/>
      <c r="Q37" s="1797"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17" t="s">
        <v>2566</v>
      </c>
      <c r="Q38" s="1812" t="str">
        <f t="shared" si="11"/>
        <v>物业管理</v>
      </c>
      <c r="R38" s="774" t="s">
        <v>21</v>
      </c>
      <c r="S38" s="775">
        <f t="shared" si="12"/>
        <v>100</v>
      </c>
      <c r="T38" s="774" t="s">
        <v>21</v>
      </c>
      <c r="U38" s="775">
        <f t="shared" si="13"/>
        <v>100</v>
      </c>
      <c r="V38" s="774" t="s">
        <v>21</v>
      </c>
      <c r="W38" s="775">
        <f t="shared" si="14"/>
        <v>100</v>
      </c>
      <c r="X38" s="1815"/>
      <c r="Y38" s="3219" t="s">
        <v>2566</v>
      </c>
      <c r="Z38" s="1816" t="str">
        <f t="shared" si="18"/>
        <v>物业管理</v>
      </c>
      <c r="AA38" s="1813">
        <f t="shared" si="15"/>
        <v>1</v>
      </c>
      <c r="AB38" s="1813">
        <f t="shared" si="16"/>
        <v>1</v>
      </c>
      <c r="AC38" s="1813">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17"/>
      <c r="Q39" s="1812" t="str">
        <f t="shared" si="11"/>
        <v>市政基础设施</v>
      </c>
      <c r="R39" s="774" t="s">
        <v>21</v>
      </c>
      <c r="S39" s="775">
        <f t="shared" si="12"/>
        <v>100</v>
      </c>
      <c r="T39" s="774" t="s">
        <v>21</v>
      </c>
      <c r="U39" s="775">
        <f t="shared" si="13"/>
        <v>100</v>
      </c>
      <c r="V39" s="774" t="s">
        <v>21</v>
      </c>
      <c r="W39" s="775">
        <f t="shared" si="14"/>
        <v>100</v>
      </c>
      <c r="X39" s="1815"/>
      <c r="Y39" s="3219"/>
      <c r="Z39" s="1816" t="str">
        <f t="shared" si="18"/>
        <v>市政基础设施</v>
      </c>
      <c r="AA39" s="1813">
        <f t="shared" si="15"/>
        <v>1</v>
      </c>
      <c r="AB39" s="1813">
        <f t="shared" si="16"/>
        <v>1</v>
      </c>
      <c r="AC39" s="1813">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17"/>
      <c r="Q40" s="1812" t="str">
        <f t="shared" si="11"/>
        <v>房型</v>
      </c>
      <c r="R40" s="774" t="s">
        <v>21</v>
      </c>
      <c r="S40" s="775">
        <f t="shared" si="12"/>
        <v>100</v>
      </c>
      <c r="T40" s="774" t="s">
        <v>21</v>
      </c>
      <c r="U40" s="775">
        <f t="shared" si="13"/>
        <v>100</v>
      </c>
      <c r="V40" s="774" t="s">
        <v>21</v>
      </c>
      <c r="W40" s="775">
        <f t="shared" si="14"/>
        <v>100</v>
      </c>
      <c r="X40" s="1815"/>
      <c r="Y40" s="3219"/>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3">
        <f t="shared" si="15"/>
        <v>1</v>
      </c>
      <c r="AB41" s="1813">
        <f t="shared" si="16"/>
        <v>1</v>
      </c>
      <c r="AC41" s="1813">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17"/>
      <c r="Q42" s="1812" t="str">
        <f t="shared" si="11"/>
        <v>内部装修</v>
      </c>
      <c r="R42" s="774" t="s">
        <v>21</v>
      </c>
      <c r="S42" s="775">
        <f t="shared" si="12"/>
        <v>100</v>
      </c>
      <c r="T42" s="774" t="s">
        <v>21</v>
      </c>
      <c r="U42" s="775">
        <f t="shared" si="13"/>
        <v>100</v>
      </c>
      <c r="V42" s="774" t="s">
        <v>21</v>
      </c>
      <c r="W42" s="775">
        <f t="shared" si="14"/>
        <v>100</v>
      </c>
      <c r="X42" s="1815"/>
      <c r="Y42" s="3219"/>
      <c r="Z42" s="1816" t="str">
        <f t="shared" si="18"/>
        <v>内部装修</v>
      </c>
      <c r="AA42" s="1813">
        <f t="shared" si="15"/>
        <v>1</v>
      </c>
      <c r="AB42" s="1813">
        <f t="shared" si="16"/>
        <v>1</v>
      </c>
      <c r="AC42" s="1813">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17"/>
      <c r="Q43" s="1812" t="str">
        <f t="shared" si="11"/>
        <v>内部装修维护情况</v>
      </c>
      <c r="R43" s="774" t="s">
        <v>21</v>
      </c>
      <c r="S43" s="775">
        <f t="shared" si="12"/>
        <v>100</v>
      </c>
      <c r="T43" s="774" t="s">
        <v>21</v>
      </c>
      <c r="U43" s="775">
        <f t="shared" si="13"/>
        <v>100</v>
      </c>
      <c r="V43" s="774" t="s">
        <v>21</v>
      </c>
      <c r="W43" s="775">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17"/>
      <c r="Q44" s="1797">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17"/>
      <c r="Q45" s="1812">
        <f t="shared" si="11"/>
        <v>111</v>
      </c>
      <c r="R45" s="774" t="s">
        <v>21</v>
      </c>
      <c r="S45" s="775">
        <f t="shared" si="12"/>
        <v>100</v>
      </c>
      <c r="T45" s="774" t="s">
        <v>21</v>
      </c>
      <c r="U45" s="775">
        <f t="shared" si="13"/>
        <v>100</v>
      </c>
      <c r="V45" s="774" t="s">
        <v>21</v>
      </c>
      <c r="W45" s="775">
        <f t="shared" si="14"/>
        <v>100</v>
      </c>
      <c r="X45" s="1815"/>
      <c r="Y45" s="3219"/>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18"/>
      <c r="Q46" s="1812">
        <f t="shared" si="11"/>
        <v>111</v>
      </c>
      <c r="R46" s="774" t="s">
        <v>20</v>
      </c>
      <c r="S46" s="775">
        <f t="shared" si="12"/>
        <v>100</v>
      </c>
      <c r="T46" s="774" t="s">
        <v>20</v>
      </c>
      <c r="U46" s="775">
        <f t="shared" si="13"/>
        <v>100</v>
      </c>
      <c r="V46" s="774" t="s">
        <v>20</v>
      </c>
      <c r="W46" s="775">
        <f t="shared" si="14"/>
        <v>100</v>
      </c>
      <c r="X46" s="1815"/>
      <c r="Y46" s="3220"/>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6"/>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7"/>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8"/>
      <c r="L49" s="1146"/>
      <c r="M49" s="1147"/>
      <c r="N49" s="1147"/>
      <c r="O49" s="1147"/>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270.51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209" t="s">
        <v>2649</v>
      </c>
      <c r="AC4" s="3235" t="s">
        <v>2650</v>
      </c>
    </row>
    <row r="5" spans="1:29" ht="15">
      <c r="A5" s="404"/>
      <c r="B5" s="405"/>
      <c r="C5" s="3186" t="s">
        <v>2543</v>
      </c>
      <c r="D5" s="3187"/>
      <c r="E5" s="3269" t="s">
        <v>2544</v>
      </c>
      <c r="F5" s="3185"/>
      <c r="G5" s="3186" t="s">
        <v>2545</v>
      </c>
      <c r="H5" s="3187"/>
      <c r="I5" s="3186" t="s">
        <v>2546</v>
      </c>
      <c r="J5" s="3187"/>
      <c r="K5" s="610"/>
      <c r="L5" s="1133"/>
      <c r="M5" s="1134"/>
      <c r="N5" s="1134"/>
      <c r="O5" s="1134"/>
      <c r="P5" s="3241"/>
      <c r="Q5" s="3203"/>
      <c r="R5" s="3182"/>
      <c r="S5" s="3183"/>
      <c r="T5" s="3182"/>
      <c r="U5" s="3183"/>
      <c r="V5" s="3209"/>
      <c r="W5" s="3209"/>
      <c r="X5" s="1815"/>
      <c r="Y5" s="3182"/>
      <c r="Z5" s="3183"/>
      <c r="AA5" s="3176"/>
      <c r="AB5" s="3209"/>
      <c r="AC5" s="3176"/>
    </row>
    <row r="6" spans="1:29" ht="15.75" thickBot="1">
      <c r="A6" s="406"/>
      <c r="B6" s="407"/>
      <c r="C6" s="3188" t="s">
        <v>2547</v>
      </c>
      <c r="D6" s="3189"/>
      <c r="E6" s="3190" t="s">
        <v>2547</v>
      </c>
      <c r="F6" s="3191"/>
      <c r="G6" s="3188" t="s">
        <v>2547</v>
      </c>
      <c r="H6" s="3189"/>
      <c r="I6" s="3188" t="s">
        <v>2547</v>
      </c>
      <c r="J6" s="3189"/>
      <c r="K6" s="610" t="s">
        <v>2548</v>
      </c>
      <c r="L6" s="1133"/>
      <c r="M6" s="1134"/>
      <c r="N6" s="1134"/>
      <c r="O6" s="1134"/>
      <c r="P6" s="3242"/>
      <c r="Q6" s="3205"/>
      <c r="R6" s="3182"/>
      <c r="S6" s="3183"/>
      <c r="T6" s="3206"/>
      <c r="U6" s="3207"/>
      <c r="V6" s="3209"/>
      <c r="W6" s="3209"/>
      <c r="X6" s="1815"/>
      <c r="Y6" s="3206"/>
      <c r="Z6" s="3207"/>
      <c r="AA6" s="3177"/>
      <c r="AB6" s="3209"/>
      <c r="AC6" s="3177"/>
    </row>
    <row r="7" spans="1:29" s="117" customFormat="1" ht="15.75" thickBot="1">
      <c r="A7" s="408" t="s">
        <v>2549</v>
      </c>
      <c r="B7" s="409"/>
      <c r="C7" s="410">
        <f>'数据-取费表'!B2</f>
        <v>43270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2550</v>
      </c>
      <c r="Q7" s="3211"/>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2561</v>
      </c>
      <c r="Q15" s="1812" t="str">
        <f t="shared" si="6"/>
        <v>商业繁华度</v>
      </c>
      <c r="R15" s="774" t="s">
        <v>17</v>
      </c>
      <c r="S15" s="775">
        <f t="shared" si="0"/>
        <v>100</v>
      </c>
      <c r="T15" s="774" t="s">
        <v>17</v>
      </c>
      <c r="U15" s="775">
        <f t="shared" si="1"/>
        <v>100</v>
      </c>
      <c r="V15" s="774" t="s">
        <v>17</v>
      </c>
      <c r="W15" s="775">
        <f t="shared" si="2"/>
        <v>100</v>
      </c>
      <c r="X15" s="1815"/>
      <c r="Y15" s="3214"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3"/>
      <c r="Q16" s="1812"/>
      <c r="R16" s="774"/>
      <c r="S16" s="775"/>
      <c r="T16" s="774"/>
      <c r="U16" s="775"/>
      <c r="V16" s="774"/>
      <c r="W16" s="775"/>
      <c r="X16" s="1815"/>
      <c r="Y16" s="3215"/>
      <c r="Z16" s="1816"/>
      <c r="AA16" s="1813">
        <v>1</v>
      </c>
      <c r="AB16" s="1813">
        <v>1</v>
      </c>
      <c r="AC16" s="1813">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13"/>
      <c r="Q18" s="1812"/>
      <c r="R18" s="774"/>
      <c r="S18" s="775"/>
      <c r="T18" s="774"/>
      <c r="U18" s="775"/>
      <c r="V18" s="774"/>
      <c r="W18" s="775"/>
      <c r="X18" s="1815"/>
      <c r="Y18" s="3215"/>
      <c r="Z18" s="1816"/>
      <c r="AA18" s="1813">
        <v>1</v>
      </c>
      <c r="AB18" s="1813">
        <v>1</v>
      </c>
      <c r="AC18" s="1813">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13"/>
      <c r="Q20" s="1812"/>
      <c r="R20" s="774"/>
      <c r="S20" s="775"/>
      <c r="T20" s="774"/>
      <c r="U20" s="775"/>
      <c r="V20" s="774"/>
      <c r="W20" s="775"/>
      <c r="X20" s="1815"/>
      <c r="Y20" s="3215"/>
      <c r="Z20" s="1816"/>
      <c r="AA20" s="1813">
        <v>1</v>
      </c>
      <c r="AB20" s="1813">
        <v>1</v>
      </c>
      <c r="AC20" s="1813">
        <v>1</v>
      </c>
    </row>
    <row r="21" spans="1:29" ht="28.5">
      <c r="A21" s="428"/>
      <c r="B21" s="1386"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34"/>
      <c r="P22" s="3213"/>
      <c r="Q22" s="1812"/>
      <c r="R22" s="774"/>
      <c r="S22" s="775"/>
      <c r="T22" s="774"/>
      <c r="U22" s="775"/>
      <c r="V22" s="774"/>
      <c r="W22" s="775"/>
      <c r="X22" s="1815"/>
      <c r="Y22" s="3215"/>
      <c r="Z22" s="1816"/>
      <c r="AA22" s="1813">
        <v>1</v>
      </c>
      <c r="AB22" s="1813">
        <v>1</v>
      </c>
      <c r="AC22" s="1813">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2" t="str">
        <f>B23</f>
        <v>自然及人文环境</v>
      </c>
      <c r="R23" s="774" t="s">
        <v>17</v>
      </c>
      <c r="S23" s="775">
        <f>F23</f>
        <v>100</v>
      </c>
      <c r="T23" s="774" t="s">
        <v>17</v>
      </c>
      <c r="U23" s="775">
        <f>H23</f>
        <v>100</v>
      </c>
      <c r="V23" s="774" t="s">
        <v>17</v>
      </c>
      <c r="W23" s="775">
        <f>J23</f>
        <v>100</v>
      </c>
      <c r="X23" s="1815"/>
      <c r="Y23" s="3215"/>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13"/>
      <c r="Q24" s="1812"/>
      <c r="R24" s="774"/>
      <c r="S24" s="775"/>
      <c r="T24" s="774"/>
      <c r="U24" s="775"/>
      <c r="V24" s="774"/>
      <c r="W24" s="775"/>
      <c r="X24" s="1815"/>
      <c r="Y24" s="3215"/>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2" t="str">
        <f t="shared" ref="Q25:Q46" si="11">B25</f>
        <v>临街状况</v>
      </c>
      <c r="R25" s="774" t="s">
        <v>17</v>
      </c>
      <c r="S25" s="775">
        <f>F25</f>
        <v>100</v>
      </c>
      <c r="T25" s="774" t="s">
        <v>17</v>
      </c>
      <c r="U25" s="775">
        <f>H25</f>
        <v>100</v>
      </c>
      <c r="V25" s="774" t="s">
        <v>17</v>
      </c>
      <c r="W25" s="775">
        <f>J25</f>
        <v>100</v>
      </c>
      <c r="X25" s="1815"/>
      <c r="Y25" s="3215"/>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2" t="str">
        <f t="shared" si="11"/>
        <v>平面位置/可视性</v>
      </c>
      <c r="R26" s="774" t="s">
        <v>17</v>
      </c>
      <c r="S26" s="775">
        <f>F26</f>
        <v>100</v>
      </c>
      <c r="T26" s="774" t="s">
        <v>17</v>
      </c>
      <c r="U26" s="775">
        <f>H26</f>
        <v>100</v>
      </c>
      <c r="V26" s="774" t="s">
        <v>17</v>
      </c>
      <c r="W26" s="775">
        <f>J26</f>
        <v>100</v>
      </c>
      <c r="X26" s="1815"/>
      <c r="Y26" s="3215"/>
      <c r="Z26" s="1816" t="str">
        <f>Q26</f>
        <v>平面位置/可视性</v>
      </c>
      <c r="AA26" s="1813">
        <f t="shared" si="3"/>
        <v>1</v>
      </c>
      <c r="AB26" s="1813">
        <f t="shared" si="4"/>
        <v>1</v>
      </c>
      <c r="AC26" s="1813">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13"/>
      <c r="Q27" s="1797" t="str">
        <f t="shared" si="11"/>
        <v>人流量</v>
      </c>
      <c r="R27" s="770" t="s">
        <v>17</v>
      </c>
      <c r="S27" s="771">
        <f>F27</f>
        <v>100</v>
      </c>
      <c r="T27" s="770" t="s">
        <v>17</v>
      </c>
      <c r="U27" s="771">
        <f>H27</f>
        <v>100</v>
      </c>
      <c r="V27" s="770" t="s">
        <v>17</v>
      </c>
      <c r="W27" s="771">
        <f>J27</f>
        <v>100</v>
      </c>
      <c r="X27" s="772"/>
      <c r="Y27" s="3215"/>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2">
        <f t="shared" si="11"/>
        <v>111</v>
      </c>
      <c r="R29" s="774" t="s">
        <v>17</v>
      </c>
      <c r="S29" s="775">
        <f t="shared" si="12"/>
        <v>100</v>
      </c>
      <c r="T29" s="774" t="s">
        <v>17</v>
      </c>
      <c r="U29" s="775">
        <f t="shared" si="13"/>
        <v>100</v>
      </c>
      <c r="V29" s="774" t="s">
        <v>17</v>
      </c>
      <c r="W29" s="775">
        <f t="shared" si="14"/>
        <v>100</v>
      </c>
      <c r="X29" s="1815"/>
      <c r="Y29" s="321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2">
        <f t="shared" si="11"/>
        <v>111</v>
      </c>
      <c r="R30" s="774" t="s">
        <v>17</v>
      </c>
      <c r="S30" s="775">
        <f t="shared" si="12"/>
        <v>100</v>
      </c>
      <c r="T30" s="774" t="s">
        <v>17</v>
      </c>
      <c r="U30" s="775">
        <f t="shared" si="13"/>
        <v>100</v>
      </c>
      <c r="V30" s="774" t="s">
        <v>17</v>
      </c>
      <c r="W30" s="775">
        <f t="shared" si="14"/>
        <v>100</v>
      </c>
      <c r="X30" s="1815"/>
      <c r="Y30" s="321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2">
        <f t="shared" si="11"/>
        <v>111</v>
      </c>
      <c r="R31" s="774" t="s">
        <v>17</v>
      </c>
      <c r="S31" s="775">
        <f t="shared" si="12"/>
        <v>100</v>
      </c>
      <c r="T31" s="774" t="s">
        <v>17</v>
      </c>
      <c r="U31" s="775">
        <f t="shared" si="13"/>
        <v>100</v>
      </c>
      <c r="V31" s="774" t="s">
        <v>17</v>
      </c>
      <c r="W31" s="775">
        <f t="shared" si="14"/>
        <v>100</v>
      </c>
      <c r="X31" s="1815"/>
      <c r="Y31" s="3215"/>
      <c r="Z31" s="1816">
        <f t="shared" si="15"/>
        <v>111</v>
      </c>
      <c r="AA31" s="1813">
        <f t="shared" si="3"/>
        <v>1</v>
      </c>
      <c r="AB31" s="1813">
        <f t="shared" si="4"/>
        <v>1</v>
      </c>
      <c r="AC31" s="1813">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16" t="s">
        <v>2566</v>
      </c>
      <c r="Q32" s="1812" t="str">
        <f t="shared" si="11"/>
        <v>商业类型</v>
      </c>
      <c r="R32" s="774" t="s">
        <v>17</v>
      </c>
      <c r="S32" s="775">
        <f t="shared" si="12"/>
        <v>100</v>
      </c>
      <c r="T32" s="774" t="s">
        <v>17</v>
      </c>
      <c r="U32" s="775">
        <f t="shared" si="13"/>
        <v>100</v>
      </c>
      <c r="V32" s="774" t="s">
        <v>17</v>
      </c>
      <c r="W32" s="775">
        <f t="shared" si="14"/>
        <v>100</v>
      </c>
      <c r="X32" s="1815"/>
      <c r="Y32" s="3219"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3" t="e">
        <f t="shared" si="3"/>
        <v>#N/A</v>
      </c>
      <c r="AB33" s="1813" t="e">
        <f t="shared" si="4"/>
        <v>#N/A</v>
      </c>
      <c r="AC33" s="1813"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17"/>
      <c r="Q34" s="1812" t="str">
        <f t="shared" si="11"/>
        <v>建筑结构</v>
      </c>
      <c r="R34" s="774" t="s">
        <v>17</v>
      </c>
      <c r="S34" s="775">
        <f t="shared" si="12"/>
        <v>100</v>
      </c>
      <c r="T34" s="774" t="s">
        <v>17</v>
      </c>
      <c r="U34" s="775">
        <f t="shared" si="13"/>
        <v>100</v>
      </c>
      <c r="V34" s="774" t="s">
        <v>17</v>
      </c>
      <c r="W34" s="775">
        <f t="shared" si="14"/>
        <v>100</v>
      </c>
      <c r="X34" s="1815"/>
      <c r="Y34" s="3219"/>
      <c r="Z34" s="1816" t="str">
        <f t="shared" si="15"/>
        <v>建筑结构</v>
      </c>
      <c r="AA34" s="1813">
        <f t="shared" si="3"/>
        <v>1</v>
      </c>
      <c r="AB34" s="1813">
        <f t="shared" si="4"/>
        <v>1</v>
      </c>
      <c r="AC34" s="1813">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17"/>
      <c r="Q35" s="1812" t="str">
        <f t="shared" si="11"/>
        <v>公共部分装修</v>
      </c>
      <c r="R35" s="774" t="s">
        <v>17</v>
      </c>
      <c r="S35" s="775">
        <f t="shared" si="12"/>
        <v>100</v>
      </c>
      <c r="T35" s="774" t="s">
        <v>17</v>
      </c>
      <c r="U35" s="775">
        <f t="shared" si="13"/>
        <v>100</v>
      </c>
      <c r="V35" s="774" t="s">
        <v>17</v>
      </c>
      <c r="W35" s="775">
        <f t="shared" si="14"/>
        <v>100</v>
      </c>
      <c r="X35" s="1815"/>
      <c r="Y35" s="3219"/>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7"/>
      <c r="Q36" s="1812" t="str">
        <f t="shared" si="11"/>
        <v>成新度</v>
      </c>
      <c r="R36" s="774" t="s">
        <v>17</v>
      </c>
      <c r="S36" s="775" t="e">
        <f t="shared" si="12"/>
        <v>#N/A</v>
      </c>
      <c r="T36" s="774" t="s">
        <v>17</v>
      </c>
      <c r="U36" s="775" t="e">
        <f t="shared" si="13"/>
        <v>#N/A</v>
      </c>
      <c r="V36" s="774" t="s">
        <v>17</v>
      </c>
      <c r="W36" s="775" t="e">
        <f t="shared" si="14"/>
        <v>#N/A</v>
      </c>
      <c r="X36" s="1815"/>
      <c r="Y36" s="3219"/>
      <c r="Z36" s="1816" t="str">
        <f t="shared" si="15"/>
        <v>成新度</v>
      </c>
      <c r="AA36" s="1813" t="e">
        <f t="shared" si="3"/>
        <v>#N/A</v>
      </c>
      <c r="AB36" s="1813" t="e">
        <f t="shared" si="4"/>
        <v>#N/A</v>
      </c>
      <c r="AC36" s="1813" t="e">
        <f t="shared" si="5"/>
        <v>#N/A</v>
      </c>
    </row>
    <row r="37" spans="1:29" s="117" customFormat="1" ht="15">
      <c r="A37" s="473"/>
      <c r="B37" s="422" t="s">
        <v>2664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17"/>
      <c r="Q37" s="1797"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17" t="s">
        <v>2566</v>
      </c>
      <c r="Q38" s="1812" t="str">
        <f t="shared" si="11"/>
        <v>业态</v>
      </c>
      <c r="R38" s="774" t="s">
        <v>17</v>
      </c>
      <c r="S38" s="775">
        <f t="shared" si="12"/>
        <v>100</v>
      </c>
      <c r="T38" s="774" t="s">
        <v>17</v>
      </c>
      <c r="U38" s="775">
        <f t="shared" si="13"/>
        <v>100</v>
      </c>
      <c r="V38" s="774" t="s">
        <v>17</v>
      </c>
      <c r="W38" s="775">
        <f t="shared" si="14"/>
        <v>100</v>
      </c>
      <c r="X38" s="1815"/>
      <c r="Y38" s="3219" t="s">
        <v>2566</v>
      </c>
      <c r="Z38" s="1816" t="str">
        <f t="shared" si="15"/>
        <v>业态</v>
      </c>
      <c r="AA38" s="1813">
        <f t="shared" si="3"/>
        <v>1</v>
      </c>
      <c r="AB38" s="1813">
        <f t="shared" si="4"/>
        <v>1</v>
      </c>
      <c r="AC38" s="1813">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17"/>
      <c r="Q39" s="1812" t="str">
        <f t="shared" si="11"/>
        <v>层高</v>
      </c>
      <c r="R39" s="774" t="s">
        <v>17</v>
      </c>
      <c r="S39" s="775">
        <f t="shared" si="12"/>
        <v>100</v>
      </c>
      <c r="T39" s="774" t="s">
        <v>17</v>
      </c>
      <c r="U39" s="775">
        <f t="shared" si="13"/>
        <v>100</v>
      </c>
      <c r="V39" s="774" t="s">
        <v>17</v>
      </c>
      <c r="W39" s="775">
        <f t="shared" si="14"/>
        <v>100</v>
      </c>
      <c r="X39" s="1815"/>
      <c r="Y39" s="3219"/>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7"/>
      <c r="Q40" s="1812" t="str">
        <f t="shared" si="11"/>
        <v>单套建筑面积</v>
      </c>
      <c r="R40" s="774" t="s">
        <v>17</v>
      </c>
      <c r="S40" s="775">
        <f t="shared" si="12"/>
        <v>100</v>
      </c>
      <c r="T40" s="774" t="s">
        <v>17</v>
      </c>
      <c r="U40" s="775">
        <f t="shared" si="13"/>
        <v>100</v>
      </c>
      <c r="V40" s="774" t="s">
        <v>17</v>
      </c>
      <c r="W40" s="775">
        <f t="shared" si="14"/>
        <v>100</v>
      </c>
      <c r="X40" s="1815"/>
      <c r="Y40" s="3219"/>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3">
        <f t="shared" si="3"/>
        <v>1</v>
      </c>
      <c r="AB41" s="1813">
        <f t="shared" si="4"/>
        <v>1</v>
      </c>
      <c r="AC41" s="1813">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17"/>
      <c r="Q42" s="1812" t="str">
        <f t="shared" si="11"/>
        <v>内部装修</v>
      </c>
      <c r="R42" s="774" t="s">
        <v>17</v>
      </c>
      <c r="S42" s="775">
        <f t="shared" si="12"/>
        <v>100</v>
      </c>
      <c r="T42" s="774" t="s">
        <v>17</v>
      </c>
      <c r="U42" s="775">
        <f t="shared" si="13"/>
        <v>100</v>
      </c>
      <c r="V42" s="774" t="s">
        <v>17</v>
      </c>
      <c r="W42" s="775">
        <f t="shared" si="14"/>
        <v>100</v>
      </c>
      <c r="X42" s="1815"/>
      <c r="Y42" s="3219"/>
      <c r="Z42" s="1816" t="str">
        <f t="shared" si="15"/>
        <v>内部装修</v>
      </c>
      <c r="AA42" s="1813">
        <f t="shared" si="3"/>
        <v>1</v>
      </c>
      <c r="AB42" s="1813">
        <f t="shared" si="4"/>
        <v>1</v>
      </c>
      <c r="AC42" s="1813">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17"/>
      <c r="Q43" s="1812" t="str">
        <f t="shared" si="11"/>
        <v>内部装修维护情况</v>
      </c>
      <c r="R43" s="774" t="s">
        <v>17</v>
      </c>
      <c r="S43" s="775">
        <f t="shared" si="12"/>
        <v>100</v>
      </c>
      <c r="T43" s="774" t="s">
        <v>17</v>
      </c>
      <c r="U43" s="775">
        <f t="shared" si="13"/>
        <v>100</v>
      </c>
      <c r="V43" s="774" t="s">
        <v>17</v>
      </c>
      <c r="W43" s="775">
        <f t="shared" si="14"/>
        <v>100</v>
      </c>
      <c r="X43" s="1815"/>
      <c r="Y43" s="321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7"/>
      <c r="Q44" s="1797">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7"/>
      <c r="Q45" s="1812">
        <f t="shared" si="11"/>
        <v>111</v>
      </c>
      <c r="R45" s="774" t="s">
        <v>17</v>
      </c>
      <c r="S45" s="775">
        <f t="shared" si="12"/>
        <v>100</v>
      </c>
      <c r="T45" s="774" t="s">
        <v>17</v>
      </c>
      <c r="U45" s="775">
        <f t="shared" si="13"/>
        <v>100</v>
      </c>
      <c r="V45" s="774" t="s">
        <v>17</v>
      </c>
      <c r="W45" s="775">
        <f t="shared" si="14"/>
        <v>100</v>
      </c>
      <c r="X45" s="1815"/>
      <c r="Y45" s="3219"/>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8"/>
      <c r="Q46" s="1812">
        <f t="shared" si="11"/>
        <v>111</v>
      </c>
      <c r="R46" s="774" t="s">
        <v>17</v>
      </c>
      <c r="S46" s="775">
        <f t="shared" si="12"/>
        <v>100</v>
      </c>
      <c r="T46" s="774" t="s">
        <v>17</v>
      </c>
      <c r="U46" s="775">
        <f t="shared" si="13"/>
        <v>100</v>
      </c>
      <c r="V46" s="774" t="s">
        <v>17</v>
      </c>
      <c r="W46" s="775">
        <f t="shared" si="14"/>
        <v>100</v>
      </c>
      <c r="X46" s="1815"/>
      <c r="Y46" s="3220"/>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21" t="str">
        <f>A47</f>
        <v>成交单价（元/平方米）</v>
      </c>
      <c r="Q47" s="3221"/>
      <c r="R47" s="3209">
        <f>E47</f>
        <v>0</v>
      </c>
      <c r="S47" s="3209"/>
      <c r="T47" s="3209">
        <f>G47</f>
        <v>0</v>
      </c>
      <c r="U47" s="3209"/>
      <c r="V47" s="3209">
        <f>I47</f>
        <v>0</v>
      </c>
      <c r="W47" s="3209"/>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270.51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176" t="s">
        <v>2649</v>
      </c>
      <c r="AC4" s="3235" t="s">
        <v>2650</v>
      </c>
    </row>
    <row r="5" spans="1:29" ht="15">
      <c r="A5" s="404"/>
      <c r="B5" s="405"/>
      <c r="C5" s="3186" t="s">
        <v>2543</v>
      </c>
      <c r="D5" s="3187"/>
      <c r="E5" s="3269" t="s">
        <v>2544</v>
      </c>
      <c r="F5" s="3185"/>
      <c r="G5" s="3186" t="s">
        <v>2545</v>
      </c>
      <c r="H5" s="3187"/>
      <c r="I5" s="3186" t="s">
        <v>2546</v>
      </c>
      <c r="J5" s="3187"/>
      <c r="K5" s="610"/>
      <c r="L5" s="1133"/>
      <c r="M5" s="1134"/>
      <c r="N5" s="1134"/>
      <c r="O5" s="1134"/>
      <c r="P5" s="3241"/>
      <c r="Q5" s="3203"/>
      <c r="R5" s="3182"/>
      <c r="S5" s="3183"/>
      <c r="T5" s="3182"/>
      <c r="U5" s="3183"/>
      <c r="V5" s="3209"/>
      <c r="W5" s="3209"/>
      <c r="X5" s="1815"/>
      <c r="Y5" s="3182"/>
      <c r="Z5" s="3183"/>
      <c r="AA5" s="3176"/>
      <c r="AB5" s="3176"/>
      <c r="AC5" s="3176"/>
    </row>
    <row r="6" spans="1:29" ht="15.75" thickBot="1">
      <c r="A6" s="406"/>
      <c r="B6" s="407"/>
      <c r="C6" s="3188" t="s">
        <v>2547</v>
      </c>
      <c r="D6" s="3189"/>
      <c r="E6" s="3190" t="s">
        <v>2547</v>
      </c>
      <c r="F6" s="3191"/>
      <c r="G6" s="3188" t="s">
        <v>2547</v>
      </c>
      <c r="H6" s="3189"/>
      <c r="I6" s="3188" t="s">
        <v>2547</v>
      </c>
      <c r="J6" s="3189"/>
      <c r="K6" s="610" t="s">
        <v>2548</v>
      </c>
      <c r="L6" s="1133"/>
      <c r="M6" s="1134"/>
      <c r="N6" s="1134"/>
      <c r="O6" s="1134"/>
      <c r="P6" s="3242"/>
      <c r="Q6" s="3205"/>
      <c r="R6" s="3182"/>
      <c r="S6" s="3183"/>
      <c r="T6" s="3206"/>
      <c r="U6" s="3207"/>
      <c r="V6" s="3209"/>
      <c r="W6" s="3209"/>
      <c r="X6" s="1815"/>
      <c r="Y6" s="3206"/>
      <c r="Z6" s="3207"/>
      <c r="AA6" s="3177"/>
      <c r="AB6" s="3177"/>
      <c r="AC6" s="3177"/>
    </row>
    <row r="7" spans="1:29" s="117" customFormat="1" ht="15.75" thickBot="1">
      <c r="A7" s="408" t="s">
        <v>2549</v>
      </c>
      <c r="B7" s="409"/>
      <c r="C7" s="410">
        <f>'数据-取费表'!B2</f>
        <v>43270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2550</v>
      </c>
      <c r="Q7" s="3211"/>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4" t="s">
        <v>2561</v>
      </c>
      <c r="Q15" s="1812" t="str">
        <f t="shared" si="6"/>
        <v>产业集聚程度</v>
      </c>
      <c r="R15" s="774" t="s">
        <v>17</v>
      </c>
      <c r="S15" s="775">
        <f t="shared" si="0"/>
        <v>100</v>
      </c>
      <c r="T15" s="774" t="s">
        <v>17</v>
      </c>
      <c r="U15" s="775">
        <f t="shared" si="1"/>
        <v>100</v>
      </c>
      <c r="V15" s="774" t="s">
        <v>17</v>
      </c>
      <c r="W15" s="775">
        <f t="shared" si="2"/>
        <v>100</v>
      </c>
      <c r="X15" s="1815"/>
      <c r="Y15" s="3214"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15"/>
      <c r="Q18" s="1812"/>
      <c r="R18" s="774"/>
      <c r="S18" s="775"/>
      <c r="T18" s="774"/>
      <c r="U18" s="775"/>
      <c r="V18" s="774"/>
      <c r="W18" s="775"/>
      <c r="X18" s="1815"/>
      <c r="Y18" s="3215"/>
      <c r="Z18" s="1816"/>
      <c r="AA18" s="1813">
        <v>1</v>
      </c>
      <c r="AB18" s="1813">
        <v>1</v>
      </c>
      <c r="AC18" s="1813">
        <v>1</v>
      </c>
    </row>
    <row r="19" spans="1:29" ht="42.75">
      <c r="A19" s="428"/>
      <c r="B19" s="451" t="s">
        <v>2689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5"/>
      <c r="Q19" s="1812" t="str">
        <f>B19</f>
        <v>公共配套设施</v>
      </c>
      <c r="R19" s="774" t="s">
        <v>17</v>
      </c>
      <c r="S19" s="775">
        <f>F19</f>
        <v>100</v>
      </c>
      <c r="T19" s="774" t="s">
        <v>17</v>
      </c>
      <c r="U19" s="775">
        <f>H19</f>
        <v>100</v>
      </c>
      <c r="V19" s="774" t="s">
        <v>17</v>
      </c>
      <c r="W19" s="775">
        <f>J19</f>
        <v>100</v>
      </c>
      <c r="X19" s="1815"/>
      <c r="Y19" s="3215"/>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15"/>
      <c r="Q20" s="1812"/>
      <c r="R20" s="774"/>
      <c r="S20" s="775"/>
      <c r="T20" s="774"/>
      <c r="U20" s="775"/>
      <c r="V20" s="774"/>
      <c r="W20" s="775"/>
      <c r="X20" s="1815"/>
      <c r="Y20" s="3215"/>
      <c r="Z20" s="1816"/>
      <c r="AA20" s="1813">
        <v>1</v>
      </c>
      <c r="AB20" s="1813">
        <v>1</v>
      </c>
      <c r="AC20" s="1813">
        <v>1</v>
      </c>
    </row>
    <row r="21" spans="1:29" ht="28.5">
      <c r="A21" s="428"/>
      <c r="B21" s="1386" t="s">
        <v>2690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5"/>
      <c r="Q21" s="1812" t="str">
        <f>B21</f>
        <v>基础设施水平</v>
      </c>
      <c r="R21" s="774" t="s">
        <v>17</v>
      </c>
      <c r="S21" s="775">
        <f>F21</f>
        <v>100</v>
      </c>
      <c r="T21" s="774" t="s">
        <v>17</v>
      </c>
      <c r="U21" s="775">
        <f>H21</f>
        <v>100</v>
      </c>
      <c r="V21" s="774" t="s">
        <v>17</v>
      </c>
      <c r="W21" s="775">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42"/>
      <c r="P22" s="3215"/>
      <c r="Q22" s="1812"/>
      <c r="R22" s="774"/>
      <c r="S22" s="775"/>
      <c r="T22" s="774"/>
      <c r="U22" s="775"/>
      <c r="V22" s="774"/>
      <c r="W22" s="775"/>
      <c r="X22" s="1815"/>
      <c r="Y22" s="3215"/>
      <c r="Z22" s="1816"/>
      <c r="AA22" s="1813">
        <v>1</v>
      </c>
      <c r="AB22" s="1813">
        <v>1</v>
      </c>
      <c r="AC22" s="1813">
        <v>1</v>
      </c>
    </row>
    <row r="23" spans="1:29" ht="71.25">
      <c r="A23" s="428"/>
      <c r="B23" s="451" t="s">
        <v>2691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5"/>
      <c r="Q23" s="1812" t="str">
        <f>B23</f>
        <v>环境质量</v>
      </c>
      <c r="R23" s="774" t="s">
        <v>17</v>
      </c>
      <c r="S23" s="775">
        <f>F23</f>
        <v>100</v>
      </c>
      <c r="T23" s="774" t="s">
        <v>17</v>
      </c>
      <c r="U23" s="775">
        <f>H23</f>
        <v>100</v>
      </c>
      <c r="V23" s="774" t="s">
        <v>17</v>
      </c>
      <c r="W23" s="775">
        <f>J23</f>
        <v>100</v>
      </c>
      <c r="X23" s="1815"/>
      <c r="Y23" s="3215"/>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3"/>
      <c r="M24" s="1134"/>
      <c r="N24" s="1134"/>
      <c r="O24" s="1142"/>
      <c r="P24" s="3215"/>
      <c r="Q24" s="1812"/>
      <c r="R24" s="774"/>
      <c r="S24" s="775"/>
      <c r="T24" s="774"/>
      <c r="U24" s="775"/>
      <c r="V24" s="774"/>
      <c r="W24" s="775"/>
      <c r="X24" s="1815"/>
      <c r="Y24" s="321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5"/>
      <c r="Q25" s="1812">
        <f>B25</f>
        <v>111</v>
      </c>
      <c r="R25" s="774" t="s">
        <v>17</v>
      </c>
      <c r="S25" s="775">
        <f>F25</f>
        <v>100</v>
      </c>
      <c r="T25" s="774" t="s">
        <v>17</v>
      </c>
      <c r="U25" s="775">
        <f>H25</f>
        <v>100</v>
      </c>
      <c r="V25" s="774" t="s">
        <v>17</v>
      </c>
      <c r="W25" s="775">
        <f>J25</f>
        <v>100</v>
      </c>
      <c r="X25" s="1815"/>
      <c r="Y25" s="321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5"/>
      <c r="Q26" s="1812">
        <f t="shared" ref="Q26:Q40" si="11">B26</f>
        <v>111</v>
      </c>
      <c r="R26" s="774" t="s">
        <v>17</v>
      </c>
      <c r="S26" s="775">
        <f>F26</f>
        <v>100</v>
      </c>
      <c r="T26" s="774" t="s">
        <v>17</v>
      </c>
      <c r="U26" s="775">
        <f>H26</f>
        <v>100</v>
      </c>
      <c r="V26" s="774" t="s">
        <v>17</v>
      </c>
      <c r="W26" s="775">
        <f>J26</f>
        <v>100</v>
      </c>
      <c r="X26" s="1815"/>
      <c r="Y26" s="321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5"/>
      <c r="Q27" s="1797">
        <f t="shared" si="11"/>
        <v>111</v>
      </c>
      <c r="R27" s="770" t="s">
        <v>17</v>
      </c>
      <c r="S27" s="771">
        <f>F27</f>
        <v>100</v>
      </c>
      <c r="T27" s="770" t="s">
        <v>17</v>
      </c>
      <c r="U27" s="771">
        <f>H27</f>
        <v>100</v>
      </c>
      <c r="V27" s="770" t="s">
        <v>17</v>
      </c>
      <c r="W27" s="771">
        <f>J27</f>
        <v>100</v>
      </c>
      <c r="X27" s="772"/>
      <c r="Y27" s="321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5"/>
      <c r="Q28" s="1812">
        <f t="shared" si="11"/>
        <v>111</v>
      </c>
      <c r="R28" s="774" t="s">
        <v>17</v>
      </c>
      <c r="S28" s="775">
        <f t="shared" ref="S28:S40" si="12">F28</f>
        <v>100</v>
      </c>
      <c r="T28" s="774" t="s">
        <v>17</v>
      </c>
      <c r="U28" s="775">
        <f t="shared" ref="U28:U40" si="13">H28</f>
        <v>100</v>
      </c>
      <c r="V28" s="774" t="s">
        <v>17</v>
      </c>
      <c r="W28" s="775">
        <f t="shared" ref="W28:W40" si="14">J28</f>
        <v>100</v>
      </c>
      <c r="X28" s="1815"/>
      <c r="Y28" s="3215"/>
      <c r="Z28" s="1816">
        <f t="shared" ref="Z28:Z40" si="15">Q28</f>
        <v>111</v>
      </c>
      <c r="AA28" s="1813">
        <f t="shared" si="3"/>
        <v>1</v>
      </c>
      <c r="AB28" s="1813">
        <f t="shared" si="4"/>
        <v>1</v>
      </c>
      <c r="AC28" s="1813">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3" t="s">
        <v>2566</v>
      </c>
      <c r="Q29" s="1812" t="str">
        <f t="shared" si="11"/>
        <v>建筑类型</v>
      </c>
      <c r="R29" s="774" t="s">
        <v>17</v>
      </c>
      <c r="S29" s="775">
        <f t="shared" si="12"/>
        <v>100</v>
      </c>
      <c r="T29" s="774" t="s">
        <v>17</v>
      </c>
      <c r="U29" s="775">
        <f t="shared" si="13"/>
        <v>100</v>
      </c>
      <c r="V29" s="774" t="s">
        <v>17</v>
      </c>
      <c r="W29" s="775">
        <f t="shared" si="14"/>
        <v>100</v>
      </c>
      <c r="X29" s="1815"/>
      <c r="Y29" s="3219"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9"/>
      <c r="Q31" s="1812" t="str">
        <f t="shared" si="11"/>
        <v>建筑结构</v>
      </c>
      <c r="R31" s="774" t="s">
        <v>17</v>
      </c>
      <c r="S31" s="775">
        <f t="shared" si="12"/>
        <v>100</v>
      </c>
      <c r="T31" s="774" t="s">
        <v>17</v>
      </c>
      <c r="U31" s="775">
        <f t="shared" si="13"/>
        <v>100</v>
      </c>
      <c r="V31" s="774" t="s">
        <v>17</v>
      </c>
      <c r="W31" s="775">
        <f t="shared" si="14"/>
        <v>100</v>
      </c>
      <c r="X31" s="1815"/>
      <c r="Y31" s="3219"/>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9"/>
      <c r="Q32" s="1812" t="str">
        <f t="shared" si="11"/>
        <v>公共部分装修</v>
      </c>
      <c r="R32" s="774" t="s">
        <v>17</v>
      </c>
      <c r="S32" s="775">
        <f t="shared" si="12"/>
        <v>100</v>
      </c>
      <c r="T32" s="774" t="s">
        <v>17</v>
      </c>
      <c r="U32" s="775">
        <f t="shared" si="13"/>
        <v>100</v>
      </c>
      <c r="V32" s="774" t="s">
        <v>17</v>
      </c>
      <c r="W32" s="775">
        <f t="shared" si="14"/>
        <v>100</v>
      </c>
      <c r="X32" s="1815"/>
      <c r="Y32" s="3219"/>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9"/>
      <c r="Q33" s="1812" t="str">
        <f t="shared" si="11"/>
        <v>成新度</v>
      </c>
      <c r="R33" s="774" t="s">
        <v>17</v>
      </c>
      <c r="S33" s="775" t="e">
        <f t="shared" si="12"/>
        <v>#N/A</v>
      </c>
      <c r="T33" s="774" t="s">
        <v>17</v>
      </c>
      <c r="U33" s="775" t="e">
        <f t="shared" si="13"/>
        <v>#N/A</v>
      </c>
      <c r="V33" s="774" t="s">
        <v>17</v>
      </c>
      <c r="W33" s="775"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9"/>
      <c r="Q34" s="1797"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9" t="s">
        <v>2566</v>
      </c>
      <c r="Q35" s="1812" t="str">
        <f t="shared" si="11"/>
        <v>市政基础设施</v>
      </c>
      <c r="R35" s="774" t="s">
        <v>17</v>
      </c>
      <c r="S35" s="775">
        <f t="shared" si="12"/>
        <v>100</v>
      </c>
      <c r="T35" s="774" t="s">
        <v>17</v>
      </c>
      <c r="U35" s="775">
        <f t="shared" si="13"/>
        <v>100</v>
      </c>
      <c r="V35" s="774" t="s">
        <v>17</v>
      </c>
      <c r="W35" s="775">
        <f t="shared" si="14"/>
        <v>100</v>
      </c>
      <c r="X35" s="1815"/>
      <c r="Y35" s="3219"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9"/>
      <c r="Q36" s="1812" t="str">
        <f t="shared" si="11"/>
        <v>内部装修</v>
      </c>
      <c r="R36" s="774" t="s">
        <v>17</v>
      </c>
      <c r="S36" s="775">
        <f t="shared" si="12"/>
        <v>100</v>
      </c>
      <c r="T36" s="774" t="s">
        <v>17</v>
      </c>
      <c r="U36" s="775">
        <f t="shared" si="13"/>
        <v>100</v>
      </c>
      <c r="V36" s="774" t="s">
        <v>17</v>
      </c>
      <c r="W36" s="775">
        <f t="shared" si="14"/>
        <v>100</v>
      </c>
      <c r="X36" s="1815"/>
      <c r="Y36" s="3219"/>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9"/>
      <c r="Q37" s="1812" t="str">
        <f t="shared" si="11"/>
        <v>内部装修状况</v>
      </c>
      <c r="R37" s="774" t="s">
        <v>17</v>
      </c>
      <c r="S37" s="775">
        <f t="shared" si="12"/>
        <v>100</v>
      </c>
      <c r="T37" s="774" t="s">
        <v>17</v>
      </c>
      <c r="U37" s="775">
        <f t="shared" si="13"/>
        <v>100</v>
      </c>
      <c r="V37" s="774" t="s">
        <v>17</v>
      </c>
      <c r="W37" s="775">
        <f t="shared" si="14"/>
        <v>100</v>
      </c>
      <c r="X37" s="1815"/>
      <c r="Y37" s="321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9"/>
      <c r="Q39" s="1812">
        <f t="shared" si="11"/>
        <v>111</v>
      </c>
      <c r="R39" s="774" t="s">
        <v>17</v>
      </c>
      <c r="S39" s="775">
        <f t="shared" si="12"/>
        <v>100</v>
      </c>
      <c r="T39" s="774" t="s">
        <v>17</v>
      </c>
      <c r="U39" s="775">
        <f t="shared" si="13"/>
        <v>100</v>
      </c>
      <c r="V39" s="774" t="s">
        <v>17</v>
      </c>
      <c r="W39" s="775">
        <f t="shared" si="14"/>
        <v>100</v>
      </c>
      <c r="X39" s="1815"/>
      <c r="Y39" s="3219"/>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2">
        <f t="shared" si="11"/>
        <v>111</v>
      </c>
      <c r="R40" s="774" t="s">
        <v>17</v>
      </c>
      <c r="S40" s="775">
        <f t="shared" si="12"/>
        <v>100</v>
      </c>
      <c r="T40" s="774" t="s">
        <v>17</v>
      </c>
      <c r="U40" s="775">
        <f t="shared" si="13"/>
        <v>100</v>
      </c>
      <c r="V40" s="774" t="s">
        <v>17</v>
      </c>
      <c r="W40" s="775">
        <f t="shared" si="14"/>
        <v>100</v>
      </c>
      <c r="X40" s="1815"/>
      <c r="Y40" s="3220"/>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U43" sqref="U43"/>
      <selection pane="bottomLeft" activeCell="V35" sqref="V3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32" t="s">
        <v>3009</v>
      </c>
      <c r="D1" s="3233"/>
      <c r="E1" s="3233"/>
      <c r="F1" s="3233"/>
      <c r="G1" s="3233"/>
      <c r="H1" s="3233"/>
      <c r="I1" s="3233"/>
      <c r="J1" s="3233"/>
      <c r="K1" s="3233"/>
      <c r="L1" s="3233"/>
      <c r="M1" s="3233"/>
      <c r="N1" s="3233"/>
      <c r="O1" s="3233"/>
      <c r="P1" s="3233"/>
      <c r="Q1" s="3233"/>
      <c r="R1" s="3233"/>
      <c r="S1" s="3234"/>
      <c r="T1" s="1207" t="s">
        <v>2879</v>
      </c>
    </row>
    <row r="2" spans="1:45" s="707" customFormat="1" ht="38.25">
      <c r="A2" s="1208"/>
      <c r="B2" s="703" t="s">
        <v>1870</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f>C3+100</f>
        <v>100</v>
      </c>
      <c r="E3" s="710">
        <f t="shared" ref="E3:J3" si="1">D3+100</f>
        <v>200</v>
      </c>
      <c r="F3" s="710">
        <f t="shared" si="1"/>
        <v>300</v>
      </c>
      <c r="G3" s="710">
        <f t="shared" si="1"/>
        <v>400</v>
      </c>
      <c r="H3" s="710">
        <f t="shared" si="1"/>
        <v>500</v>
      </c>
      <c r="I3" s="710">
        <f t="shared" si="1"/>
        <v>600</v>
      </c>
      <c r="J3" s="710">
        <f t="shared" si="1"/>
        <v>700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11"/>
      <c r="B4" s="1212"/>
      <c r="C4" s="1213">
        <v>100</v>
      </c>
      <c r="D4" s="1214">
        <f>C4+0.5</f>
        <v>100.5</v>
      </c>
      <c r="E4" s="1214">
        <f t="shared" ref="E4:J4" si="2">D4+0.5</f>
        <v>101</v>
      </c>
      <c r="F4" s="1214">
        <f t="shared" si="2"/>
        <v>101.5</v>
      </c>
      <c r="G4" s="1214">
        <f t="shared" si="2"/>
        <v>102</v>
      </c>
      <c r="H4" s="1214">
        <f t="shared" si="2"/>
        <v>102.5</v>
      </c>
      <c r="I4" s="1214">
        <f t="shared" si="2"/>
        <v>103</v>
      </c>
      <c r="J4" s="1214">
        <f t="shared" si="2"/>
        <v>103.5</v>
      </c>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8"/>
      <c r="B6" s="1119"/>
      <c r="C6" s="1125">
        <v>100</v>
      </c>
      <c r="D6" s="1122">
        <f>C6-$T5</f>
        <v>100</v>
      </c>
      <c r="E6" s="1122">
        <f t="shared" ref="E6:S6" si="3">D6-$T5</f>
        <v>100</v>
      </c>
      <c r="F6" s="1717">
        <f t="shared" si="3"/>
        <v>100</v>
      </c>
      <c r="G6" s="1717">
        <f t="shared" si="3"/>
        <v>100</v>
      </c>
      <c r="H6" s="1717">
        <f t="shared" si="3"/>
        <v>100</v>
      </c>
      <c r="I6" s="1717">
        <f t="shared" si="3"/>
        <v>100</v>
      </c>
      <c r="J6" s="1717">
        <f t="shared" si="3"/>
        <v>100</v>
      </c>
      <c r="K6" s="1717">
        <f t="shared" si="3"/>
        <v>100</v>
      </c>
      <c r="L6" s="1717">
        <f t="shared" si="3"/>
        <v>100</v>
      </c>
      <c r="M6" s="1717">
        <f t="shared" si="3"/>
        <v>100</v>
      </c>
      <c r="N6" s="1717">
        <f t="shared" si="3"/>
        <v>100</v>
      </c>
      <c r="O6" s="1717">
        <f t="shared" si="3"/>
        <v>100</v>
      </c>
      <c r="P6" s="1717">
        <f t="shared" si="3"/>
        <v>100</v>
      </c>
      <c r="Q6" s="1717">
        <f t="shared" si="3"/>
        <v>100</v>
      </c>
      <c r="R6" s="1717">
        <f t="shared" si="3"/>
        <v>100</v>
      </c>
      <c r="S6" s="1717">
        <f t="shared" si="3"/>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8"/>
      <c r="B8" s="1119"/>
      <c r="C8" s="1125">
        <v>100</v>
      </c>
      <c r="D8" s="1122">
        <f>C8-$T7</f>
        <v>100</v>
      </c>
      <c r="E8" s="1122">
        <f t="shared" ref="E8:S8" si="4">D8-$T7</f>
        <v>100</v>
      </c>
      <c r="F8" s="1717">
        <f t="shared" si="4"/>
        <v>100</v>
      </c>
      <c r="G8" s="1717">
        <f t="shared" si="4"/>
        <v>100</v>
      </c>
      <c r="H8" s="1717">
        <f t="shared" si="4"/>
        <v>100</v>
      </c>
      <c r="I8" s="1717">
        <f t="shared" si="4"/>
        <v>100</v>
      </c>
      <c r="J8" s="1717">
        <f t="shared" si="4"/>
        <v>100</v>
      </c>
      <c r="K8" s="1717">
        <f t="shared" si="4"/>
        <v>100</v>
      </c>
      <c r="L8" s="1717">
        <f t="shared" si="4"/>
        <v>100</v>
      </c>
      <c r="M8" s="1717">
        <f t="shared" si="4"/>
        <v>100</v>
      </c>
      <c r="N8" s="1717">
        <f t="shared" si="4"/>
        <v>100</v>
      </c>
      <c r="O8" s="1717">
        <f t="shared" si="4"/>
        <v>100</v>
      </c>
      <c r="P8" s="1717">
        <f t="shared" si="4"/>
        <v>100</v>
      </c>
      <c r="Q8" s="1717">
        <f t="shared" si="4"/>
        <v>100</v>
      </c>
      <c r="R8" s="1717">
        <f t="shared" si="4"/>
        <v>100</v>
      </c>
      <c r="S8" s="1717">
        <f t="shared" si="4"/>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idden="1">
      <c r="A10" s="1218"/>
      <c r="B10" s="1212"/>
      <c r="C10" s="1223">
        <v>100</v>
      </c>
      <c r="D10" s="1224">
        <f>C10-$T9</f>
        <v>100</v>
      </c>
      <c r="E10" s="1224">
        <f t="shared" ref="E10:S10" si="5">D10-$T9</f>
        <v>100</v>
      </c>
      <c r="F10" s="1727">
        <f t="shared" si="5"/>
        <v>100</v>
      </c>
      <c r="G10" s="1727">
        <f t="shared" si="5"/>
        <v>100</v>
      </c>
      <c r="H10" s="1727">
        <f t="shared" si="5"/>
        <v>100</v>
      </c>
      <c r="I10" s="1727">
        <f t="shared" si="5"/>
        <v>100</v>
      </c>
      <c r="J10" s="1727">
        <f t="shared" si="5"/>
        <v>100</v>
      </c>
      <c r="K10" s="1727">
        <f t="shared" si="5"/>
        <v>100</v>
      </c>
      <c r="L10" s="1727">
        <f t="shared" si="5"/>
        <v>100</v>
      </c>
      <c r="M10" s="1727">
        <f t="shared" si="5"/>
        <v>100</v>
      </c>
      <c r="N10" s="1727">
        <f t="shared" si="5"/>
        <v>100</v>
      </c>
      <c r="O10" s="1727">
        <f t="shared" si="5"/>
        <v>100</v>
      </c>
      <c r="P10" s="1727">
        <f t="shared" si="5"/>
        <v>100</v>
      </c>
      <c r="Q10" s="1727">
        <f t="shared" si="5"/>
        <v>100</v>
      </c>
      <c r="R10" s="1727">
        <f t="shared" si="5"/>
        <v>100</v>
      </c>
      <c r="S10" s="1727">
        <f t="shared" si="5"/>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8"/>
      <c r="B12" s="1119"/>
      <c r="C12" s="1125">
        <v>100</v>
      </c>
      <c r="D12" s="1122">
        <f>C12-$T11</f>
        <v>100</v>
      </c>
      <c r="E12" s="1122">
        <f t="shared" ref="E12:S12" si="6">D12-$T11</f>
        <v>100</v>
      </c>
      <c r="F12" s="1122">
        <f t="shared" si="6"/>
        <v>100</v>
      </c>
      <c r="G12" s="1122">
        <f t="shared" si="6"/>
        <v>100</v>
      </c>
      <c r="H12" s="1122">
        <f t="shared" si="6"/>
        <v>100</v>
      </c>
      <c r="I12" s="1122">
        <f t="shared" si="6"/>
        <v>100</v>
      </c>
      <c r="J12" s="1122">
        <f t="shared" si="6"/>
        <v>100</v>
      </c>
      <c r="K12" s="1122">
        <f t="shared" si="6"/>
        <v>100</v>
      </c>
      <c r="L12" s="1122">
        <f t="shared" si="6"/>
        <v>100</v>
      </c>
      <c r="M12" s="1122">
        <f t="shared" si="6"/>
        <v>100</v>
      </c>
      <c r="N12" s="1122">
        <f t="shared" si="6"/>
        <v>100</v>
      </c>
      <c r="O12" s="1122">
        <f t="shared" si="6"/>
        <v>100</v>
      </c>
      <c r="P12" s="1122">
        <f t="shared" si="6"/>
        <v>100</v>
      </c>
      <c r="Q12" s="1122">
        <f t="shared" si="6"/>
        <v>100</v>
      </c>
      <c r="R12" s="1122">
        <f>Q12-$T11</f>
        <v>100</v>
      </c>
      <c r="S12" s="1122">
        <f t="shared" si="6"/>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69" t="s">
        <v>3076</v>
      </c>
      <c r="D17" s="2970" t="s">
        <v>3078</v>
      </c>
      <c r="E17" s="2970" t="s">
        <v>3080</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c r="T19" s="2972" t="s">
        <v>3076</v>
      </c>
      <c r="U19" s="795" t="s">
        <v>3081</v>
      </c>
    </row>
    <row r="20" spans="1:45" ht="16.5" thickBot="1">
      <c r="A20" s="715" t="s">
        <v>3021</v>
      </c>
      <c r="B20" s="338" t="e">
        <f ca="1">IF(D20="——",S22,S22-F20)</f>
        <v>#REF!</v>
      </c>
      <c r="C20" s="168"/>
      <c r="D20" s="2924" t="s">
        <v>3022</v>
      </c>
      <c r="E20" s="1795"/>
      <c r="F20" s="1207" t="e">
        <f ca="1">SUMIF(INDIRECT("'"&amp;H20&amp;"'"&amp;"!A:A"),"承租人权益价值",INDIRECT("'"&amp;H20&amp;"'"&amp;"!c:c"))</f>
        <v>#REF!</v>
      </c>
      <c r="G20" s="1207" t="s">
        <v>3023</v>
      </c>
      <c r="H20" s="2925"/>
      <c r="I20" s="168"/>
      <c r="J20" s="168"/>
      <c r="K20" s="168"/>
      <c r="L20" s="168"/>
      <c r="M20" s="168"/>
      <c r="N20" s="168"/>
      <c r="O20" s="168"/>
      <c r="P20" s="168"/>
      <c r="Q20" s="168"/>
      <c r="R20" s="788"/>
      <c r="S20" s="138"/>
      <c r="T20" s="2972" t="s">
        <v>3078</v>
      </c>
      <c r="U20" s="795" t="s">
        <v>3082</v>
      </c>
    </row>
    <row r="21" spans="1:45" ht="15.75">
      <c r="A21" s="715" t="s">
        <v>3024</v>
      </c>
      <c r="B21" s="338">
        <f ca="1">R22</f>
        <v>3852</v>
      </c>
      <c r="C21" s="168"/>
      <c r="D21" s="168"/>
      <c r="E21" s="168"/>
      <c r="F21" s="168"/>
      <c r="G21" s="168"/>
      <c r="H21" s="168"/>
      <c r="I21" s="168"/>
      <c r="J21" s="168"/>
      <c r="K21" s="168"/>
      <c r="L21" s="168"/>
      <c r="M21" s="168"/>
      <c r="N21" s="168"/>
      <c r="O21" s="168"/>
      <c r="P21" s="168"/>
      <c r="Q21" s="168"/>
      <c r="R21" s="788"/>
      <c r="S21" s="138"/>
      <c r="T21" s="2972" t="s">
        <v>3080</v>
      </c>
      <c r="U21" s="795" t="s">
        <v>3083</v>
      </c>
    </row>
    <row r="22" spans="1:45">
      <c r="A22" s="361" t="s">
        <v>3025</v>
      </c>
      <c r="B22" s="24">
        <f>SUM(B24:B10000)</f>
        <v>934.49999999999977</v>
      </c>
      <c r="C22" s="3087" t="s">
        <v>33</v>
      </c>
      <c r="D22" s="3088"/>
      <c r="E22" s="3088"/>
      <c r="F22" s="3088"/>
      <c r="G22" s="3088"/>
      <c r="H22" s="3088"/>
      <c r="I22" s="3088"/>
      <c r="J22" s="3088"/>
      <c r="K22" s="3088"/>
      <c r="L22" s="3088"/>
      <c r="M22" s="3088"/>
      <c r="N22" s="3088"/>
      <c r="O22" s="3088"/>
      <c r="P22" s="3088"/>
      <c r="Q22" s="3231"/>
      <c r="R22" s="716">
        <f ca="1">ROUND(S22*10000/B22,0)</f>
        <v>3852</v>
      </c>
      <c r="S22" s="2976">
        <f ca="1">SUM(S24:S10000)</f>
        <v>360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c r="B24" s="718">
        <f>'数据-基础表'!K21</f>
        <v>62.3</v>
      </c>
      <c r="C24" s="719">
        <v>1</v>
      </c>
      <c r="D24" s="720"/>
      <c r="E24" s="719">
        <v>1</v>
      </c>
      <c r="F24" s="720"/>
      <c r="G24" s="719">
        <v>1</v>
      </c>
      <c r="H24" s="720"/>
      <c r="I24" s="719">
        <v>1</v>
      </c>
      <c r="J24" s="720"/>
      <c r="K24" s="719">
        <v>1</v>
      </c>
      <c r="L24" s="720"/>
      <c r="M24" s="719">
        <v>1</v>
      </c>
      <c r="N24" s="720"/>
      <c r="O24" s="719">
        <v>1</v>
      </c>
      <c r="P24" s="720"/>
      <c r="Q24" s="719">
        <v>1</v>
      </c>
      <c r="R24" s="721">
        <f ca="1">'结果表-车位'!G20</f>
        <v>3850</v>
      </c>
      <c r="S24" s="719">
        <f t="shared" ref="S24:S87" ca="1" si="7">ROUND(R24*B24/10000,0)</f>
        <v>24</v>
      </c>
      <c r="T24" s="2971"/>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c r="B25" s="718">
        <f>'数据-基础表'!K22</f>
        <v>62.3</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3850</v>
      </c>
      <c r="S25" s="361">
        <f t="shared" ca="1" si="7"/>
        <v>24</v>
      </c>
    </row>
    <row r="26" spans="1:45">
      <c r="A26" s="718"/>
      <c r="B26" s="718">
        <f>'数据-基础表'!K23</f>
        <v>62.3</v>
      </c>
      <c r="C26" s="24">
        <f t="shared" ref="C26:C89" si="8">IF(B26="",1,(LOOKUP(B26,$3:$3,$4:$4)-LOOKUP($B$24,$3:$3,$4:$4)+100)/100)</f>
        <v>1</v>
      </c>
      <c r="D26" s="720"/>
      <c r="E26" s="24">
        <f t="shared" ref="E26:E89" si="9">(SUMIF($5:$5,D26,$6:$6)-SUMIF($5:$5,$D$24,$6:$6)+100)/100</f>
        <v>1</v>
      </c>
      <c r="F26" s="720"/>
      <c r="G26" s="24">
        <f t="shared" ref="G26:G89" si="10">(SUMIF($7:$7,F26,$8:$8)-SUMIF($7:$7,$F$24,$8:$8)+100)/100</f>
        <v>1</v>
      </c>
      <c r="H26" s="720"/>
      <c r="I26" s="24">
        <f t="shared" ref="I26:I89" si="11">(SUMIF($9:$9,H26,$10:$10)-SUMIF($9:$9,$H$24,$10:$10)+100)/100</f>
        <v>1</v>
      </c>
      <c r="J26" s="720"/>
      <c r="K26" s="24">
        <f t="shared" ref="K26:K89" si="12">(SUMIF($11:$11,J26,$12:$12)-SUMIF($11:$11,$J$24,$12:$12)+100)/100</f>
        <v>1</v>
      </c>
      <c r="L26" s="720"/>
      <c r="M26" s="24">
        <f t="shared" ref="M26:M89" si="13">(SUMIF($13:$13,L26,$14:$14)-SUMIF($13:$13,$L$24,$14:$14)+100)/100</f>
        <v>1</v>
      </c>
      <c r="N26" s="720"/>
      <c r="O26" s="24">
        <f t="shared" ref="O26:O89" si="14">(SUMIF($15:$15,N26,$16:$16)-SUMIF($15:$15,$N$24,$16:$16)+100)/100</f>
        <v>1</v>
      </c>
      <c r="P26" s="720"/>
      <c r="Q26" s="24">
        <f t="shared" ref="Q26:Q89" si="15">(SUMIF($17:$17,P26,$18:$18)-SUMIF($17:$17,$P$24,$18:$18)+100)/100</f>
        <v>1</v>
      </c>
      <c r="R26" s="716">
        <f t="shared" ref="R26:R89" ca="1" si="16">IF(B26="",0,ROUND($R$24*C26*E26*G26*I26*K26*M26*O26*Q26,0))</f>
        <v>3850</v>
      </c>
      <c r="S26" s="361">
        <f t="shared" ca="1" si="7"/>
        <v>24</v>
      </c>
    </row>
    <row r="27" spans="1:45">
      <c r="A27" s="718"/>
      <c r="B27" s="718">
        <f>'数据-基础表'!K24</f>
        <v>62.3</v>
      </c>
      <c r="C27" s="24">
        <f t="shared" si="8"/>
        <v>1</v>
      </c>
      <c r="D27" s="720"/>
      <c r="E27" s="24">
        <f t="shared" si="9"/>
        <v>1</v>
      </c>
      <c r="F27" s="720"/>
      <c r="G27" s="24">
        <f t="shared" si="10"/>
        <v>1</v>
      </c>
      <c r="H27" s="720"/>
      <c r="I27" s="24">
        <f t="shared" si="11"/>
        <v>1</v>
      </c>
      <c r="J27" s="720"/>
      <c r="K27" s="24">
        <f t="shared" si="12"/>
        <v>1</v>
      </c>
      <c r="L27" s="720"/>
      <c r="M27" s="24">
        <f t="shared" si="13"/>
        <v>1</v>
      </c>
      <c r="N27" s="720"/>
      <c r="O27" s="24">
        <f t="shared" si="14"/>
        <v>1</v>
      </c>
      <c r="P27" s="720"/>
      <c r="Q27" s="24">
        <f t="shared" si="15"/>
        <v>1</v>
      </c>
      <c r="R27" s="716">
        <f t="shared" ca="1" si="16"/>
        <v>3850</v>
      </c>
      <c r="S27" s="361">
        <f t="shared" ca="1" si="7"/>
        <v>24</v>
      </c>
    </row>
    <row r="28" spans="1:45">
      <c r="A28" s="718"/>
      <c r="B28" s="718">
        <f>'数据-基础表'!K25</f>
        <v>62.3</v>
      </c>
      <c r="C28" s="24">
        <f t="shared" si="8"/>
        <v>1</v>
      </c>
      <c r="D28" s="720"/>
      <c r="E28" s="24">
        <f t="shared" si="9"/>
        <v>1</v>
      </c>
      <c r="F28" s="720"/>
      <c r="G28" s="24">
        <f t="shared" si="10"/>
        <v>1</v>
      </c>
      <c r="H28" s="720"/>
      <c r="I28" s="24">
        <f t="shared" si="11"/>
        <v>1</v>
      </c>
      <c r="J28" s="720"/>
      <c r="K28" s="24">
        <f t="shared" si="12"/>
        <v>1</v>
      </c>
      <c r="L28" s="720"/>
      <c r="M28" s="24">
        <f t="shared" si="13"/>
        <v>1</v>
      </c>
      <c r="N28" s="720"/>
      <c r="O28" s="24">
        <f t="shared" si="14"/>
        <v>1</v>
      </c>
      <c r="P28" s="720"/>
      <c r="Q28" s="24">
        <f t="shared" si="15"/>
        <v>1</v>
      </c>
      <c r="R28" s="716">
        <f t="shared" ca="1" si="16"/>
        <v>3850</v>
      </c>
      <c r="S28" s="361">
        <f t="shared" ca="1" si="7"/>
        <v>24</v>
      </c>
    </row>
    <row r="29" spans="1:45">
      <c r="A29" s="718"/>
      <c r="B29" s="718">
        <f>'数据-基础表'!K26</f>
        <v>62.3</v>
      </c>
      <c r="C29" s="24">
        <f t="shared" si="8"/>
        <v>1</v>
      </c>
      <c r="D29" s="720"/>
      <c r="E29" s="24">
        <f t="shared" si="9"/>
        <v>1</v>
      </c>
      <c r="F29" s="720"/>
      <c r="G29" s="24">
        <f t="shared" si="10"/>
        <v>1</v>
      </c>
      <c r="H29" s="720"/>
      <c r="I29" s="24">
        <f t="shared" si="11"/>
        <v>1</v>
      </c>
      <c r="J29" s="720"/>
      <c r="K29" s="24">
        <f t="shared" si="12"/>
        <v>1</v>
      </c>
      <c r="L29" s="720"/>
      <c r="M29" s="24">
        <f t="shared" si="13"/>
        <v>1</v>
      </c>
      <c r="N29" s="720"/>
      <c r="O29" s="24">
        <f t="shared" si="14"/>
        <v>1</v>
      </c>
      <c r="P29" s="720"/>
      <c r="Q29" s="24">
        <f t="shared" si="15"/>
        <v>1</v>
      </c>
      <c r="R29" s="716">
        <f t="shared" ca="1" si="16"/>
        <v>3850</v>
      </c>
      <c r="S29" s="361">
        <f t="shared" ca="1" si="7"/>
        <v>24</v>
      </c>
    </row>
    <row r="30" spans="1:45">
      <c r="A30" s="718"/>
      <c r="B30" s="718">
        <f>'数据-基础表'!K27</f>
        <v>62.3</v>
      </c>
      <c r="C30" s="24">
        <f t="shared" si="8"/>
        <v>1</v>
      </c>
      <c r="D30" s="720"/>
      <c r="E30" s="24">
        <f t="shared" si="9"/>
        <v>1</v>
      </c>
      <c r="F30" s="720"/>
      <c r="G30" s="24">
        <f t="shared" si="10"/>
        <v>1</v>
      </c>
      <c r="H30" s="720"/>
      <c r="I30" s="24">
        <f t="shared" si="11"/>
        <v>1</v>
      </c>
      <c r="J30" s="720"/>
      <c r="K30" s="24">
        <f t="shared" si="12"/>
        <v>1</v>
      </c>
      <c r="L30" s="720"/>
      <c r="M30" s="24">
        <f t="shared" si="13"/>
        <v>1</v>
      </c>
      <c r="N30" s="720"/>
      <c r="O30" s="24">
        <f t="shared" si="14"/>
        <v>1</v>
      </c>
      <c r="P30" s="720"/>
      <c r="Q30" s="24">
        <f t="shared" si="15"/>
        <v>1</v>
      </c>
      <c r="R30" s="716">
        <f t="shared" ca="1" si="16"/>
        <v>3850</v>
      </c>
      <c r="S30" s="361">
        <f t="shared" ca="1" si="7"/>
        <v>24</v>
      </c>
    </row>
    <row r="31" spans="1:45">
      <c r="A31" s="718"/>
      <c r="B31" s="718">
        <f>'数据-基础表'!K28</f>
        <v>62.3</v>
      </c>
      <c r="C31" s="24">
        <f t="shared" si="8"/>
        <v>1</v>
      </c>
      <c r="D31" s="720"/>
      <c r="E31" s="24">
        <f t="shared" si="9"/>
        <v>1</v>
      </c>
      <c r="F31" s="720"/>
      <c r="G31" s="24">
        <f t="shared" si="10"/>
        <v>1</v>
      </c>
      <c r="H31" s="720"/>
      <c r="I31" s="24">
        <f t="shared" si="11"/>
        <v>1</v>
      </c>
      <c r="J31" s="720"/>
      <c r="K31" s="24">
        <f t="shared" si="12"/>
        <v>1</v>
      </c>
      <c r="L31" s="720"/>
      <c r="M31" s="24">
        <f t="shared" si="13"/>
        <v>1</v>
      </c>
      <c r="N31" s="720"/>
      <c r="O31" s="24">
        <f t="shared" si="14"/>
        <v>1</v>
      </c>
      <c r="P31" s="720"/>
      <c r="Q31" s="24">
        <f t="shared" si="15"/>
        <v>1</v>
      </c>
      <c r="R31" s="716">
        <f t="shared" ca="1" si="16"/>
        <v>3850</v>
      </c>
      <c r="S31" s="361">
        <f t="shared" ca="1" si="7"/>
        <v>24</v>
      </c>
    </row>
    <row r="32" spans="1:45">
      <c r="A32" s="718"/>
      <c r="B32" s="718">
        <f>'数据-基础表'!K29</f>
        <v>62.3</v>
      </c>
      <c r="C32" s="24">
        <f t="shared" si="8"/>
        <v>1</v>
      </c>
      <c r="D32" s="720"/>
      <c r="E32" s="24">
        <f t="shared" si="9"/>
        <v>1</v>
      </c>
      <c r="F32" s="720"/>
      <c r="G32" s="24">
        <f t="shared" si="10"/>
        <v>1</v>
      </c>
      <c r="H32" s="720"/>
      <c r="I32" s="24">
        <f t="shared" si="11"/>
        <v>1</v>
      </c>
      <c r="J32" s="720"/>
      <c r="K32" s="24">
        <f t="shared" si="12"/>
        <v>1</v>
      </c>
      <c r="L32" s="720"/>
      <c r="M32" s="24">
        <f t="shared" si="13"/>
        <v>1</v>
      </c>
      <c r="N32" s="720"/>
      <c r="O32" s="24">
        <f t="shared" si="14"/>
        <v>1</v>
      </c>
      <c r="P32" s="720"/>
      <c r="Q32" s="24">
        <f t="shared" si="15"/>
        <v>1</v>
      </c>
      <c r="R32" s="716">
        <f t="shared" ca="1" si="16"/>
        <v>3850</v>
      </c>
      <c r="S32" s="361">
        <f t="shared" ca="1" si="7"/>
        <v>24</v>
      </c>
    </row>
    <row r="33" spans="1:19">
      <c r="A33" s="718"/>
      <c r="B33" s="718">
        <f>'数据-基础表'!K30</f>
        <v>62.3</v>
      </c>
      <c r="C33" s="24">
        <f t="shared" si="8"/>
        <v>1</v>
      </c>
      <c r="D33" s="720"/>
      <c r="E33" s="24">
        <f t="shared" si="9"/>
        <v>1</v>
      </c>
      <c r="F33" s="720"/>
      <c r="G33" s="24">
        <f t="shared" si="10"/>
        <v>1</v>
      </c>
      <c r="H33" s="720"/>
      <c r="I33" s="24">
        <f t="shared" si="11"/>
        <v>1</v>
      </c>
      <c r="J33" s="720"/>
      <c r="K33" s="24">
        <f t="shared" si="12"/>
        <v>1</v>
      </c>
      <c r="L33" s="720"/>
      <c r="M33" s="24">
        <f t="shared" si="13"/>
        <v>1</v>
      </c>
      <c r="N33" s="720"/>
      <c r="O33" s="24">
        <f t="shared" si="14"/>
        <v>1</v>
      </c>
      <c r="P33" s="720"/>
      <c r="Q33" s="24">
        <f t="shared" si="15"/>
        <v>1</v>
      </c>
      <c r="R33" s="716">
        <f t="shared" ca="1" si="16"/>
        <v>3850</v>
      </c>
      <c r="S33" s="361">
        <f t="shared" ca="1" si="7"/>
        <v>24</v>
      </c>
    </row>
    <row r="34" spans="1:19">
      <c r="A34" s="718"/>
      <c r="B34" s="718">
        <f>'数据-基础表'!K31</f>
        <v>62.3</v>
      </c>
      <c r="C34" s="24">
        <f t="shared" si="8"/>
        <v>1</v>
      </c>
      <c r="D34" s="720"/>
      <c r="E34" s="24">
        <f t="shared" si="9"/>
        <v>1</v>
      </c>
      <c r="F34" s="720"/>
      <c r="G34" s="24">
        <f t="shared" si="10"/>
        <v>1</v>
      </c>
      <c r="H34" s="720"/>
      <c r="I34" s="24">
        <f t="shared" si="11"/>
        <v>1</v>
      </c>
      <c r="J34" s="720"/>
      <c r="K34" s="24">
        <f t="shared" si="12"/>
        <v>1</v>
      </c>
      <c r="L34" s="720"/>
      <c r="M34" s="24">
        <f t="shared" si="13"/>
        <v>1</v>
      </c>
      <c r="N34" s="720"/>
      <c r="O34" s="24">
        <f t="shared" si="14"/>
        <v>1</v>
      </c>
      <c r="P34" s="720"/>
      <c r="Q34" s="24">
        <f t="shared" si="15"/>
        <v>1</v>
      </c>
      <c r="R34" s="716">
        <f t="shared" ca="1" si="16"/>
        <v>3850</v>
      </c>
      <c r="S34" s="361">
        <f t="shared" ca="1" si="7"/>
        <v>24</v>
      </c>
    </row>
    <row r="35" spans="1:19">
      <c r="A35" s="718"/>
      <c r="B35" s="718">
        <f>'数据-基础表'!K32</f>
        <v>62.3</v>
      </c>
      <c r="C35" s="24">
        <f t="shared" si="8"/>
        <v>1</v>
      </c>
      <c r="D35" s="720"/>
      <c r="E35" s="24">
        <f t="shared" si="9"/>
        <v>1</v>
      </c>
      <c r="F35" s="720"/>
      <c r="G35" s="24">
        <f t="shared" si="10"/>
        <v>1</v>
      </c>
      <c r="H35" s="720"/>
      <c r="I35" s="24">
        <f t="shared" si="11"/>
        <v>1</v>
      </c>
      <c r="J35" s="720"/>
      <c r="K35" s="24">
        <f t="shared" si="12"/>
        <v>1</v>
      </c>
      <c r="L35" s="720"/>
      <c r="M35" s="24">
        <f t="shared" si="13"/>
        <v>1</v>
      </c>
      <c r="N35" s="720"/>
      <c r="O35" s="24">
        <f t="shared" si="14"/>
        <v>1</v>
      </c>
      <c r="P35" s="720"/>
      <c r="Q35" s="24">
        <f t="shared" si="15"/>
        <v>1</v>
      </c>
      <c r="R35" s="716">
        <f t="shared" ca="1" si="16"/>
        <v>3850</v>
      </c>
      <c r="S35" s="361">
        <f t="shared" ca="1" si="7"/>
        <v>24</v>
      </c>
    </row>
    <row r="36" spans="1:19">
      <c r="A36" s="718"/>
      <c r="B36" s="718">
        <f>'数据-基础表'!K33</f>
        <v>62.3</v>
      </c>
      <c r="C36" s="24">
        <f t="shared" si="8"/>
        <v>1</v>
      </c>
      <c r="D36" s="720"/>
      <c r="E36" s="24">
        <f t="shared" si="9"/>
        <v>1</v>
      </c>
      <c r="F36" s="720"/>
      <c r="G36" s="24">
        <f t="shared" si="10"/>
        <v>1</v>
      </c>
      <c r="H36" s="720"/>
      <c r="I36" s="24">
        <f t="shared" si="11"/>
        <v>1</v>
      </c>
      <c r="J36" s="720"/>
      <c r="K36" s="24">
        <f t="shared" si="12"/>
        <v>1</v>
      </c>
      <c r="L36" s="720"/>
      <c r="M36" s="24">
        <f t="shared" si="13"/>
        <v>1</v>
      </c>
      <c r="N36" s="720"/>
      <c r="O36" s="24">
        <f t="shared" si="14"/>
        <v>1</v>
      </c>
      <c r="P36" s="720"/>
      <c r="Q36" s="24">
        <f t="shared" si="15"/>
        <v>1</v>
      </c>
      <c r="R36" s="716">
        <f t="shared" ca="1" si="16"/>
        <v>3850</v>
      </c>
      <c r="S36" s="361">
        <f t="shared" ca="1" si="7"/>
        <v>24</v>
      </c>
    </row>
    <row r="37" spans="1:19">
      <c r="A37" s="718"/>
      <c r="B37" s="718">
        <f>'数据-基础表'!K34</f>
        <v>62.3</v>
      </c>
      <c r="C37" s="24">
        <f t="shared" si="8"/>
        <v>1</v>
      </c>
      <c r="D37" s="720"/>
      <c r="E37" s="24">
        <f t="shared" si="9"/>
        <v>1</v>
      </c>
      <c r="F37" s="720"/>
      <c r="G37" s="24">
        <f t="shared" si="10"/>
        <v>1</v>
      </c>
      <c r="H37" s="720"/>
      <c r="I37" s="24">
        <f t="shared" si="11"/>
        <v>1</v>
      </c>
      <c r="J37" s="720"/>
      <c r="K37" s="24">
        <f t="shared" si="12"/>
        <v>1</v>
      </c>
      <c r="L37" s="720"/>
      <c r="M37" s="24">
        <f t="shared" si="13"/>
        <v>1</v>
      </c>
      <c r="N37" s="720"/>
      <c r="O37" s="24">
        <f t="shared" si="14"/>
        <v>1</v>
      </c>
      <c r="P37" s="720"/>
      <c r="Q37" s="24">
        <f t="shared" si="15"/>
        <v>1</v>
      </c>
      <c r="R37" s="716">
        <f t="shared" ca="1" si="16"/>
        <v>3850</v>
      </c>
      <c r="S37" s="361">
        <f t="shared" ca="1" si="7"/>
        <v>24</v>
      </c>
    </row>
    <row r="38" spans="1:19">
      <c r="A38" s="718"/>
      <c r="B38" s="718">
        <f>'数据-基础表'!K35</f>
        <v>62.3</v>
      </c>
      <c r="C38" s="24">
        <f t="shared" si="8"/>
        <v>1</v>
      </c>
      <c r="D38" s="720"/>
      <c r="E38" s="24">
        <f t="shared" si="9"/>
        <v>1</v>
      </c>
      <c r="F38" s="720"/>
      <c r="G38" s="24">
        <f t="shared" si="10"/>
        <v>1</v>
      </c>
      <c r="H38" s="720"/>
      <c r="I38" s="24">
        <f t="shared" si="11"/>
        <v>1</v>
      </c>
      <c r="J38" s="720"/>
      <c r="K38" s="24">
        <f t="shared" si="12"/>
        <v>1</v>
      </c>
      <c r="L38" s="720"/>
      <c r="M38" s="24">
        <f t="shared" si="13"/>
        <v>1</v>
      </c>
      <c r="N38" s="720"/>
      <c r="O38" s="24">
        <f t="shared" si="14"/>
        <v>1</v>
      </c>
      <c r="P38" s="720"/>
      <c r="Q38" s="24">
        <f t="shared" si="15"/>
        <v>1</v>
      </c>
      <c r="R38" s="716">
        <f t="shared" ca="1" si="16"/>
        <v>3850</v>
      </c>
      <c r="S38" s="361">
        <f t="shared" ca="1" si="7"/>
        <v>24</v>
      </c>
    </row>
    <row r="39" spans="1:19">
      <c r="A39" s="718"/>
      <c r="B39" s="718"/>
      <c r="C39" s="24">
        <f t="shared" si="8"/>
        <v>1</v>
      </c>
      <c r="D39" s="720"/>
      <c r="E39" s="24">
        <f t="shared" si="9"/>
        <v>1</v>
      </c>
      <c r="F39" s="720"/>
      <c r="G39" s="24">
        <f t="shared" si="10"/>
        <v>1</v>
      </c>
      <c r="H39" s="720"/>
      <c r="I39" s="24">
        <f t="shared" si="11"/>
        <v>1</v>
      </c>
      <c r="J39" s="720"/>
      <c r="K39" s="24">
        <f t="shared" si="12"/>
        <v>1</v>
      </c>
      <c r="L39" s="720"/>
      <c r="M39" s="24">
        <f t="shared" si="13"/>
        <v>1</v>
      </c>
      <c r="N39" s="720"/>
      <c r="O39" s="24">
        <f t="shared" si="14"/>
        <v>1</v>
      </c>
      <c r="P39" s="720"/>
      <c r="Q39" s="24">
        <f t="shared" si="15"/>
        <v>1</v>
      </c>
      <c r="R39" s="716">
        <f t="shared" si="16"/>
        <v>0</v>
      </c>
      <c r="S39" s="361">
        <f t="shared" si="7"/>
        <v>0</v>
      </c>
    </row>
    <row r="40" spans="1:19">
      <c r="A40" s="718"/>
      <c r="B40" s="718"/>
      <c r="C40" s="24">
        <f t="shared" si="8"/>
        <v>1</v>
      </c>
      <c r="D40" s="720"/>
      <c r="E40" s="24">
        <f t="shared" si="9"/>
        <v>1</v>
      </c>
      <c r="F40" s="720"/>
      <c r="G40" s="24">
        <f t="shared" si="10"/>
        <v>1</v>
      </c>
      <c r="H40" s="720"/>
      <c r="I40" s="24">
        <f t="shared" si="11"/>
        <v>1</v>
      </c>
      <c r="J40" s="720"/>
      <c r="K40" s="24">
        <f t="shared" si="12"/>
        <v>1</v>
      </c>
      <c r="L40" s="720"/>
      <c r="M40" s="24">
        <f t="shared" si="13"/>
        <v>1</v>
      </c>
      <c r="N40" s="720"/>
      <c r="O40" s="24">
        <f t="shared" si="14"/>
        <v>1</v>
      </c>
      <c r="P40" s="720"/>
      <c r="Q40" s="24">
        <f t="shared" si="15"/>
        <v>1</v>
      </c>
      <c r="R40" s="716">
        <f t="shared" si="16"/>
        <v>0</v>
      </c>
      <c r="S40" s="361">
        <f t="shared" si="7"/>
        <v>0</v>
      </c>
    </row>
    <row r="41" spans="1:19">
      <c r="A41" s="718"/>
      <c r="B41" s="718"/>
      <c r="C41" s="24">
        <f t="shared" si="8"/>
        <v>1</v>
      </c>
      <c r="D41" s="720"/>
      <c r="E41" s="24">
        <f t="shared" si="9"/>
        <v>1</v>
      </c>
      <c r="F41" s="720"/>
      <c r="G41" s="24">
        <f t="shared" si="10"/>
        <v>1</v>
      </c>
      <c r="H41" s="720"/>
      <c r="I41" s="24">
        <f t="shared" si="11"/>
        <v>1</v>
      </c>
      <c r="J41" s="720"/>
      <c r="K41" s="24">
        <f t="shared" si="12"/>
        <v>1</v>
      </c>
      <c r="L41" s="720"/>
      <c r="M41" s="24">
        <f t="shared" si="13"/>
        <v>1</v>
      </c>
      <c r="N41" s="720"/>
      <c r="O41" s="24">
        <f t="shared" si="14"/>
        <v>1</v>
      </c>
      <c r="P41" s="720"/>
      <c r="Q41" s="24">
        <f t="shared" si="15"/>
        <v>1</v>
      </c>
      <c r="R41" s="716">
        <f t="shared" si="16"/>
        <v>0</v>
      </c>
      <c r="S41" s="361">
        <f t="shared" si="7"/>
        <v>0</v>
      </c>
    </row>
    <row r="42" spans="1:19">
      <c r="A42" s="718"/>
      <c r="B42" s="59"/>
      <c r="C42" s="24">
        <f t="shared" si="8"/>
        <v>1</v>
      </c>
      <c r="D42" s="720"/>
      <c r="E42" s="24">
        <f t="shared" si="9"/>
        <v>1</v>
      </c>
      <c r="F42" s="720"/>
      <c r="G42" s="24">
        <f t="shared" si="10"/>
        <v>1</v>
      </c>
      <c r="H42" s="720"/>
      <c r="I42" s="24">
        <f t="shared" si="11"/>
        <v>1</v>
      </c>
      <c r="J42" s="720"/>
      <c r="K42" s="24">
        <f t="shared" si="12"/>
        <v>1</v>
      </c>
      <c r="L42" s="720"/>
      <c r="M42" s="24">
        <f t="shared" si="13"/>
        <v>1</v>
      </c>
      <c r="N42" s="720"/>
      <c r="O42" s="24">
        <f t="shared" si="14"/>
        <v>1</v>
      </c>
      <c r="P42" s="720"/>
      <c r="Q42" s="24">
        <f t="shared" si="15"/>
        <v>1</v>
      </c>
      <c r="R42" s="716">
        <f t="shared" si="16"/>
        <v>0</v>
      </c>
      <c r="S42" s="361">
        <f t="shared" si="7"/>
        <v>0</v>
      </c>
    </row>
    <row r="43" spans="1:19">
      <c r="A43" s="718"/>
      <c r="B43" s="59"/>
      <c r="C43" s="24">
        <f t="shared" si="8"/>
        <v>1</v>
      </c>
      <c r="D43" s="720"/>
      <c r="E43" s="24">
        <f t="shared" si="9"/>
        <v>1</v>
      </c>
      <c r="F43" s="720"/>
      <c r="G43" s="24">
        <f t="shared" si="10"/>
        <v>1</v>
      </c>
      <c r="H43" s="720"/>
      <c r="I43" s="24">
        <f t="shared" si="11"/>
        <v>1</v>
      </c>
      <c r="J43" s="720"/>
      <c r="K43" s="24">
        <f t="shared" si="12"/>
        <v>1</v>
      </c>
      <c r="L43" s="720"/>
      <c r="M43" s="24">
        <f t="shared" si="13"/>
        <v>1</v>
      </c>
      <c r="N43" s="720"/>
      <c r="O43" s="24">
        <f t="shared" si="14"/>
        <v>1</v>
      </c>
      <c r="P43" s="720"/>
      <c r="Q43" s="24">
        <f t="shared" si="15"/>
        <v>1</v>
      </c>
      <c r="R43" s="716">
        <f t="shared" si="16"/>
        <v>0</v>
      </c>
      <c r="S43" s="361">
        <f t="shared" si="7"/>
        <v>0</v>
      </c>
    </row>
    <row r="44" spans="1:19">
      <c r="A44" s="159"/>
      <c r="B44" s="59"/>
      <c r="C44" s="24">
        <f t="shared" si="8"/>
        <v>1</v>
      </c>
      <c r="D44" s="720"/>
      <c r="E44" s="24">
        <f t="shared" si="9"/>
        <v>1</v>
      </c>
      <c r="F44" s="720"/>
      <c r="G44" s="24">
        <f t="shared" si="10"/>
        <v>1</v>
      </c>
      <c r="H44" s="720"/>
      <c r="I44" s="24">
        <f t="shared" si="11"/>
        <v>1</v>
      </c>
      <c r="J44" s="720"/>
      <c r="K44" s="24">
        <f t="shared" si="12"/>
        <v>1</v>
      </c>
      <c r="L44" s="720"/>
      <c r="M44" s="24">
        <f t="shared" si="13"/>
        <v>1</v>
      </c>
      <c r="N44" s="720"/>
      <c r="O44" s="24">
        <f t="shared" si="14"/>
        <v>1</v>
      </c>
      <c r="P44" s="720"/>
      <c r="Q44" s="24">
        <f t="shared" si="15"/>
        <v>1</v>
      </c>
      <c r="R44" s="716">
        <f t="shared" si="16"/>
        <v>0</v>
      </c>
      <c r="S44" s="361">
        <f t="shared" si="7"/>
        <v>0</v>
      </c>
    </row>
    <row r="45" spans="1:19">
      <c r="A45" s="159"/>
      <c r="B45" s="59"/>
      <c r="C45" s="24">
        <f t="shared" si="8"/>
        <v>1</v>
      </c>
      <c r="D45" s="720"/>
      <c r="E45" s="24">
        <f t="shared" si="9"/>
        <v>1</v>
      </c>
      <c r="F45" s="720"/>
      <c r="G45" s="24">
        <f t="shared" si="10"/>
        <v>1</v>
      </c>
      <c r="H45" s="720"/>
      <c r="I45" s="24">
        <f t="shared" si="11"/>
        <v>1</v>
      </c>
      <c r="J45" s="720"/>
      <c r="K45" s="24">
        <f t="shared" si="12"/>
        <v>1</v>
      </c>
      <c r="L45" s="720"/>
      <c r="M45" s="24">
        <f t="shared" si="13"/>
        <v>1</v>
      </c>
      <c r="N45" s="720"/>
      <c r="O45" s="24">
        <f t="shared" si="14"/>
        <v>1</v>
      </c>
      <c r="P45" s="720"/>
      <c r="Q45" s="24">
        <f t="shared" si="15"/>
        <v>1</v>
      </c>
      <c r="R45" s="716">
        <f t="shared" si="16"/>
        <v>0</v>
      </c>
      <c r="S45" s="361">
        <f t="shared" si="7"/>
        <v>0</v>
      </c>
    </row>
    <row r="46" spans="1:19">
      <c r="A46" s="159"/>
      <c r="B46" s="59"/>
      <c r="C46" s="24">
        <f t="shared" si="8"/>
        <v>1</v>
      </c>
      <c r="D46" s="720"/>
      <c r="E46" s="24">
        <f t="shared" si="9"/>
        <v>1</v>
      </c>
      <c r="F46" s="720"/>
      <c r="G46" s="24">
        <f t="shared" si="10"/>
        <v>1</v>
      </c>
      <c r="H46" s="720"/>
      <c r="I46" s="24">
        <f t="shared" si="11"/>
        <v>1</v>
      </c>
      <c r="J46" s="720"/>
      <c r="K46" s="24">
        <f t="shared" si="12"/>
        <v>1</v>
      </c>
      <c r="L46" s="720"/>
      <c r="M46" s="24">
        <f t="shared" si="13"/>
        <v>1</v>
      </c>
      <c r="N46" s="720"/>
      <c r="O46" s="24">
        <f t="shared" si="14"/>
        <v>1</v>
      </c>
      <c r="P46" s="720"/>
      <c r="Q46" s="24">
        <f t="shared" si="15"/>
        <v>1</v>
      </c>
      <c r="R46" s="716">
        <f t="shared" si="16"/>
        <v>0</v>
      </c>
      <c r="S46" s="361">
        <f t="shared" si="7"/>
        <v>0</v>
      </c>
    </row>
    <row r="47" spans="1:19">
      <c r="A47" s="159"/>
      <c r="B47" s="59"/>
      <c r="C47" s="24">
        <f t="shared" si="8"/>
        <v>1</v>
      </c>
      <c r="D47" s="720"/>
      <c r="E47" s="24">
        <f t="shared" si="9"/>
        <v>1</v>
      </c>
      <c r="F47" s="720"/>
      <c r="G47" s="24">
        <f t="shared" si="10"/>
        <v>1</v>
      </c>
      <c r="H47" s="720"/>
      <c r="I47" s="24">
        <f t="shared" si="11"/>
        <v>1</v>
      </c>
      <c r="J47" s="720"/>
      <c r="K47" s="24">
        <f t="shared" si="12"/>
        <v>1</v>
      </c>
      <c r="L47" s="720"/>
      <c r="M47" s="24">
        <f t="shared" si="13"/>
        <v>1</v>
      </c>
      <c r="N47" s="720"/>
      <c r="O47" s="24">
        <f t="shared" si="14"/>
        <v>1</v>
      </c>
      <c r="P47" s="720"/>
      <c r="Q47" s="24">
        <f t="shared" si="15"/>
        <v>1</v>
      </c>
      <c r="R47" s="716">
        <f t="shared" si="16"/>
        <v>0</v>
      </c>
      <c r="S47" s="361">
        <f t="shared" si="7"/>
        <v>0</v>
      </c>
    </row>
    <row r="48" spans="1:19">
      <c r="A48" s="159"/>
      <c r="B48" s="59"/>
      <c r="C48" s="24">
        <f t="shared" si="8"/>
        <v>1</v>
      </c>
      <c r="D48" s="720"/>
      <c r="E48" s="24">
        <f t="shared" si="9"/>
        <v>1</v>
      </c>
      <c r="F48" s="720"/>
      <c r="G48" s="24">
        <f t="shared" si="10"/>
        <v>1</v>
      </c>
      <c r="H48" s="720"/>
      <c r="I48" s="24">
        <f t="shared" si="11"/>
        <v>1</v>
      </c>
      <c r="J48" s="720"/>
      <c r="K48" s="24">
        <f t="shared" si="12"/>
        <v>1</v>
      </c>
      <c r="L48" s="720"/>
      <c r="M48" s="24">
        <f t="shared" si="13"/>
        <v>1</v>
      </c>
      <c r="N48" s="720"/>
      <c r="O48" s="24">
        <f t="shared" si="14"/>
        <v>1</v>
      </c>
      <c r="P48" s="720"/>
      <c r="Q48" s="24">
        <f t="shared" si="15"/>
        <v>1</v>
      </c>
      <c r="R48" s="716">
        <f t="shared" si="16"/>
        <v>0</v>
      </c>
      <c r="S48" s="361">
        <f t="shared" si="7"/>
        <v>0</v>
      </c>
    </row>
    <row r="49" spans="1:19">
      <c r="A49" s="159"/>
      <c r="B49" s="59"/>
      <c r="C49" s="24">
        <f t="shared" si="8"/>
        <v>1</v>
      </c>
      <c r="D49" s="720"/>
      <c r="E49" s="24">
        <f t="shared" si="9"/>
        <v>1</v>
      </c>
      <c r="F49" s="720"/>
      <c r="G49" s="24">
        <f t="shared" si="10"/>
        <v>1</v>
      </c>
      <c r="H49" s="720"/>
      <c r="I49" s="24">
        <f t="shared" si="11"/>
        <v>1</v>
      </c>
      <c r="J49" s="720"/>
      <c r="K49" s="24">
        <f t="shared" si="12"/>
        <v>1</v>
      </c>
      <c r="L49" s="720"/>
      <c r="M49" s="24">
        <f t="shared" si="13"/>
        <v>1</v>
      </c>
      <c r="N49" s="720"/>
      <c r="O49" s="24">
        <f t="shared" si="14"/>
        <v>1</v>
      </c>
      <c r="P49" s="720"/>
      <c r="Q49" s="24">
        <f t="shared" si="15"/>
        <v>1</v>
      </c>
      <c r="R49" s="716">
        <f t="shared" si="16"/>
        <v>0</v>
      </c>
      <c r="S49" s="361">
        <f t="shared" si="7"/>
        <v>0</v>
      </c>
    </row>
    <row r="50" spans="1:19">
      <c r="A50" s="159"/>
      <c r="B50" s="59"/>
      <c r="C50" s="24">
        <f t="shared" si="8"/>
        <v>1</v>
      </c>
      <c r="D50" s="720"/>
      <c r="E50" s="24">
        <f t="shared" si="9"/>
        <v>1</v>
      </c>
      <c r="F50" s="720"/>
      <c r="G50" s="24">
        <f t="shared" si="10"/>
        <v>1</v>
      </c>
      <c r="H50" s="720"/>
      <c r="I50" s="24">
        <f t="shared" si="11"/>
        <v>1</v>
      </c>
      <c r="J50" s="720"/>
      <c r="K50" s="24">
        <f t="shared" si="12"/>
        <v>1</v>
      </c>
      <c r="L50" s="720"/>
      <c r="M50" s="24">
        <f t="shared" si="13"/>
        <v>1</v>
      </c>
      <c r="N50" s="720"/>
      <c r="O50" s="24">
        <f t="shared" si="14"/>
        <v>1</v>
      </c>
      <c r="P50" s="720"/>
      <c r="Q50" s="24">
        <f t="shared" si="15"/>
        <v>1</v>
      </c>
      <c r="R50" s="716">
        <f t="shared" si="16"/>
        <v>0</v>
      </c>
      <c r="S50" s="361">
        <f t="shared" si="7"/>
        <v>0</v>
      </c>
    </row>
    <row r="51" spans="1:19">
      <c r="A51" s="159"/>
      <c r="B51" s="59"/>
      <c r="C51" s="24">
        <f t="shared" si="8"/>
        <v>1</v>
      </c>
      <c r="D51" s="720"/>
      <c r="E51" s="24">
        <f t="shared" si="9"/>
        <v>1</v>
      </c>
      <c r="F51" s="720"/>
      <c r="G51" s="24">
        <f t="shared" si="10"/>
        <v>1</v>
      </c>
      <c r="H51" s="720"/>
      <c r="I51" s="24">
        <f t="shared" si="11"/>
        <v>1</v>
      </c>
      <c r="J51" s="720"/>
      <c r="K51" s="24">
        <f t="shared" si="12"/>
        <v>1</v>
      </c>
      <c r="L51" s="720"/>
      <c r="M51" s="24">
        <f t="shared" si="13"/>
        <v>1</v>
      </c>
      <c r="N51" s="720"/>
      <c r="O51" s="24">
        <f t="shared" si="14"/>
        <v>1</v>
      </c>
      <c r="P51" s="720"/>
      <c r="Q51" s="24">
        <f t="shared" si="15"/>
        <v>1</v>
      </c>
      <c r="R51" s="716">
        <f t="shared" si="16"/>
        <v>0</v>
      </c>
      <c r="S51" s="361">
        <f t="shared" si="7"/>
        <v>0</v>
      </c>
    </row>
    <row r="52" spans="1:19">
      <c r="A52" s="159"/>
      <c r="B52" s="59"/>
      <c r="C52" s="24">
        <f t="shared" si="8"/>
        <v>1</v>
      </c>
      <c r="D52" s="720"/>
      <c r="E52" s="24">
        <f t="shared" si="9"/>
        <v>1</v>
      </c>
      <c r="F52" s="720"/>
      <c r="G52" s="24">
        <f t="shared" si="10"/>
        <v>1</v>
      </c>
      <c r="H52" s="720"/>
      <c r="I52" s="24">
        <f t="shared" si="11"/>
        <v>1</v>
      </c>
      <c r="J52" s="720"/>
      <c r="K52" s="24">
        <f t="shared" si="12"/>
        <v>1</v>
      </c>
      <c r="L52" s="720"/>
      <c r="M52" s="24">
        <f t="shared" si="13"/>
        <v>1</v>
      </c>
      <c r="N52" s="720"/>
      <c r="O52" s="24">
        <f t="shared" si="14"/>
        <v>1</v>
      </c>
      <c r="P52" s="720"/>
      <c r="Q52" s="24">
        <f t="shared" si="15"/>
        <v>1</v>
      </c>
      <c r="R52" s="716">
        <f t="shared" si="16"/>
        <v>0</v>
      </c>
      <c r="S52" s="361">
        <f t="shared" si="7"/>
        <v>0</v>
      </c>
    </row>
    <row r="53" spans="1:19">
      <c r="A53" s="159"/>
      <c r="B53" s="59"/>
      <c r="C53" s="24">
        <f t="shared" si="8"/>
        <v>1</v>
      </c>
      <c r="D53" s="720"/>
      <c r="E53" s="24">
        <f t="shared" si="9"/>
        <v>1</v>
      </c>
      <c r="F53" s="720"/>
      <c r="G53" s="24">
        <f t="shared" si="10"/>
        <v>1</v>
      </c>
      <c r="H53" s="720"/>
      <c r="I53" s="24">
        <f t="shared" si="11"/>
        <v>1</v>
      </c>
      <c r="J53" s="720"/>
      <c r="K53" s="24">
        <f t="shared" si="12"/>
        <v>1</v>
      </c>
      <c r="L53" s="720"/>
      <c r="M53" s="24">
        <f t="shared" si="13"/>
        <v>1</v>
      </c>
      <c r="N53" s="720"/>
      <c r="O53" s="24">
        <f t="shared" si="14"/>
        <v>1</v>
      </c>
      <c r="P53" s="720"/>
      <c r="Q53" s="24">
        <f t="shared" si="15"/>
        <v>1</v>
      </c>
      <c r="R53" s="716">
        <f t="shared" si="16"/>
        <v>0</v>
      </c>
      <c r="S53" s="361">
        <f t="shared" si="7"/>
        <v>0</v>
      </c>
    </row>
    <row r="54" spans="1:19">
      <c r="A54" s="159"/>
      <c r="B54" s="59"/>
      <c r="C54" s="24">
        <f t="shared" si="8"/>
        <v>1</v>
      </c>
      <c r="D54" s="720"/>
      <c r="E54" s="24">
        <f t="shared" si="9"/>
        <v>1</v>
      </c>
      <c r="F54" s="720"/>
      <c r="G54" s="24">
        <f t="shared" si="10"/>
        <v>1</v>
      </c>
      <c r="H54" s="720"/>
      <c r="I54" s="24">
        <f t="shared" si="11"/>
        <v>1</v>
      </c>
      <c r="J54" s="720"/>
      <c r="K54" s="24">
        <f t="shared" si="12"/>
        <v>1</v>
      </c>
      <c r="L54" s="720"/>
      <c r="M54" s="24">
        <f t="shared" si="13"/>
        <v>1</v>
      </c>
      <c r="N54" s="720"/>
      <c r="O54" s="24">
        <f t="shared" si="14"/>
        <v>1</v>
      </c>
      <c r="P54" s="720"/>
      <c r="Q54" s="24">
        <f t="shared" si="15"/>
        <v>1</v>
      </c>
      <c r="R54" s="716">
        <f t="shared" si="16"/>
        <v>0</v>
      </c>
      <c r="S54" s="361">
        <f t="shared" si="7"/>
        <v>0</v>
      </c>
    </row>
    <row r="55" spans="1:19">
      <c r="A55" s="159"/>
      <c r="B55" s="59"/>
      <c r="C55" s="24">
        <f t="shared" si="8"/>
        <v>1</v>
      </c>
      <c r="D55" s="720"/>
      <c r="E55" s="24">
        <f t="shared" si="9"/>
        <v>1</v>
      </c>
      <c r="F55" s="720"/>
      <c r="G55" s="24">
        <f t="shared" si="10"/>
        <v>1</v>
      </c>
      <c r="H55" s="720"/>
      <c r="I55" s="24">
        <f t="shared" si="11"/>
        <v>1</v>
      </c>
      <c r="J55" s="720"/>
      <c r="K55" s="24">
        <f t="shared" si="12"/>
        <v>1</v>
      </c>
      <c r="L55" s="720"/>
      <c r="M55" s="24">
        <f t="shared" si="13"/>
        <v>1</v>
      </c>
      <c r="N55" s="720"/>
      <c r="O55" s="24">
        <f t="shared" si="14"/>
        <v>1</v>
      </c>
      <c r="P55" s="720"/>
      <c r="Q55" s="24">
        <f t="shared" si="15"/>
        <v>1</v>
      </c>
      <c r="R55" s="716">
        <f t="shared" si="16"/>
        <v>0</v>
      </c>
      <c r="S55" s="361">
        <f t="shared" si="7"/>
        <v>0</v>
      </c>
    </row>
    <row r="56" spans="1:19">
      <c r="A56" s="159"/>
      <c r="B56" s="59"/>
      <c r="C56" s="24">
        <f t="shared" si="8"/>
        <v>1</v>
      </c>
      <c r="D56" s="720"/>
      <c r="E56" s="24">
        <f t="shared" si="9"/>
        <v>1</v>
      </c>
      <c r="F56" s="720"/>
      <c r="G56" s="24">
        <f t="shared" si="10"/>
        <v>1</v>
      </c>
      <c r="H56" s="720"/>
      <c r="I56" s="24">
        <f t="shared" si="11"/>
        <v>1</v>
      </c>
      <c r="J56" s="720"/>
      <c r="K56" s="24">
        <f t="shared" si="12"/>
        <v>1</v>
      </c>
      <c r="L56" s="720"/>
      <c r="M56" s="24">
        <f t="shared" si="13"/>
        <v>1</v>
      </c>
      <c r="N56" s="720"/>
      <c r="O56" s="24">
        <f t="shared" si="14"/>
        <v>1</v>
      </c>
      <c r="P56" s="720"/>
      <c r="Q56" s="24">
        <f t="shared" si="15"/>
        <v>1</v>
      </c>
      <c r="R56" s="716">
        <f t="shared" si="16"/>
        <v>0</v>
      </c>
      <c r="S56" s="361">
        <f t="shared" si="7"/>
        <v>0</v>
      </c>
    </row>
    <row r="57" spans="1:19">
      <c r="A57" s="159"/>
      <c r="B57" s="59"/>
      <c r="C57" s="24">
        <f t="shared" si="8"/>
        <v>1</v>
      </c>
      <c r="D57" s="720"/>
      <c r="E57" s="24">
        <f t="shared" si="9"/>
        <v>1</v>
      </c>
      <c r="F57" s="720"/>
      <c r="G57" s="24">
        <f t="shared" si="10"/>
        <v>1</v>
      </c>
      <c r="H57" s="720"/>
      <c r="I57" s="24">
        <f t="shared" si="11"/>
        <v>1</v>
      </c>
      <c r="J57" s="720"/>
      <c r="K57" s="24">
        <f t="shared" si="12"/>
        <v>1</v>
      </c>
      <c r="L57" s="720"/>
      <c r="M57" s="24">
        <f t="shared" si="13"/>
        <v>1</v>
      </c>
      <c r="N57" s="720"/>
      <c r="O57" s="24">
        <f t="shared" si="14"/>
        <v>1</v>
      </c>
      <c r="P57" s="720"/>
      <c r="Q57" s="24">
        <f t="shared" si="15"/>
        <v>1</v>
      </c>
      <c r="R57" s="716">
        <f t="shared" si="16"/>
        <v>0</v>
      </c>
      <c r="S57" s="361">
        <f t="shared" si="7"/>
        <v>0</v>
      </c>
    </row>
    <row r="58" spans="1:19">
      <c r="A58" s="159"/>
      <c r="B58" s="59"/>
      <c r="C58" s="24">
        <f t="shared" si="8"/>
        <v>1</v>
      </c>
      <c r="D58" s="720"/>
      <c r="E58" s="24">
        <f t="shared" si="9"/>
        <v>1</v>
      </c>
      <c r="F58" s="720"/>
      <c r="G58" s="24">
        <f t="shared" si="10"/>
        <v>1</v>
      </c>
      <c r="H58" s="720"/>
      <c r="I58" s="24">
        <f t="shared" si="11"/>
        <v>1</v>
      </c>
      <c r="J58" s="720"/>
      <c r="K58" s="24">
        <f t="shared" si="12"/>
        <v>1</v>
      </c>
      <c r="L58" s="720"/>
      <c r="M58" s="24">
        <f t="shared" si="13"/>
        <v>1</v>
      </c>
      <c r="N58" s="720"/>
      <c r="O58" s="24">
        <f t="shared" si="14"/>
        <v>1</v>
      </c>
      <c r="P58" s="720"/>
      <c r="Q58" s="24">
        <f t="shared" si="15"/>
        <v>1</v>
      </c>
      <c r="R58" s="716">
        <f t="shared" si="16"/>
        <v>0</v>
      </c>
      <c r="S58" s="361">
        <f t="shared" si="7"/>
        <v>0</v>
      </c>
    </row>
    <row r="59" spans="1:19">
      <c r="A59" s="159"/>
      <c r="B59" s="59"/>
      <c r="C59" s="24">
        <f t="shared" si="8"/>
        <v>1</v>
      </c>
      <c r="D59" s="720"/>
      <c r="E59" s="24">
        <f t="shared" si="9"/>
        <v>1</v>
      </c>
      <c r="F59" s="720"/>
      <c r="G59" s="24">
        <f t="shared" si="10"/>
        <v>1</v>
      </c>
      <c r="H59" s="720"/>
      <c r="I59" s="24">
        <f t="shared" si="11"/>
        <v>1</v>
      </c>
      <c r="J59" s="720"/>
      <c r="K59" s="24">
        <f t="shared" si="12"/>
        <v>1</v>
      </c>
      <c r="L59" s="720"/>
      <c r="M59" s="24">
        <f t="shared" si="13"/>
        <v>1</v>
      </c>
      <c r="N59" s="720"/>
      <c r="O59" s="24">
        <f t="shared" si="14"/>
        <v>1</v>
      </c>
      <c r="P59" s="720"/>
      <c r="Q59" s="24">
        <f t="shared" si="15"/>
        <v>1</v>
      </c>
      <c r="R59" s="716">
        <f t="shared" si="16"/>
        <v>0</v>
      </c>
      <c r="S59" s="361">
        <f t="shared" si="7"/>
        <v>0</v>
      </c>
    </row>
    <row r="60" spans="1:19">
      <c r="A60" s="159"/>
      <c r="B60" s="59"/>
      <c r="C60" s="24">
        <f t="shared" si="8"/>
        <v>1</v>
      </c>
      <c r="D60" s="720"/>
      <c r="E60" s="24">
        <f t="shared" si="9"/>
        <v>1</v>
      </c>
      <c r="F60" s="720"/>
      <c r="G60" s="24">
        <f t="shared" si="10"/>
        <v>1</v>
      </c>
      <c r="H60" s="720"/>
      <c r="I60" s="24">
        <f t="shared" si="11"/>
        <v>1</v>
      </c>
      <c r="J60" s="720"/>
      <c r="K60" s="24">
        <f t="shared" si="12"/>
        <v>1</v>
      </c>
      <c r="L60" s="720"/>
      <c r="M60" s="24">
        <f t="shared" si="13"/>
        <v>1</v>
      </c>
      <c r="N60" s="720"/>
      <c r="O60" s="24">
        <f t="shared" si="14"/>
        <v>1</v>
      </c>
      <c r="P60" s="720"/>
      <c r="Q60" s="24">
        <f t="shared" si="15"/>
        <v>1</v>
      </c>
      <c r="R60" s="716">
        <f t="shared" si="16"/>
        <v>0</v>
      </c>
      <c r="S60" s="361">
        <f t="shared" si="7"/>
        <v>0</v>
      </c>
    </row>
    <row r="61" spans="1:19">
      <c r="A61" s="159"/>
      <c r="B61" s="59"/>
      <c r="C61" s="24">
        <f t="shared" si="8"/>
        <v>1</v>
      </c>
      <c r="D61" s="720"/>
      <c r="E61" s="24">
        <f t="shared" si="9"/>
        <v>1</v>
      </c>
      <c r="F61" s="720"/>
      <c r="G61" s="24">
        <f t="shared" si="10"/>
        <v>1</v>
      </c>
      <c r="H61" s="720"/>
      <c r="I61" s="24">
        <f t="shared" si="11"/>
        <v>1</v>
      </c>
      <c r="J61" s="720"/>
      <c r="K61" s="24">
        <f t="shared" si="12"/>
        <v>1</v>
      </c>
      <c r="L61" s="720"/>
      <c r="M61" s="24">
        <f t="shared" si="13"/>
        <v>1</v>
      </c>
      <c r="N61" s="720"/>
      <c r="O61" s="24">
        <f t="shared" si="14"/>
        <v>1</v>
      </c>
      <c r="P61" s="720"/>
      <c r="Q61" s="24">
        <f t="shared" si="15"/>
        <v>1</v>
      </c>
      <c r="R61" s="716">
        <f t="shared" si="16"/>
        <v>0</v>
      </c>
      <c r="S61" s="361">
        <f t="shared" si="7"/>
        <v>0</v>
      </c>
    </row>
    <row r="62" spans="1:19">
      <c r="A62" s="159"/>
      <c r="B62" s="59"/>
      <c r="C62" s="24">
        <f t="shared" si="8"/>
        <v>1</v>
      </c>
      <c r="D62" s="720"/>
      <c r="E62" s="24">
        <f t="shared" si="9"/>
        <v>1</v>
      </c>
      <c r="F62" s="720"/>
      <c r="G62" s="24">
        <f t="shared" si="10"/>
        <v>1</v>
      </c>
      <c r="H62" s="720"/>
      <c r="I62" s="24">
        <f t="shared" si="11"/>
        <v>1</v>
      </c>
      <c r="J62" s="720"/>
      <c r="K62" s="24">
        <f t="shared" si="12"/>
        <v>1</v>
      </c>
      <c r="L62" s="720"/>
      <c r="M62" s="24">
        <f t="shared" si="13"/>
        <v>1</v>
      </c>
      <c r="N62" s="720"/>
      <c r="O62" s="24">
        <f t="shared" si="14"/>
        <v>1</v>
      </c>
      <c r="P62" s="720"/>
      <c r="Q62" s="24">
        <f t="shared" si="15"/>
        <v>1</v>
      </c>
      <c r="R62" s="716">
        <f t="shared" si="16"/>
        <v>0</v>
      </c>
      <c r="S62" s="361">
        <f t="shared" si="7"/>
        <v>0</v>
      </c>
    </row>
    <row r="63" spans="1:19">
      <c r="A63" s="159"/>
      <c r="B63" s="59"/>
      <c r="C63" s="24">
        <f t="shared" si="8"/>
        <v>1</v>
      </c>
      <c r="D63" s="720"/>
      <c r="E63" s="24">
        <f t="shared" si="9"/>
        <v>1</v>
      </c>
      <c r="F63" s="720"/>
      <c r="G63" s="24">
        <f t="shared" si="10"/>
        <v>1</v>
      </c>
      <c r="H63" s="720"/>
      <c r="I63" s="24">
        <f t="shared" si="11"/>
        <v>1</v>
      </c>
      <c r="J63" s="720"/>
      <c r="K63" s="24">
        <f t="shared" si="12"/>
        <v>1</v>
      </c>
      <c r="L63" s="720"/>
      <c r="M63" s="24">
        <f t="shared" si="13"/>
        <v>1</v>
      </c>
      <c r="N63" s="720"/>
      <c r="O63" s="24">
        <f t="shared" si="14"/>
        <v>1</v>
      </c>
      <c r="P63" s="720"/>
      <c r="Q63" s="24">
        <f t="shared" si="15"/>
        <v>1</v>
      </c>
      <c r="R63" s="716">
        <f t="shared" si="16"/>
        <v>0</v>
      </c>
      <c r="S63" s="361">
        <f t="shared" si="7"/>
        <v>0</v>
      </c>
    </row>
    <row r="64" spans="1:19">
      <c r="A64" s="159"/>
      <c r="B64" s="59"/>
      <c r="C64" s="24">
        <f t="shared" si="8"/>
        <v>1</v>
      </c>
      <c r="D64" s="720"/>
      <c r="E64" s="24">
        <f t="shared" si="9"/>
        <v>1</v>
      </c>
      <c r="F64" s="720"/>
      <c r="G64" s="24">
        <f t="shared" si="10"/>
        <v>1</v>
      </c>
      <c r="H64" s="720"/>
      <c r="I64" s="24">
        <f t="shared" si="11"/>
        <v>1</v>
      </c>
      <c r="J64" s="720"/>
      <c r="K64" s="24">
        <f t="shared" si="12"/>
        <v>1</v>
      </c>
      <c r="L64" s="720"/>
      <c r="M64" s="24">
        <f t="shared" si="13"/>
        <v>1</v>
      </c>
      <c r="N64" s="720"/>
      <c r="O64" s="24">
        <f t="shared" si="14"/>
        <v>1</v>
      </c>
      <c r="P64" s="720"/>
      <c r="Q64" s="24">
        <f t="shared" si="15"/>
        <v>1</v>
      </c>
      <c r="R64" s="716">
        <f t="shared" si="16"/>
        <v>0</v>
      </c>
      <c r="S64" s="361">
        <f t="shared" si="7"/>
        <v>0</v>
      </c>
    </row>
    <row r="65" spans="1:19">
      <c r="A65" s="159"/>
      <c r="B65" s="59"/>
      <c r="C65" s="24">
        <f t="shared" si="8"/>
        <v>1</v>
      </c>
      <c r="D65" s="720"/>
      <c r="E65" s="24">
        <f t="shared" si="9"/>
        <v>1</v>
      </c>
      <c r="F65" s="720"/>
      <c r="G65" s="24">
        <f t="shared" si="10"/>
        <v>1</v>
      </c>
      <c r="H65" s="720"/>
      <c r="I65" s="24">
        <f t="shared" si="11"/>
        <v>1</v>
      </c>
      <c r="J65" s="720"/>
      <c r="K65" s="24">
        <f t="shared" si="12"/>
        <v>1</v>
      </c>
      <c r="L65" s="720"/>
      <c r="M65" s="24">
        <f t="shared" si="13"/>
        <v>1</v>
      </c>
      <c r="N65" s="720"/>
      <c r="O65" s="24">
        <f t="shared" si="14"/>
        <v>1</v>
      </c>
      <c r="P65" s="720"/>
      <c r="Q65" s="24">
        <f t="shared" si="15"/>
        <v>1</v>
      </c>
      <c r="R65" s="716">
        <f t="shared" si="16"/>
        <v>0</v>
      </c>
      <c r="S65" s="361">
        <f t="shared" si="7"/>
        <v>0</v>
      </c>
    </row>
    <row r="66" spans="1:19">
      <c r="A66" s="159"/>
      <c r="B66" s="59"/>
      <c r="C66" s="24">
        <f t="shared" si="8"/>
        <v>1</v>
      </c>
      <c r="D66" s="720"/>
      <c r="E66" s="24">
        <f t="shared" si="9"/>
        <v>1</v>
      </c>
      <c r="F66" s="720"/>
      <c r="G66" s="24">
        <f t="shared" si="10"/>
        <v>1</v>
      </c>
      <c r="H66" s="720"/>
      <c r="I66" s="24">
        <f t="shared" si="11"/>
        <v>1</v>
      </c>
      <c r="J66" s="720"/>
      <c r="K66" s="24">
        <f t="shared" si="12"/>
        <v>1</v>
      </c>
      <c r="L66" s="720"/>
      <c r="M66" s="24">
        <f t="shared" si="13"/>
        <v>1</v>
      </c>
      <c r="N66" s="720"/>
      <c r="O66" s="24">
        <f t="shared" si="14"/>
        <v>1</v>
      </c>
      <c r="P66" s="720"/>
      <c r="Q66" s="24">
        <f t="shared" si="15"/>
        <v>1</v>
      </c>
      <c r="R66" s="716">
        <f t="shared" si="16"/>
        <v>0</v>
      </c>
      <c r="S66" s="361">
        <f t="shared" si="7"/>
        <v>0</v>
      </c>
    </row>
    <row r="67" spans="1:19">
      <c r="A67" s="159"/>
      <c r="B67" s="59"/>
      <c r="C67" s="24">
        <f t="shared" si="8"/>
        <v>1</v>
      </c>
      <c r="D67" s="720"/>
      <c r="E67" s="24">
        <f t="shared" si="9"/>
        <v>1</v>
      </c>
      <c r="F67" s="720"/>
      <c r="G67" s="24">
        <f t="shared" si="10"/>
        <v>1</v>
      </c>
      <c r="H67" s="720"/>
      <c r="I67" s="24">
        <f t="shared" si="11"/>
        <v>1</v>
      </c>
      <c r="J67" s="720"/>
      <c r="K67" s="24">
        <f t="shared" si="12"/>
        <v>1</v>
      </c>
      <c r="L67" s="720"/>
      <c r="M67" s="24">
        <f t="shared" si="13"/>
        <v>1</v>
      </c>
      <c r="N67" s="720"/>
      <c r="O67" s="24">
        <f t="shared" si="14"/>
        <v>1</v>
      </c>
      <c r="P67" s="720"/>
      <c r="Q67" s="24">
        <f t="shared" si="15"/>
        <v>1</v>
      </c>
      <c r="R67" s="716">
        <f t="shared" si="16"/>
        <v>0</v>
      </c>
      <c r="S67" s="361">
        <f t="shared" si="7"/>
        <v>0</v>
      </c>
    </row>
    <row r="68" spans="1:19">
      <c r="A68" s="159"/>
      <c r="B68" s="59"/>
      <c r="C68" s="24">
        <f t="shared" si="8"/>
        <v>1</v>
      </c>
      <c r="D68" s="720"/>
      <c r="E68" s="24">
        <f t="shared" si="9"/>
        <v>1</v>
      </c>
      <c r="F68" s="720"/>
      <c r="G68" s="24">
        <f t="shared" si="10"/>
        <v>1</v>
      </c>
      <c r="H68" s="720"/>
      <c r="I68" s="24">
        <f t="shared" si="11"/>
        <v>1</v>
      </c>
      <c r="J68" s="720"/>
      <c r="K68" s="24">
        <f t="shared" si="12"/>
        <v>1</v>
      </c>
      <c r="L68" s="720"/>
      <c r="M68" s="24">
        <f t="shared" si="13"/>
        <v>1</v>
      </c>
      <c r="N68" s="720"/>
      <c r="O68" s="24">
        <f t="shared" si="14"/>
        <v>1</v>
      </c>
      <c r="P68" s="720"/>
      <c r="Q68" s="24">
        <f t="shared" si="15"/>
        <v>1</v>
      </c>
      <c r="R68" s="716">
        <f t="shared" si="16"/>
        <v>0</v>
      </c>
      <c r="S68" s="361">
        <f t="shared" si="7"/>
        <v>0</v>
      </c>
    </row>
    <row r="69" spans="1:19">
      <c r="A69" s="159"/>
      <c r="B69" s="59"/>
      <c r="C69" s="24">
        <f t="shared" si="8"/>
        <v>1</v>
      </c>
      <c r="D69" s="720"/>
      <c r="E69" s="24">
        <f t="shared" si="9"/>
        <v>1</v>
      </c>
      <c r="F69" s="720"/>
      <c r="G69" s="24">
        <f t="shared" si="10"/>
        <v>1</v>
      </c>
      <c r="H69" s="720"/>
      <c r="I69" s="24">
        <f t="shared" si="11"/>
        <v>1</v>
      </c>
      <c r="J69" s="720"/>
      <c r="K69" s="24">
        <f t="shared" si="12"/>
        <v>1</v>
      </c>
      <c r="L69" s="720"/>
      <c r="M69" s="24">
        <f t="shared" si="13"/>
        <v>1</v>
      </c>
      <c r="N69" s="720"/>
      <c r="O69" s="24">
        <f t="shared" si="14"/>
        <v>1</v>
      </c>
      <c r="P69" s="720"/>
      <c r="Q69" s="24">
        <f t="shared" si="15"/>
        <v>1</v>
      </c>
      <c r="R69" s="716">
        <f t="shared" si="16"/>
        <v>0</v>
      </c>
      <c r="S69" s="361">
        <f t="shared" si="7"/>
        <v>0</v>
      </c>
    </row>
    <row r="70" spans="1:19">
      <c r="A70" s="159"/>
      <c r="B70" s="59"/>
      <c r="C70" s="24">
        <f t="shared" si="8"/>
        <v>1</v>
      </c>
      <c r="D70" s="720"/>
      <c r="E70" s="24">
        <f t="shared" si="9"/>
        <v>1</v>
      </c>
      <c r="F70" s="720"/>
      <c r="G70" s="24">
        <f t="shared" si="10"/>
        <v>1</v>
      </c>
      <c r="H70" s="720"/>
      <c r="I70" s="24">
        <f t="shared" si="11"/>
        <v>1</v>
      </c>
      <c r="J70" s="720"/>
      <c r="K70" s="24">
        <f t="shared" si="12"/>
        <v>1</v>
      </c>
      <c r="L70" s="720"/>
      <c r="M70" s="24">
        <f t="shared" si="13"/>
        <v>1</v>
      </c>
      <c r="N70" s="720"/>
      <c r="O70" s="24">
        <f t="shared" si="14"/>
        <v>1</v>
      </c>
      <c r="P70" s="720"/>
      <c r="Q70" s="24">
        <f t="shared" si="15"/>
        <v>1</v>
      </c>
      <c r="R70" s="716">
        <f t="shared" si="16"/>
        <v>0</v>
      </c>
      <c r="S70" s="361">
        <f t="shared" si="7"/>
        <v>0</v>
      </c>
    </row>
    <row r="71" spans="1:19">
      <c r="A71" s="159"/>
      <c r="B71" s="59"/>
      <c r="C71" s="24">
        <f t="shared" si="8"/>
        <v>1</v>
      </c>
      <c r="D71" s="720"/>
      <c r="E71" s="24">
        <f t="shared" si="9"/>
        <v>1</v>
      </c>
      <c r="F71" s="720"/>
      <c r="G71" s="24">
        <f t="shared" si="10"/>
        <v>1</v>
      </c>
      <c r="H71" s="720"/>
      <c r="I71" s="24">
        <f t="shared" si="11"/>
        <v>1</v>
      </c>
      <c r="J71" s="720"/>
      <c r="K71" s="24">
        <f t="shared" si="12"/>
        <v>1</v>
      </c>
      <c r="L71" s="720"/>
      <c r="M71" s="24">
        <f t="shared" si="13"/>
        <v>1</v>
      </c>
      <c r="N71" s="720"/>
      <c r="O71" s="24">
        <f t="shared" si="14"/>
        <v>1</v>
      </c>
      <c r="P71" s="720"/>
      <c r="Q71" s="24">
        <f t="shared" si="15"/>
        <v>1</v>
      </c>
      <c r="R71" s="716">
        <f t="shared" si="16"/>
        <v>0</v>
      </c>
      <c r="S71" s="361">
        <f t="shared" si="7"/>
        <v>0</v>
      </c>
    </row>
    <row r="72" spans="1:19">
      <c r="A72" s="159"/>
      <c r="B72" s="59"/>
      <c r="C72" s="24">
        <f t="shared" si="8"/>
        <v>1</v>
      </c>
      <c r="D72" s="720"/>
      <c r="E72" s="24">
        <f t="shared" si="9"/>
        <v>1</v>
      </c>
      <c r="F72" s="720"/>
      <c r="G72" s="24">
        <f t="shared" si="10"/>
        <v>1</v>
      </c>
      <c r="H72" s="720"/>
      <c r="I72" s="24">
        <f t="shared" si="11"/>
        <v>1</v>
      </c>
      <c r="J72" s="720"/>
      <c r="K72" s="24">
        <f t="shared" si="12"/>
        <v>1</v>
      </c>
      <c r="L72" s="720"/>
      <c r="M72" s="24">
        <f t="shared" si="13"/>
        <v>1</v>
      </c>
      <c r="N72" s="720"/>
      <c r="O72" s="24">
        <f t="shared" si="14"/>
        <v>1</v>
      </c>
      <c r="P72" s="720"/>
      <c r="Q72" s="24">
        <f t="shared" si="15"/>
        <v>1</v>
      </c>
      <c r="R72" s="716">
        <f t="shared" si="16"/>
        <v>0</v>
      </c>
      <c r="S72" s="361">
        <f t="shared" si="7"/>
        <v>0</v>
      </c>
    </row>
    <row r="73" spans="1:19">
      <c r="A73" s="159"/>
      <c r="B73" s="59"/>
      <c r="C73" s="24">
        <f t="shared" si="8"/>
        <v>1</v>
      </c>
      <c r="D73" s="720"/>
      <c r="E73" s="24">
        <f t="shared" si="9"/>
        <v>1</v>
      </c>
      <c r="F73" s="720"/>
      <c r="G73" s="24">
        <f t="shared" si="10"/>
        <v>1</v>
      </c>
      <c r="H73" s="720"/>
      <c r="I73" s="24">
        <f t="shared" si="11"/>
        <v>1</v>
      </c>
      <c r="J73" s="720"/>
      <c r="K73" s="24">
        <f t="shared" si="12"/>
        <v>1</v>
      </c>
      <c r="L73" s="720"/>
      <c r="M73" s="24">
        <f t="shared" si="13"/>
        <v>1</v>
      </c>
      <c r="N73" s="720"/>
      <c r="O73" s="24">
        <f t="shared" si="14"/>
        <v>1</v>
      </c>
      <c r="P73" s="720"/>
      <c r="Q73" s="24">
        <f t="shared" si="15"/>
        <v>1</v>
      </c>
      <c r="R73" s="716">
        <f t="shared" si="16"/>
        <v>0</v>
      </c>
      <c r="S73" s="361">
        <f t="shared" si="7"/>
        <v>0</v>
      </c>
    </row>
    <row r="74" spans="1:19">
      <c r="A74" s="159"/>
      <c r="B74" s="59"/>
      <c r="C74" s="24">
        <f t="shared" si="8"/>
        <v>1</v>
      </c>
      <c r="D74" s="720"/>
      <c r="E74" s="24">
        <f t="shared" si="9"/>
        <v>1</v>
      </c>
      <c r="F74" s="720"/>
      <c r="G74" s="24">
        <f t="shared" si="10"/>
        <v>1</v>
      </c>
      <c r="H74" s="720"/>
      <c r="I74" s="24">
        <f t="shared" si="11"/>
        <v>1</v>
      </c>
      <c r="J74" s="720"/>
      <c r="K74" s="24">
        <f t="shared" si="12"/>
        <v>1</v>
      </c>
      <c r="L74" s="720"/>
      <c r="M74" s="24">
        <f t="shared" si="13"/>
        <v>1</v>
      </c>
      <c r="N74" s="720"/>
      <c r="O74" s="24">
        <f t="shared" si="14"/>
        <v>1</v>
      </c>
      <c r="P74" s="720"/>
      <c r="Q74" s="24">
        <f t="shared" si="15"/>
        <v>1</v>
      </c>
      <c r="R74" s="716">
        <f t="shared" si="16"/>
        <v>0</v>
      </c>
      <c r="S74" s="361">
        <f t="shared" si="7"/>
        <v>0</v>
      </c>
    </row>
    <row r="75" spans="1:19">
      <c r="A75" s="159"/>
      <c r="B75" s="59"/>
      <c r="C75" s="24">
        <f t="shared" si="8"/>
        <v>1</v>
      </c>
      <c r="D75" s="720"/>
      <c r="E75" s="24">
        <f t="shared" si="9"/>
        <v>1</v>
      </c>
      <c r="F75" s="720"/>
      <c r="G75" s="24">
        <f t="shared" si="10"/>
        <v>1</v>
      </c>
      <c r="H75" s="720"/>
      <c r="I75" s="24">
        <f t="shared" si="11"/>
        <v>1</v>
      </c>
      <c r="J75" s="720"/>
      <c r="K75" s="24">
        <f t="shared" si="12"/>
        <v>1</v>
      </c>
      <c r="L75" s="720"/>
      <c r="M75" s="24">
        <f t="shared" si="13"/>
        <v>1</v>
      </c>
      <c r="N75" s="720"/>
      <c r="O75" s="24">
        <f t="shared" si="14"/>
        <v>1</v>
      </c>
      <c r="P75" s="720"/>
      <c r="Q75" s="24">
        <f t="shared" si="15"/>
        <v>1</v>
      </c>
      <c r="R75" s="716">
        <f t="shared" si="16"/>
        <v>0</v>
      </c>
      <c r="S75" s="361">
        <f t="shared" si="7"/>
        <v>0</v>
      </c>
    </row>
    <row r="76" spans="1:19">
      <c r="A76" s="159"/>
      <c r="B76" s="59"/>
      <c r="C76" s="24">
        <f t="shared" si="8"/>
        <v>1</v>
      </c>
      <c r="D76" s="720"/>
      <c r="E76" s="24">
        <f t="shared" si="9"/>
        <v>1</v>
      </c>
      <c r="F76" s="720"/>
      <c r="G76" s="24">
        <f t="shared" si="10"/>
        <v>1</v>
      </c>
      <c r="H76" s="720"/>
      <c r="I76" s="24">
        <f t="shared" si="11"/>
        <v>1</v>
      </c>
      <c r="J76" s="720"/>
      <c r="K76" s="24">
        <f t="shared" si="12"/>
        <v>1</v>
      </c>
      <c r="L76" s="720"/>
      <c r="M76" s="24">
        <f t="shared" si="13"/>
        <v>1</v>
      </c>
      <c r="N76" s="720"/>
      <c r="O76" s="24">
        <f t="shared" si="14"/>
        <v>1</v>
      </c>
      <c r="P76" s="720"/>
      <c r="Q76" s="24">
        <f t="shared" si="15"/>
        <v>1</v>
      </c>
      <c r="R76" s="716">
        <f t="shared" si="16"/>
        <v>0</v>
      </c>
      <c r="S76" s="361">
        <f t="shared" si="7"/>
        <v>0</v>
      </c>
    </row>
    <row r="77" spans="1:19">
      <c r="A77" s="159"/>
      <c r="B77" s="59"/>
      <c r="C77" s="24">
        <f t="shared" si="8"/>
        <v>1</v>
      </c>
      <c r="D77" s="720"/>
      <c r="E77" s="24">
        <f t="shared" si="9"/>
        <v>1</v>
      </c>
      <c r="F77" s="720"/>
      <c r="G77" s="24">
        <f t="shared" si="10"/>
        <v>1</v>
      </c>
      <c r="H77" s="720"/>
      <c r="I77" s="24">
        <f t="shared" si="11"/>
        <v>1</v>
      </c>
      <c r="J77" s="720"/>
      <c r="K77" s="24">
        <f t="shared" si="12"/>
        <v>1</v>
      </c>
      <c r="L77" s="720"/>
      <c r="M77" s="24">
        <f t="shared" si="13"/>
        <v>1</v>
      </c>
      <c r="N77" s="720"/>
      <c r="O77" s="24">
        <f t="shared" si="14"/>
        <v>1</v>
      </c>
      <c r="P77" s="720"/>
      <c r="Q77" s="24">
        <f t="shared" si="15"/>
        <v>1</v>
      </c>
      <c r="R77" s="716">
        <f t="shared" si="16"/>
        <v>0</v>
      </c>
      <c r="S77" s="361">
        <f t="shared" si="7"/>
        <v>0</v>
      </c>
    </row>
    <row r="78" spans="1:19">
      <c r="A78" s="159"/>
      <c r="B78" s="59"/>
      <c r="C78" s="24">
        <f t="shared" si="8"/>
        <v>1</v>
      </c>
      <c r="D78" s="720"/>
      <c r="E78" s="24">
        <f t="shared" si="9"/>
        <v>1</v>
      </c>
      <c r="F78" s="720"/>
      <c r="G78" s="24">
        <f t="shared" si="10"/>
        <v>1</v>
      </c>
      <c r="H78" s="720"/>
      <c r="I78" s="24">
        <f t="shared" si="11"/>
        <v>1</v>
      </c>
      <c r="J78" s="720"/>
      <c r="K78" s="24">
        <f t="shared" si="12"/>
        <v>1</v>
      </c>
      <c r="L78" s="720"/>
      <c r="M78" s="24">
        <f t="shared" si="13"/>
        <v>1</v>
      </c>
      <c r="N78" s="720"/>
      <c r="O78" s="24">
        <f t="shared" si="14"/>
        <v>1</v>
      </c>
      <c r="P78" s="720"/>
      <c r="Q78" s="24">
        <f t="shared" si="15"/>
        <v>1</v>
      </c>
      <c r="R78" s="716">
        <f t="shared" si="16"/>
        <v>0</v>
      </c>
      <c r="S78" s="361">
        <f t="shared" si="7"/>
        <v>0</v>
      </c>
    </row>
    <row r="79" spans="1:19">
      <c r="A79" s="159"/>
      <c r="B79" s="59"/>
      <c r="C79" s="24">
        <f t="shared" si="8"/>
        <v>1</v>
      </c>
      <c r="D79" s="720"/>
      <c r="E79" s="24">
        <f t="shared" si="9"/>
        <v>1</v>
      </c>
      <c r="F79" s="720"/>
      <c r="G79" s="24">
        <f t="shared" si="10"/>
        <v>1</v>
      </c>
      <c r="H79" s="720"/>
      <c r="I79" s="24">
        <f t="shared" si="11"/>
        <v>1</v>
      </c>
      <c r="J79" s="720"/>
      <c r="K79" s="24">
        <f t="shared" si="12"/>
        <v>1</v>
      </c>
      <c r="L79" s="720"/>
      <c r="M79" s="24">
        <f t="shared" si="13"/>
        <v>1</v>
      </c>
      <c r="N79" s="720"/>
      <c r="O79" s="24">
        <f t="shared" si="14"/>
        <v>1</v>
      </c>
      <c r="P79" s="720"/>
      <c r="Q79" s="24">
        <f t="shared" si="15"/>
        <v>1</v>
      </c>
      <c r="R79" s="716">
        <f t="shared" si="16"/>
        <v>0</v>
      </c>
      <c r="S79" s="361">
        <f t="shared" si="7"/>
        <v>0</v>
      </c>
    </row>
    <row r="80" spans="1:19">
      <c r="A80" s="159"/>
      <c r="B80" s="59"/>
      <c r="C80" s="24">
        <f t="shared" si="8"/>
        <v>1</v>
      </c>
      <c r="D80" s="720"/>
      <c r="E80" s="24">
        <f t="shared" si="9"/>
        <v>1</v>
      </c>
      <c r="F80" s="720"/>
      <c r="G80" s="24">
        <f t="shared" si="10"/>
        <v>1</v>
      </c>
      <c r="H80" s="720"/>
      <c r="I80" s="24">
        <f t="shared" si="11"/>
        <v>1</v>
      </c>
      <c r="J80" s="720"/>
      <c r="K80" s="24">
        <f t="shared" si="12"/>
        <v>1</v>
      </c>
      <c r="L80" s="720"/>
      <c r="M80" s="24">
        <f t="shared" si="13"/>
        <v>1</v>
      </c>
      <c r="N80" s="720"/>
      <c r="O80" s="24">
        <f t="shared" si="14"/>
        <v>1</v>
      </c>
      <c r="P80" s="720"/>
      <c r="Q80" s="24">
        <f t="shared" si="15"/>
        <v>1</v>
      </c>
      <c r="R80" s="716">
        <f t="shared" si="16"/>
        <v>0</v>
      </c>
      <c r="S80" s="361">
        <f t="shared" si="7"/>
        <v>0</v>
      </c>
    </row>
    <row r="81" spans="1:19">
      <c r="A81" s="159"/>
      <c r="B81" s="59"/>
      <c r="C81" s="24">
        <f t="shared" si="8"/>
        <v>1</v>
      </c>
      <c r="D81" s="720"/>
      <c r="E81" s="24">
        <f t="shared" si="9"/>
        <v>1</v>
      </c>
      <c r="F81" s="720"/>
      <c r="G81" s="24">
        <f t="shared" si="10"/>
        <v>1</v>
      </c>
      <c r="H81" s="720"/>
      <c r="I81" s="24">
        <f t="shared" si="11"/>
        <v>1</v>
      </c>
      <c r="J81" s="720"/>
      <c r="K81" s="24">
        <f t="shared" si="12"/>
        <v>1</v>
      </c>
      <c r="L81" s="720"/>
      <c r="M81" s="24">
        <f t="shared" si="13"/>
        <v>1</v>
      </c>
      <c r="N81" s="720"/>
      <c r="O81" s="24">
        <f t="shared" si="14"/>
        <v>1</v>
      </c>
      <c r="P81" s="720"/>
      <c r="Q81" s="24">
        <f t="shared" si="15"/>
        <v>1</v>
      </c>
      <c r="R81" s="716">
        <f t="shared" si="16"/>
        <v>0</v>
      </c>
      <c r="S81" s="361">
        <f t="shared" si="7"/>
        <v>0</v>
      </c>
    </row>
    <row r="82" spans="1:19">
      <c r="A82" s="159"/>
      <c r="B82" s="59"/>
      <c r="C82" s="24">
        <f t="shared" si="8"/>
        <v>1</v>
      </c>
      <c r="D82" s="720"/>
      <c r="E82" s="24">
        <f t="shared" si="9"/>
        <v>1</v>
      </c>
      <c r="F82" s="720"/>
      <c r="G82" s="24">
        <f t="shared" si="10"/>
        <v>1</v>
      </c>
      <c r="H82" s="720"/>
      <c r="I82" s="24">
        <f t="shared" si="11"/>
        <v>1</v>
      </c>
      <c r="J82" s="720"/>
      <c r="K82" s="24">
        <f t="shared" si="12"/>
        <v>1</v>
      </c>
      <c r="L82" s="720"/>
      <c r="M82" s="24">
        <f t="shared" si="13"/>
        <v>1</v>
      </c>
      <c r="N82" s="720"/>
      <c r="O82" s="24">
        <f t="shared" si="14"/>
        <v>1</v>
      </c>
      <c r="P82" s="720"/>
      <c r="Q82" s="24">
        <f t="shared" si="15"/>
        <v>1</v>
      </c>
      <c r="R82" s="716">
        <f t="shared" si="16"/>
        <v>0</v>
      </c>
      <c r="S82" s="361">
        <f t="shared" si="7"/>
        <v>0</v>
      </c>
    </row>
    <row r="83" spans="1:19">
      <c r="A83" s="159"/>
      <c r="B83" s="59"/>
      <c r="C83" s="24">
        <f t="shared" si="8"/>
        <v>1</v>
      </c>
      <c r="D83" s="720"/>
      <c r="E83" s="24">
        <f t="shared" si="9"/>
        <v>1</v>
      </c>
      <c r="F83" s="720"/>
      <c r="G83" s="24">
        <f t="shared" si="10"/>
        <v>1</v>
      </c>
      <c r="H83" s="720"/>
      <c r="I83" s="24">
        <f t="shared" si="11"/>
        <v>1</v>
      </c>
      <c r="J83" s="720"/>
      <c r="K83" s="24">
        <f t="shared" si="12"/>
        <v>1</v>
      </c>
      <c r="L83" s="720"/>
      <c r="M83" s="24">
        <f t="shared" si="13"/>
        <v>1</v>
      </c>
      <c r="N83" s="720"/>
      <c r="O83" s="24">
        <f t="shared" si="14"/>
        <v>1</v>
      </c>
      <c r="P83" s="720"/>
      <c r="Q83" s="24">
        <f t="shared" si="15"/>
        <v>1</v>
      </c>
      <c r="R83" s="716">
        <f t="shared" si="16"/>
        <v>0</v>
      </c>
      <c r="S83" s="361">
        <f t="shared" si="7"/>
        <v>0</v>
      </c>
    </row>
    <row r="84" spans="1:19">
      <c r="A84" s="159"/>
      <c r="B84" s="59"/>
      <c r="C84" s="24">
        <f t="shared" si="8"/>
        <v>1</v>
      </c>
      <c r="D84" s="720"/>
      <c r="E84" s="24">
        <f t="shared" si="9"/>
        <v>1</v>
      </c>
      <c r="F84" s="720"/>
      <c r="G84" s="24">
        <f t="shared" si="10"/>
        <v>1</v>
      </c>
      <c r="H84" s="720"/>
      <c r="I84" s="24">
        <f t="shared" si="11"/>
        <v>1</v>
      </c>
      <c r="J84" s="720"/>
      <c r="K84" s="24">
        <f t="shared" si="12"/>
        <v>1</v>
      </c>
      <c r="L84" s="720"/>
      <c r="M84" s="24">
        <f t="shared" si="13"/>
        <v>1</v>
      </c>
      <c r="N84" s="720"/>
      <c r="O84" s="24">
        <f t="shared" si="14"/>
        <v>1</v>
      </c>
      <c r="P84" s="720"/>
      <c r="Q84" s="24">
        <f t="shared" si="15"/>
        <v>1</v>
      </c>
      <c r="R84" s="716">
        <f t="shared" si="16"/>
        <v>0</v>
      </c>
      <c r="S84" s="361">
        <f t="shared" si="7"/>
        <v>0</v>
      </c>
    </row>
    <row r="85" spans="1:19">
      <c r="A85" s="159"/>
      <c r="B85" s="59"/>
      <c r="C85" s="24">
        <f t="shared" si="8"/>
        <v>1</v>
      </c>
      <c r="D85" s="720"/>
      <c r="E85" s="24">
        <f t="shared" si="9"/>
        <v>1</v>
      </c>
      <c r="F85" s="720"/>
      <c r="G85" s="24">
        <f t="shared" si="10"/>
        <v>1</v>
      </c>
      <c r="H85" s="720"/>
      <c r="I85" s="24">
        <f t="shared" si="11"/>
        <v>1</v>
      </c>
      <c r="J85" s="720"/>
      <c r="K85" s="24">
        <f t="shared" si="12"/>
        <v>1</v>
      </c>
      <c r="L85" s="720"/>
      <c r="M85" s="24">
        <f t="shared" si="13"/>
        <v>1</v>
      </c>
      <c r="N85" s="720"/>
      <c r="O85" s="24">
        <f t="shared" si="14"/>
        <v>1</v>
      </c>
      <c r="P85" s="720"/>
      <c r="Q85" s="24">
        <f t="shared" si="15"/>
        <v>1</v>
      </c>
      <c r="R85" s="716">
        <f t="shared" si="16"/>
        <v>0</v>
      </c>
      <c r="S85" s="361">
        <f t="shared" si="7"/>
        <v>0</v>
      </c>
    </row>
    <row r="86" spans="1:19">
      <c r="A86" s="159"/>
      <c r="B86" s="59"/>
      <c r="C86" s="24">
        <f t="shared" si="8"/>
        <v>1</v>
      </c>
      <c r="D86" s="720"/>
      <c r="E86" s="24">
        <f t="shared" si="9"/>
        <v>1</v>
      </c>
      <c r="F86" s="720"/>
      <c r="G86" s="24">
        <f t="shared" si="10"/>
        <v>1</v>
      </c>
      <c r="H86" s="720"/>
      <c r="I86" s="24">
        <f t="shared" si="11"/>
        <v>1</v>
      </c>
      <c r="J86" s="720"/>
      <c r="K86" s="24">
        <f t="shared" si="12"/>
        <v>1</v>
      </c>
      <c r="L86" s="720"/>
      <c r="M86" s="24">
        <f t="shared" si="13"/>
        <v>1</v>
      </c>
      <c r="N86" s="720"/>
      <c r="O86" s="24">
        <f t="shared" si="14"/>
        <v>1</v>
      </c>
      <c r="P86" s="720"/>
      <c r="Q86" s="24">
        <f t="shared" si="15"/>
        <v>1</v>
      </c>
      <c r="R86" s="716">
        <f t="shared" si="16"/>
        <v>0</v>
      </c>
      <c r="S86" s="361">
        <f t="shared" si="7"/>
        <v>0</v>
      </c>
    </row>
    <row r="87" spans="1:19">
      <c r="A87" s="159"/>
      <c r="B87" s="59"/>
      <c r="C87" s="24">
        <f t="shared" si="8"/>
        <v>1</v>
      </c>
      <c r="D87" s="720"/>
      <c r="E87" s="24">
        <f t="shared" si="9"/>
        <v>1</v>
      </c>
      <c r="F87" s="720"/>
      <c r="G87" s="24">
        <f t="shared" si="10"/>
        <v>1</v>
      </c>
      <c r="H87" s="720"/>
      <c r="I87" s="24">
        <f t="shared" si="11"/>
        <v>1</v>
      </c>
      <c r="J87" s="720"/>
      <c r="K87" s="24">
        <f t="shared" si="12"/>
        <v>1</v>
      </c>
      <c r="L87" s="720"/>
      <c r="M87" s="24">
        <f t="shared" si="13"/>
        <v>1</v>
      </c>
      <c r="N87" s="720"/>
      <c r="O87" s="24">
        <f t="shared" si="14"/>
        <v>1</v>
      </c>
      <c r="P87" s="720"/>
      <c r="Q87" s="24">
        <f t="shared" si="15"/>
        <v>1</v>
      </c>
      <c r="R87" s="716">
        <f t="shared" si="16"/>
        <v>0</v>
      </c>
      <c r="S87" s="361">
        <f t="shared" si="7"/>
        <v>0</v>
      </c>
    </row>
    <row r="88" spans="1:19">
      <c r="A88" s="159"/>
      <c r="B88" s="59"/>
      <c r="C88" s="24">
        <f t="shared" si="8"/>
        <v>1</v>
      </c>
      <c r="D88" s="720"/>
      <c r="E88" s="24">
        <f t="shared" si="9"/>
        <v>1</v>
      </c>
      <c r="F88" s="720"/>
      <c r="G88" s="24">
        <f t="shared" si="10"/>
        <v>1</v>
      </c>
      <c r="H88" s="720"/>
      <c r="I88" s="24">
        <f t="shared" si="11"/>
        <v>1</v>
      </c>
      <c r="J88" s="720"/>
      <c r="K88" s="24">
        <f t="shared" si="12"/>
        <v>1</v>
      </c>
      <c r="L88" s="720"/>
      <c r="M88" s="24">
        <f t="shared" si="13"/>
        <v>1</v>
      </c>
      <c r="N88" s="720"/>
      <c r="O88" s="24">
        <f t="shared" si="14"/>
        <v>1</v>
      </c>
      <c r="P88" s="720"/>
      <c r="Q88" s="24">
        <f t="shared" si="15"/>
        <v>1</v>
      </c>
      <c r="R88" s="716">
        <f t="shared" si="16"/>
        <v>0</v>
      </c>
      <c r="S88" s="361">
        <f t="shared" ref="S88:S151" si="17">ROUND(R88*B88/10000,0)</f>
        <v>0</v>
      </c>
    </row>
    <row r="89" spans="1:19">
      <c r="A89" s="159"/>
      <c r="B89" s="59"/>
      <c r="C89" s="24">
        <f t="shared" si="8"/>
        <v>1</v>
      </c>
      <c r="D89" s="720"/>
      <c r="E89" s="24">
        <f t="shared" si="9"/>
        <v>1</v>
      </c>
      <c r="F89" s="720"/>
      <c r="G89" s="24">
        <f t="shared" si="10"/>
        <v>1</v>
      </c>
      <c r="H89" s="720"/>
      <c r="I89" s="24">
        <f t="shared" si="11"/>
        <v>1</v>
      </c>
      <c r="J89" s="720"/>
      <c r="K89" s="24">
        <f t="shared" si="12"/>
        <v>1</v>
      </c>
      <c r="L89" s="720"/>
      <c r="M89" s="24">
        <f t="shared" si="13"/>
        <v>1</v>
      </c>
      <c r="N89" s="720"/>
      <c r="O89" s="24">
        <f t="shared" si="14"/>
        <v>1</v>
      </c>
      <c r="P89" s="720"/>
      <c r="Q89" s="24">
        <f t="shared" si="15"/>
        <v>1</v>
      </c>
      <c r="R89" s="716">
        <f t="shared" si="16"/>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si="17"/>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1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1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1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1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1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1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1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1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1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1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1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1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1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1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1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1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1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1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1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1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1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1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1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1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1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1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1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1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ref="S152:S215" si="27">ROUND(R152*B152/10000,0)</f>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si="27"/>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2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2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2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2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2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2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2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2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2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2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2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2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2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2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2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2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2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2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2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2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2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2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2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2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2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2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2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2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ref="S216:S279" si="37">ROUND(R216*B216/10000,0)</f>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si="37"/>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3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3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3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3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3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3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3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3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3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3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3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3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3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3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3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3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3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3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3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3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3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3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3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3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3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3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3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3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3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3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3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3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3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3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3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3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3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3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3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3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3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3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3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3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3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3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3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3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3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3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3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3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3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3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3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3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ref="S280:S343" si="47">ROUND(R280*B280/10000,0)</f>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si="47"/>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4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4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4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4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4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4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4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4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4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4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4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4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4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4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4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4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4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4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4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4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4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4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4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4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4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4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4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4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4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4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4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4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4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si="47"/>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47"/>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47"/>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47"/>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47"/>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47"/>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47"/>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47"/>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47"/>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47"/>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47"/>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47"/>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47"/>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47"/>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47"/>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47"/>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47"/>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47"/>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47"/>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47"/>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47"/>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47"/>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47"/>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ref="S344:S407" si="57">ROUND(R344*B344/10000,0)</f>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7"/>
        <v>0</v>
      </c>
    </row>
    <row r="346" spans="1:19">
      <c r="A346" s="159"/>
      <c r="B346" s="59"/>
      <c r="C346" s="24">
        <f t="shared" ref="C346:C409" si="58">IF(B346="",1,(LOOKUP(B346,$3:$3,$4:$4)-LOOKUP($B$24,$3:$3,$4:$4)+100)/100)</f>
        <v>1</v>
      </c>
      <c r="D346" s="720"/>
      <c r="E346" s="24">
        <f t="shared" ref="E346:E409" si="59">(SUMIF($5:$5,D346,$6:$6)-SUMIF($5:$5,$D$24,$6:$6)+100)/100</f>
        <v>1</v>
      </c>
      <c r="F346" s="720"/>
      <c r="G346" s="24">
        <f t="shared" ref="G346:G409" si="60">(SUMIF($7:$7,F346,$8:$8)-SUMIF($7:$7,$F$24,$8:$8)+100)/100</f>
        <v>1</v>
      </c>
      <c r="H346" s="720"/>
      <c r="I346" s="24">
        <f t="shared" ref="I346:I409" si="61">(SUMIF($9:$9,H346,$10:$10)-SUMIF($9:$9,$H$24,$10:$10)+100)/100</f>
        <v>1</v>
      </c>
      <c r="J346" s="720"/>
      <c r="K346" s="24">
        <f t="shared" ref="K346:K409" si="62">(SUMIF($11:$11,J346,$12:$12)-SUMIF($11:$11,$J$24,$12:$12)+100)/100</f>
        <v>1</v>
      </c>
      <c r="L346" s="720"/>
      <c r="M346" s="24">
        <f t="shared" ref="M346:M409" si="63">(SUMIF($13:$13,L346,$14:$14)-SUMIF($13:$13,$L$24,$14:$14)+100)/100</f>
        <v>1</v>
      </c>
      <c r="N346" s="720"/>
      <c r="O346" s="24">
        <f t="shared" ref="O346:O409" si="64">(SUMIF($15:$15,N346,$16:$16)-SUMIF($15:$15,$N$24,$16:$16)+100)/100</f>
        <v>1</v>
      </c>
      <c r="P346" s="720"/>
      <c r="Q346" s="24">
        <f t="shared" ref="Q346:Q409" si="65">(SUMIF($17:$17,P346,$18:$18)-SUMIF($17:$17,$P$24,$18:$18)+100)/100</f>
        <v>1</v>
      </c>
      <c r="R346" s="716">
        <f t="shared" ref="R346:R409" si="66">IF(B346="",0,ROUND($R$24*C346*E346*G346*I346*K346*M346*O346*Q346,0))</f>
        <v>0</v>
      </c>
      <c r="S346" s="361">
        <f t="shared" si="57"/>
        <v>0</v>
      </c>
    </row>
    <row r="347" spans="1:19">
      <c r="A347" s="159"/>
      <c r="B347" s="59"/>
      <c r="C347" s="24">
        <f t="shared" si="58"/>
        <v>1</v>
      </c>
      <c r="D347" s="720"/>
      <c r="E347" s="24">
        <f t="shared" si="59"/>
        <v>1</v>
      </c>
      <c r="F347" s="720"/>
      <c r="G347" s="24">
        <f t="shared" si="60"/>
        <v>1</v>
      </c>
      <c r="H347" s="720"/>
      <c r="I347" s="24">
        <f t="shared" si="61"/>
        <v>1</v>
      </c>
      <c r="J347" s="720"/>
      <c r="K347" s="24">
        <f t="shared" si="62"/>
        <v>1</v>
      </c>
      <c r="L347" s="720"/>
      <c r="M347" s="24">
        <f t="shared" si="63"/>
        <v>1</v>
      </c>
      <c r="N347" s="720"/>
      <c r="O347" s="24">
        <f t="shared" si="64"/>
        <v>1</v>
      </c>
      <c r="P347" s="720"/>
      <c r="Q347" s="24">
        <f t="shared" si="65"/>
        <v>1</v>
      </c>
      <c r="R347" s="716">
        <f t="shared" si="66"/>
        <v>0</v>
      </c>
      <c r="S347" s="361">
        <f t="shared" si="57"/>
        <v>0</v>
      </c>
    </row>
    <row r="348" spans="1:19">
      <c r="A348" s="159"/>
      <c r="B348" s="59"/>
      <c r="C348" s="24">
        <f t="shared" si="58"/>
        <v>1</v>
      </c>
      <c r="D348" s="720"/>
      <c r="E348" s="24">
        <f t="shared" si="59"/>
        <v>1</v>
      </c>
      <c r="F348" s="720"/>
      <c r="G348" s="24">
        <f t="shared" si="60"/>
        <v>1</v>
      </c>
      <c r="H348" s="720"/>
      <c r="I348" s="24">
        <f t="shared" si="61"/>
        <v>1</v>
      </c>
      <c r="J348" s="720"/>
      <c r="K348" s="24">
        <f t="shared" si="62"/>
        <v>1</v>
      </c>
      <c r="L348" s="720"/>
      <c r="M348" s="24">
        <f t="shared" si="63"/>
        <v>1</v>
      </c>
      <c r="N348" s="720"/>
      <c r="O348" s="24">
        <f t="shared" si="64"/>
        <v>1</v>
      </c>
      <c r="P348" s="720"/>
      <c r="Q348" s="24">
        <f t="shared" si="65"/>
        <v>1</v>
      </c>
      <c r="R348" s="716">
        <f t="shared" si="66"/>
        <v>0</v>
      </c>
      <c r="S348" s="361">
        <f t="shared" si="57"/>
        <v>0</v>
      </c>
    </row>
    <row r="349" spans="1:19">
      <c r="A349" s="159"/>
      <c r="B349" s="59"/>
      <c r="C349" s="24">
        <f t="shared" si="58"/>
        <v>1</v>
      </c>
      <c r="D349" s="720"/>
      <c r="E349" s="24">
        <f t="shared" si="59"/>
        <v>1</v>
      </c>
      <c r="F349" s="720"/>
      <c r="G349" s="24">
        <f t="shared" si="60"/>
        <v>1</v>
      </c>
      <c r="H349" s="720"/>
      <c r="I349" s="24">
        <f t="shared" si="61"/>
        <v>1</v>
      </c>
      <c r="J349" s="720"/>
      <c r="K349" s="24">
        <f t="shared" si="62"/>
        <v>1</v>
      </c>
      <c r="L349" s="720"/>
      <c r="M349" s="24">
        <f t="shared" si="63"/>
        <v>1</v>
      </c>
      <c r="N349" s="720"/>
      <c r="O349" s="24">
        <f t="shared" si="64"/>
        <v>1</v>
      </c>
      <c r="P349" s="720"/>
      <c r="Q349" s="24">
        <f t="shared" si="65"/>
        <v>1</v>
      </c>
      <c r="R349" s="716">
        <f t="shared" si="66"/>
        <v>0</v>
      </c>
      <c r="S349" s="361">
        <f t="shared" si="57"/>
        <v>0</v>
      </c>
    </row>
    <row r="350" spans="1:19">
      <c r="A350" s="159"/>
      <c r="B350" s="59"/>
      <c r="C350" s="24">
        <f t="shared" si="58"/>
        <v>1</v>
      </c>
      <c r="D350" s="720"/>
      <c r="E350" s="24">
        <f t="shared" si="59"/>
        <v>1</v>
      </c>
      <c r="F350" s="720"/>
      <c r="G350" s="24">
        <f t="shared" si="60"/>
        <v>1</v>
      </c>
      <c r="H350" s="720"/>
      <c r="I350" s="24">
        <f t="shared" si="61"/>
        <v>1</v>
      </c>
      <c r="J350" s="720"/>
      <c r="K350" s="24">
        <f t="shared" si="62"/>
        <v>1</v>
      </c>
      <c r="L350" s="720"/>
      <c r="M350" s="24">
        <f t="shared" si="63"/>
        <v>1</v>
      </c>
      <c r="N350" s="720"/>
      <c r="O350" s="24">
        <f t="shared" si="64"/>
        <v>1</v>
      </c>
      <c r="P350" s="720"/>
      <c r="Q350" s="24">
        <f t="shared" si="65"/>
        <v>1</v>
      </c>
      <c r="R350" s="716">
        <f t="shared" si="66"/>
        <v>0</v>
      </c>
      <c r="S350" s="361">
        <f t="shared" si="57"/>
        <v>0</v>
      </c>
    </row>
    <row r="351" spans="1:19">
      <c r="A351" s="159"/>
      <c r="B351" s="59"/>
      <c r="C351" s="24">
        <f t="shared" si="58"/>
        <v>1</v>
      </c>
      <c r="D351" s="720"/>
      <c r="E351" s="24">
        <f t="shared" si="59"/>
        <v>1</v>
      </c>
      <c r="F351" s="720"/>
      <c r="G351" s="24">
        <f t="shared" si="60"/>
        <v>1</v>
      </c>
      <c r="H351" s="720"/>
      <c r="I351" s="24">
        <f t="shared" si="61"/>
        <v>1</v>
      </c>
      <c r="J351" s="720"/>
      <c r="K351" s="24">
        <f t="shared" si="62"/>
        <v>1</v>
      </c>
      <c r="L351" s="720"/>
      <c r="M351" s="24">
        <f t="shared" si="63"/>
        <v>1</v>
      </c>
      <c r="N351" s="720"/>
      <c r="O351" s="24">
        <f t="shared" si="64"/>
        <v>1</v>
      </c>
      <c r="P351" s="720"/>
      <c r="Q351" s="24">
        <f t="shared" si="65"/>
        <v>1</v>
      </c>
      <c r="R351" s="716">
        <f t="shared" si="66"/>
        <v>0</v>
      </c>
      <c r="S351" s="361">
        <f t="shared" si="57"/>
        <v>0</v>
      </c>
    </row>
    <row r="352" spans="1:19">
      <c r="A352" s="159"/>
      <c r="B352" s="59"/>
      <c r="C352" s="24">
        <f t="shared" si="58"/>
        <v>1</v>
      </c>
      <c r="D352" s="720"/>
      <c r="E352" s="24">
        <f t="shared" si="59"/>
        <v>1</v>
      </c>
      <c r="F352" s="720"/>
      <c r="G352" s="24">
        <f t="shared" si="60"/>
        <v>1</v>
      </c>
      <c r="H352" s="720"/>
      <c r="I352" s="24">
        <f t="shared" si="61"/>
        <v>1</v>
      </c>
      <c r="J352" s="720"/>
      <c r="K352" s="24">
        <f t="shared" si="62"/>
        <v>1</v>
      </c>
      <c r="L352" s="720"/>
      <c r="M352" s="24">
        <f t="shared" si="63"/>
        <v>1</v>
      </c>
      <c r="N352" s="720"/>
      <c r="O352" s="24">
        <f t="shared" si="64"/>
        <v>1</v>
      </c>
      <c r="P352" s="720"/>
      <c r="Q352" s="24">
        <f t="shared" si="65"/>
        <v>1</v>
      </c>
      <c r="R352" s="716">
        <f t="shared" si="66"/>
        <v>0</v>
      </c>
      <c r="S352" s="361">
        <f t="shared" si="57"/>
        <v>0</v>
      </c>
    </row>
    <row r="353" spans="1:19">
      <c r="A353" s="159"/>
      <c r="B353" s="59"/>
      <c r="C353" s="24">
        <f t="shared" si="58"/>
        <v>1</v>
      </c>
      <c r="D353" s="720"/>
      <c r="E353" s="24">
        <f t="shared" si="59"/>
        <v>1</v>
      </c>
      <c r="F353" s="720"/>
      <c r="G353" s="24">
        <f t="shared" si="60"/>
        <v>1</v>
      </c>
      <c r="H353" s="720"/>
      <c r="I353" s="24">
        <f t="shared" si="61"/>
        <v>1</v>
      </c>
      <c r="J353" s="720"/>
      <c r="K353" s="24">
        <f t="shared" si="62"/>
        <v>1</v>
      </c>
      <c r="L353" s="720"/>
      <c r="M353" s="24">
        <f t="shared" si="63"/>
        <v>1</v>
      </c>
      <c r="N353" s="720"/>
      <c r="O353" s="24">
        <f t="shared" si="64"/>
        <v>1</v>
      </c>
      <c r="P353" s="720"/>
      <c r="Q353" s="24">
        <f t="shared" si="65"/>
        <v>1</v>
      </c>
      <c r="R353" s="716">
        <f t="shared" si="66"/>
        <v>0</v>
      </c>
      <c r="S353" s="361">
        <f t="shared" si="57"/>
        <v>0</v>
      </c>
    </row>
    <row r="354" spans="1:19">
      <c r="A354" s="159"/>
      <c r="B354" s="59"/>
      <c r="C354" s="24">
        <f t="shared" si="58"/>
        <v>1</v>
      </c>
      <c r="D354" s="720"/>
      <c r="E354" s="24">
        <f t="shared" si="59"/>
        <v>1</v>
      </c>
      <c r="F354" s="720"/>
      <c r="G354" s="24">
        <f t="shared" si="60"/>
        <v>1</v>
      </c>
      <c r="H354" s="720"/>
      <c r="I354" s="24">
        <f t="shared" si="61"/>
        <v>1</v>
      </c>
      <c r="J354" s="720"/>
      <c r="K354" s="24">
        <f t="shared" si="62"/>
        <v>1</v>
      </c>
      <c r="L354" s="720"/>
      <c r="M354" s="24">
        <f t="shared" si="63"/>
        <v>1</v>
      </c>
      <c r="N354" s="720"/>
      <c r="O354" s="24">
        <f t="shared" si="64"/>
        <v>1</v>
      </c>
      <c r="P354" s="720"/>
      <c r="Q354" s="24">
        <f t="shared" si="65"/>
        <v>1</v>
      </c>
      <c r="R354" s="716">
        <f t="shared" si="66"/>
        <v>0</v>
      </c>
      <c r="S354" s="361">
        <f t="shared" si="57"/>
        <v>0</v>
      </c>
    </row>
    <row r="355" spans="1:19">
      <c r="A355" s="159"/>
      <c r="B355" s="59"/>
      <c r="C355" s="24">
        <f t="shared" si="58"/>
        <v>1</v>
      </c>
      <c r="D355" s="720"/>
      <c r="E355" s="24">
        <f t="shared" si="59"/>
        <v>1</v>
      </c>
      <c r="F355" s="720"/>
      <c r="G355" s="24">
        <f t="shared" si="60"/>
        <v>1</v>
      </c>
      <c r="H355" s="720"/>
      <c r="I355" s="24">
        <f t="shared" si="61"/>
        <v>1</v>
      </c>
      <c r="J355" s="720"/>
      <c r="K355" s="24">
        <f t="shared" si="62"/>
        <v>1</v>
      </c>
      <c r="L355" s="720"/>
      <c r="M355" s="24">
        <f t="shared" si="63"/>
        <v>1</v>
      </c>
      <c r="N355" s="720"/>
      <c r="O355" s="24">
        <f t="shared" si="64"/>
        <v>1</v>
      </c>
      <c r="P355" s="720"/>
      <c r="Q355" s="24">
        <f t="shared" si="65"/>
        <v>1</v>
      </c>
      <c r="R355" s="716">
        <f t="shared" si="66"/>
        <v>0</v>
      </c>
      <c r="S355" s="361">
        <f t="shared" si="57"/>
        <v>0</v>
      </c>
    </row>
    <row r="356" spans="1:19">
      <c r="A356" s="159"/>
      <c r="B356" s="59"/>
      <c r="C356" s="24">
        <f t="shared" si="58"/>
        <v>1</v>
      </c>
      <c r="D356" s="720"/>
      <c r="E356" s="24">
        <f t="shared" si="59"/>
        <v>1</v>
      </c>
      <c r="F356" s="720"/>
      <c r="G356" s="24">
        <f t="shared" si="60"/>
        <v>1</v>
      </c>
      <c r="H356" s="720"/>
      <c r="I356" s="24">
        <f t="shared" si="61"/>
        <v>1</v>
      </c>
      <c r="J356" s="720"/>
      <c r="K356" s="24">
        <f t="shared" si="62"/>
        <v>1</v>
      </c>
      <c r="L356" s="720"/>
      <c r="M356" s="24">
        <f t="shared" si="63"/>
        <v>1</v>
      </c>
      <c r="N356" s="720"/>
      <c r="O356" s="24">
        <f t="shared" si="64"/>
        <v>1</v>
      </c>
      <c r="P356" s="720"/>
      <c r="Q356" s="24">
        <f t="shared" si="65"/>
        <v>1</v>
      </c>
      <c r="R356" s="716">
        <f t="shared" si="66"/>
        <v>0</v>
      </c>
      <c r="S356" s="361">
        <f t="shared" si="57"/>
        <v>0</v>
      </c>
    </row>
    <row r="357" spans="1:19">
      <c r="A357" s="159"/>
      <c r="B357" s="59"/>
      <c r="C357" s="24">
        <f t="shared" si="58"/>
        <v>1</v>
      </c>
      <c r="D357" s="720"/>
      <c r="E357" s="24">
        <f t="shared" si="59"/>
        <v>1</v>
      </c>
      <c r="F357" s="720"/>
      <c r="G357" s="24">
        <f t="shared" si="60"/>
        <v>1</v>
      </c>
      <c r="H357" s="720"/>
      <c r="I357" s="24">
        <f t="shared" si="61"/>
        <v>1</v>
      </c>
      <c r="J357" s="720"/>
      <c r="K357" s="24">
        <f t="shared" si="62"/>
        <v>1</v>
      </c>
      <c r="L357" s="720"/>
      <c r="M357" s="24">
        <f t="shared" si="63"/>
        <v>1</v>
      </c>
      <c r="N357" s="720"/>
      <c r="O357" s="24">
        <f t="shared" si="64"/>
        <v>1</v>
      </c>
      <c r="P357" s="720"/>
      <c r="Q357" s="24">
        <f t="shared" si="65"/>
        <v>1</v>
      </c>
      <c r="R357" s="716">
        <f t="shared" si="66"/>
        <v>0</v>
      </c>
      <c r="S357" s="361">
        <f t="shared" si="57"/>
        <v>0</v>
      </c>
    </row>
    <row r="358" spans="1:19">
      <c r="A358" s="159"/>
      <c r="B358" s="59"/>
      <c r="C358" s="24">
        <f t="shared" si="58"/>
        <v>1</v>
      </c>
      <c r="D358" s="720"/>
      <c r="E358" s="24">
        <f t="shared" si="59"/>
        <v>1</v>
      </c>
      <c r="F358" s="720"/>
      <c r="G358" s="24">
        <f t="shared" si="60"/>
        <v>1</v>
      </c>
      <c r="H358" s="720"/>
      <c r="I358" s="24">
        <f t="shared" si="61"/>
        <v>1</v>
      </c>
      <c r="J358" s="720"/>
      <c r="K358" s="24">
        <f t="shared" si="62"/>
        <v>1</v>
      </c>
      <c r="L358" s="720"/>
      <c r="M358" s="24">
        <f t="shared" si="63"/>
        <v>1</v>
      </c>
      <c r="N358" s="720"/>
      <c r="O358" s="24">
        <f t="shared" si="64"/>
        <v>1</v>
      </c>
      <c r="P358" s="720"/>
      <c r="Q358" s="24">
        <f t="shared" si="65"/>
        <v>1</v>
      </c>
      <c r="R358" s="716">
        <f t="shared" si="66"/>
        <v>0</v>
      </c>
      <c r="S358" s="361">
        <f t="shared" si="57"/>
        <v>0</v>
      </c>
    </row>
    <row r="359" spans="1:19">
      <c r="A359" s="159"/>
      <c r="B359" s="59"/>
      <c r="C359" s="24">
        <f t="shared" si="58"/>
        <v>1</v>
      </c>
      <c r="D359" s="720"/>
      <c r="E359" s="24">
        <f t="shared" si="59"/>
        <v>1</v>
      </c>
      <c r="F359" s="720"/>
      <c r="G359" s="24">
        <f t="shared" si="60"/>
        <v>1</v>
      </c>
      <c r="H359" s="720"/>
      <c r="I359" s="24">
        <f t="shared" si="61"/>
        <v>1</v>
      </c>
      <c r="J359" s="720"/>
      <c r="K359" s="24">
        <f t="shared" si="62"/>
        <v>1</v>
      </c>
      <c r="L359" s="720"/>
      <c r="M359" s="24">
        <f t="shared" si="63"/>
        <v>1</v>
      </c>
      <c r="N359" s="720"/>
      <c r="O359" s="24">
        <f t="shared" si="64"/>
        <v>1</v>
      </c>
      <c r="P359" s="720"/>
      <c r="Q359" s="24">
        <f t="shared" si="65"/>
        <v>1</v>
      </c>
      <c r="R359" s="716">
        <f t="shared" si="66"/>
        <v>0</v>
      </c>
      <c r="S359" s="361">
        <f t="shared" si="57"/>
        <v>0</v>
      </c>
    </row>
    <row r="360" spans="1:19">
      <c r="A360" s="159"/>
      <c r="B360" s="59"/>
      <c r="C360" s="24">
        <f t="shared" si="58"/>
        <v>1</v>
      </c>
      <c r="D360" s="720"/>
      <c r="E360" s="24">
        <f t="shared" si="59"/>
        <v>1</v>
      </c>
      <c r="F360" s="720"/>
      <c r="G360" s="24">
        <f t="shared" si="60"/>
        <v>1</v>
      </c>
      <c r="H360" s="720"/>
      <c r="I360" s="24">
        <f t="shared" si="61"/>
        <v>1</v>
      </c>
      <c r="J360" s="720"/>
      <c r="K360" s="24">
        <f t="shared" si="62"/>
        <v>1</v>
      </c>
      <c r="L360" s="720"/>
      <c r="M360" s="24">
        <f t="shared" si="63"/>
        <v>1</v>
      </c>
      <c r="N360" s="720"/>
      <c r="O360" s="24">
        <f t="shared" si="64"/>
        <v>1</v>
      </c>
      <c r="P360" s="720"/>
      <c r="Q360" s="24">
        <f t="shared" si="65"/>
        <v>1</v>
      </c>
      <c r="R360" s="716">
        <f t="shared" si="66"/>
        <v>0</v>
      </c>
      <c r="S360" s="361">
        <f t="shared" si="57"/>
        <v>0</v>
      </c>
    </row>
    <row r="361" spans="1:19">
      <c r="A361" s="159"/>
      <c r="B361" s="59"/>
      <c r="C361" s="24">
        <f t="shared" si="58"/>
        <v>1</v>
      </c>
      <c r="D361" s="720"/>
      <c r="E361" s="24">
        <f t="shared" si="59"/>
        <v>1</v>
      </c>
      <c r="F361" s="720"/>
      <c r="G361" s="24">
        <f t="shared" si="60"/>
        <v>1</v>
      </c>
      <c r="H361" s="720"/>
      <c r="I361" s="24">
        <f t="shared" si="61"/>
        <v>1</v>
      </c>
      <c r="J361" s="720"/>
      <c r="K361" s="24">
        <f t="shared" si="62"/>
        <v>1</v>
      </c>
      <c r="L361" s="720"/>
      <c r="M361" s="24">
        <f t="shared" si="63"/>
        <v>1</v>
      </c>
      <c r="N361" s="720"/>
      <c r="O361" s="24">
        <f t="shared" si="64"/>
        <v>1</v>
      </c>
      <c r="P361" s="720"/>
      <c r="Q361" s="24">
        <f t="shared" si="65"/>
        <v>1</v>
      </c>
      <c r="R361" s="716">
        <f t="shared" si="66"/>
        <v>0</v>
      </c>
      <c r="S361" s="361">
        <f t="shared" si="57"/>
        <v>0</v>
      </c>
    </row>
    <row r="362" spans="1:19">
      <c r="A362" s="159"/>
      <c r="B362" s="59"/>
      <c r="C362" s="24">
        <f t="shared" si="58"/>
        <v>1</v>
      </c>
      <c r="D362" s="720"/>
      <c r="E362" s="24">
        <f t="shared" si="59"/>
        <v>1</v>
      </c>
      <c r="F362" s="720"/>
      <c r="G362" s="24">
        <f t="shared" si="60"/>
        <v>1</v>
      </c>
      <c r="H362" s="720"/>
      <c r="I362" s="24">
        <f t="shared" si="61"/>
        <v>1</v>
      </c>
      <c r="J362" s="720"/>
      <c r="K362" s="24">
        <f t="shared" si="62"/>
        <v>1</v>
      </c>
      <c r="L362" s="720"/>
      <c r="M362" s="24">
        <f t="shared" si="63"/>
        <v>1</v>
      </c>
      <c r="N362" s="720"/>
      <c r="O362" s="24">
        <f t="shared" si="64"/>
        <v>1</v>
      </c>
      <c r="P362" s="720"/>
      <c r="Q362" s="24">
        <f t="shared" si="65"/>
        <v>1</v>
      </c>
      <c r="R362" s="716">
        <f t="shared" si="66"/>
        <v>0</v>
      </c>
      <c r="S362" s="361">
        <f t="shared" si="57"/>
        <v>0</v>
      </c>
    </row>
    <row r="363" spans="1:19">
      <c r="A363" s="159"/>
      <c r="B363" s="59"/>
      <c r="C363" s="24">
        <f t="shared" si="58"/>
        <v>1</v>
      </c>
      <c r="D363" s="720"/>
      <c r="E363" s="24">
        <f t="shared" si="59"/>
        <v>1</v>
      </c>
      <c r="F363" s="720"/>
      <c r="G363" s="24">
        <f t="shared" si="60"/>
        <v>1</v>
      </c>
      <c r="H363" s="720"/>
      <c r="I363" s="24">
        <f t="shared" si="61"/>
        <v>1</v>
      </c>
      <c r="J363" s="720"/>
      <c r="K363" s="24">
        <f t="shared" si="62"/>
        <v>1</v>
      </c>
      <c r="L363" s="720"/>
      <c r="M363" s="24">
        <f t="shared" si="63"/>
        <v>1</v>
      </c>
      <c r="N363" s="720"/>
      <c r="O363" s="24">
        <f t="shared" si="64"/>
        <v>1</v>
      </c>
      <c r="P363" s="720"/>
      <c r="Q363" s="24">
        <f t="shared" si="65"/>
        <v>1</v>
      </c>
      <c r="R363" s="716">
        <f t="shared" si="66"/>
        <v>0</v>
      </c>
      <c r="S363" s="361">
        <f t="shared" si="57"/>
        <v>0</v>
      </c>
    </row>
    <row r="364" spans="1:19">
      <c r="A364" s="159"/>
      <c r="B364" s="59"/>
      <c r="C364" s="24">
        <f t="shared" si="58"/>
        <v>1</v>
      </c>
      <c r="D364" s="720"/>
      <c r="E364" s="24">
        <f t="shared" si="59"/>
        <v>1</v>
      </c>
      <c r="F364" s="720"/>
      <c r="G364" s="24">
        <f t="shared" si="60"/>
        <v>1</v>
      </c>
      <c r="H364" s="720"/>
      <c r="I364" s="24">
        <f t="shared" si="61"/>
        <v>1</v>
      </c>
      <c r="J364" s="720"/>
      <c r="K364" s="24">
        <f t="shared" si="62"/>
        <v>1</v>
      </c>
      <c r="L364" s="720"/>
      <c r="M364" s="24">
        <f t="shared" si="63"/>
        <v>1</v>
      </c>
      <c r="N364" s="720"/>
      <c r="O364" s="24">
        <f t="shared" si="64"/>
        <v>1</v>
      </c>
      <c r="P364" s="720"/>
      <c r="Q364" s="24">
        <f t="shared" si="65"/>
        <v>1</v>
      </c>
      <c r="R364" s="716">
        <f t="shared" si="66"/>
        <v>0</v>
      </c>
      <c r="S364" s="361">
        <f t="shared" si="57"/>
        <v>0</v>
      </c>
    </row>
    <row r="365" spans="1:19">
      <c r="A365" s="159"/>
      <c r="B365" s="59"/>
      <c r="C365" s="24">
        <f t="shared" si="58"/>
        <v>1</v>
      </c>
      <c r="D365" s="720"/>
      <c r="E365" s="24">
        <f t="shared" si="59"/>
        <v>1</v>
      </c>
      <c r="F365" s="720"/>
      <c r="G365" s="24">
        <f t="shared" si="60"/>
        <v>1</v>
      </c>
      <c r="H365" s="720"/>
      <c r="I365" s="24">
        <f t="shared" si="61"/>
        <v>1</v>
      </c>
      <c r="J365" s="720"/>
      <c r="K365" s="24">
        <f t="shared" si="62"/>
        <v>1</v>
      </c>
      <c r="L365" s="720"/>
      <c r="M365" s="24">
        <f t="shared" si="63"/>
        <v>1</v>
      </c>
      <c r="N365" s="720"/>
      <c r="O365" s="24">
        <f t="shared" si="64"/>
        <v>1</v>
      </c>
      <c r="P365" s="720"/>
      <c r="Q365" s="24">
        <f t="shared" si="65"/>
        <v>1</v>
      </c>
      <c r="R365" s="716">
        <f t="shared" si="66"/>
        <v>0</v>
      </c>
      <c r="S365" s="361">
        <f t="shared" si="57"/>
        <v>0</v>
      </c>
    </row>
    <row r="366" spans="1:19">
      <c r="A366" s="159"/>
      <c r="B366" s="59"/>
      <c r="C366" s="24">
        <f t="shared" si="58"/>
        <v>1</v>
      </c>
      <c r="D366" s="720"/>
      <c r="E366" s="24">
        <f t="shared" si="59"/>
        <v>1</v>
      </c>
      <c r="F366" s="720"/>
      <c r="G366" s="24">
        <f t="shared" si="60"/>
        <v>1</v>
      </c>
      <c r="H366" s="720"/>
      <c r="I366" s="24">
        <f t="shared" si="61"/>
        <v>1</v>
      </c>
      <c r="J366" s="720"/>
      <c r="K366" s="24">
        <f t="shared" si="62"/>
        <v>1</v>
      </c>
      <c r="L366" s="720"/>
      <c r="M366" s="24">
        <f t="shared" si="63"/>
        <v>1</v>
      </c>
      <c r="N366" s="720"/>
      <c r="O366" s="24">
        <f t="shared" si="64"/>
        <v>1</v>
      </c>
      <c r="P366" s="720"/>
      <c r="Q366" s="24">
        <f t="shared" si="65"/>
        <v>1</v>
      </c>
      <c r="R366" s="716">
        <f t="shared" si="66"/>
        <v>0</v>
      </c>
      <c r="S366" s="361">
        <f t="shared" si="57"/>
        <v>0</v>
      </c>
    </row>
    <row r="367" spans="1:19">
      <c r="A367" s="159"/>
      <c r="B367" s="59"/>
      <c r="C367" s="24">
        <f t="shared" si="58"/>
        <v>1</v>
      </c>
      <c r="D367" s="720"/>
      <c r="E367" s="24">
        <f t="shared" si="59"/>
        <v>1</v>
      </c>
      <c r="F367" s="720"/>
      <c r="G367" s="24">
        <f t="shared" si="60"/>
        <v>1</v>
      </c>
      <c r="H367" s="720"/>
      <c r="I367" s="24">
        <f t="shared" si="61"/>
        <v>1</v>
      </c>
      <c r="J367" s="720"/>
      <c r="K367" s="24">
        <f t="shared" si="62"/>
        <v>1</v>
      </c>
      <c r="L367" s="720"/>
      <c r="M367" s="24">
        <f t="shared" si="63"/>
        <v>1</v>
      </c>
      <c r="N367" s="720"/>
      <c r="O367" s="24">
        <f t="shared" si="64"/>
        <v>1</v>
      </c>
      <c r="P367" s="720"/>
      <c r="Q367" s="24">
        <f t="shared" si="65"/>
        <v>1</v>
      </c>
      <c r="R367" s="716">
        <f t="shared" si="66"/>
        <v>0</v>
      </c>
      <c r="S367" s="361">
        <f t="shared" si="57"/>
        <v>0</v>
      </c>
    </row>
    <row r="368" spans="1:19">
      <c r="A368" s="159"/>
      <c r="B368" s="59"/>
      <c r="C368" s="24">
        <f t="shared" si="58"/>
        <v>1</v>
      </c>
      <c r="D368" s="720"/>
      <c r="E368" s="24">
        <f t="shared" si="59"/>
        <v>1</v>
      </c>
      <c r="F368" s="720"/>
      <c r="G368" s="24">
        <f t="shared" si="60"/>
        <v>1</v>
      </c>
      <c r="H368" s="720"/>
      <c r="I368" s="24">
        <f t="shared" si="61"/>
        <v>1</v>
      </c>
      <c r="J368" s="720"/>
      <c r="K368" s="24">
        <f t="shared" si="62"/>
        <v>1</v>
      </c>
      <c r="L368" s="720"/>
      <c r="M368" s="24">
        <f t="shared" si="63"/>
        <v>1</v>
      </c>
      <c r="N368" s="720"/>
      <c r="O368" s="24">
        <f t="shared" si="64"/>
        <v>1</v>
      </c>
      <c r="P368" s="720"/>
      <c r="Q368" s="24">
        <f t="shared" si="65"/>
        <v>1</v>
      </c>
      <c r="R368" s="716">
        <f t="shared" si="66"/>
        <v>0</v>
      </c>
      <c r="S368" s="361">
        <f t="shared" si="57"/>
        <v>0</v>
      </c>
    </row>
    <row r="369" spans="1:19">
      <c r="A369" s="159"/>
      <c r="B369" s="59"/>
      <c r="C369" s="24">
        <f t="shared" si="58"/>
        <v>1</v>
      </c>
      <c r="D369" s="720"/>
      <c r="E369" s="24">
        <f t="shared" si="59"/>
        <v>1</v>
      </c>
      <c r="F369" s="720"/>
      <c r="G369" s="24">
        <f t="shared" si="60"/>
        <v>1</v>
      </c>
      <c r="H369" s="720"/>
      <c r="I369" s="24">
        <f t="shared" si="61"/>
        <v>1</v>
      </c>
      <c r="J369" s="720"/>
      <c r="K369" s="24">
        <f t="shared" si="62"/>
        <v>1</v>
      </c>
      <c r="L369" s="720"/>
      <c r="M369" s="24">
        <f t="shared" si="63"/>
        <v>1</v>
      </c>
      <c r="N369" s="720"/>
      <c r="O369" s="24">
        <f t="shared" si="64"/>
        <v>1</v>
      </c>
      <c r="P369" s="720"/>
      <c r="Q369" s="24">
        <f t="shared" si="65"/>
        <v>1</v>
      </c>
      <c r="R369" s="716">
        <f t="shared" si="66"/>
        <v>0</v>
      </c>
      <c r="S369" s="361">
        <f t="shared" si="57"/>
        <v>0</v>
      </c>
    </row>
    <row r="370" spans="1:19">
      <c r="A370" s="159"/>
      <c r="B370" s="59"/>
      <c r="C370" s="24">
        <f t="shared" si="58"/>
        <v>1</v>
      </c>
      <c r="D370" s="720"/>
      <c r="E370" s="24">
        <f t="shared" si="59"/>
        <v>1</v>
      </c>
      <c r="F370" s="720"/>
      <c r="G370" s="24">
        <f t="shared" si="60"/>
        <v>1</v>
      </c>
      <c r="H370" s="720"/>
      <c r="I370" s="24">
        <f t="shared" si="61"/>
        <v>1</v>
      </c>
      <c r="J370" s="720"/>
      <c r="K370" s="24">
        <f t="shared" si="62"/>
        <v>1</v>
      </c>
      <c r="L370" s="720"/>
      <c r="M370" s="24">
        <f t="shared" si="63"/>
        <v>1</v>
      </c>
      <c r="N370" s="720"/>
      <c r="O370" s="24">
        <f t="shared" si="64"/>
        <v>1</v>
      </c>
      <c r="P370" s="720"/>
      <c r="Q370" s="24">
        <f t="shared" si="65"/>
        <v>1</v>
      </c>
      <c r="R370" s="716">
        <f t="shared" si="66"/>
        <v>0</v>
      </c>
      <c r="S370" s="361">
        <f t="shared" si="57"/>
        <v>0</v>
      </c>
    </row>
    <row r="371" spans="1:19">
      <c r="A371" s="159"/>
      <c r="B371" s="59"/>
      <c r="C371" s="24">
        <f t="shared" si="58"/>
        <v>1</v>
      </c>
      <c r="D371" s="720"/>
      <c r="E371" s="24">
        <f t="shared" si="59"/>
        <v>1</v>
      </c>
      <c r="F371" s="720"/>
      <c r="G371" s="24">
        <f t="shared" si="60"/>
        <v>1</v>
      </c>
      <c r="H371" s="720"/>
      <c r="I371" s="24">
        <f t="shared" si="61"/>
        <v>1</v>
      </c>
      <c r="J371" s="720"/>
      <c r="K371" s="24">
        <f t="shared" si="62"/>
        <v>1</v>
      </c>
      <c r="L371" s="720"/>
      <c r="M371" s="24">
        <f t="shared" si="63"/>
        <v>1</v>
      </c>
      <c r="N371" s="720"/>
      <c r="O371" s="24">
        <f t="shared" si="64"/>
        <v>1</v>
      </c>
      <c r="P371" s="720"/>
      <c r="Q371" s="24">
        <f t="shared" si="65"/>
        <v>1</v>
      </c>
      <c r="R371" s="716">
        <f t="shared" si="66"/>
        <v>0</v>
      </c>
      <c r="S371" s="361">
        <f t="shared" si="57"/>
        <v>0</v>
      </c>
    </row>
    <row r="372" spans="1:19">
      <c r="A372" s="159"/>
      <c r="B372" s="59"/>
      <c r="C372" s="24">
        <f t="shared" si="58"/>
        <v>1</v>
      </c>
      <c r="D372" s="720"/>
      <c r="E372" s="24">
        <f t="shared" si="59"/>
        <v>1</v>
      </c>
      <c r="F372" s="720"/>
      <c r="G372" s="24">
        <f t="shared" si="60"/>
        <v>1</v>
      </c>
      <c r="H372" s="720"/>
      <c r="I372" s="24">
        <f t="shared" si="61"/>
        <v>1</v>
      </c>
      <c r="J372" s="720"/>
      <c r="K372" s="24">
        <f t="shared" si="62"/>
        <v>1</v>
      </c>
      <c r="L372" s="720"/>
      <c r="M372" s="24">
        <f t="shared" si="63"/>
        <v>1</v>
      </c>
      <c r="N372" s="720"/>
      <c r="O372" s="24">
        <f t="shared" si="64"/>
        <v>1</v>
      </c>
      <c r="P372" s="720"/>
      <c r="Q372" s="24">
        <f t="shared" si="65"/>
        <v>1</v>
      </c>
      <c r="R372" s="716">
        <f t="shared" si="66"/>
        <v>0</v>
      </c>
      <c r="S372" s="361">
        <f t="shared" si="57"/>
        <v>0</v>
      </c>
    </row>
    <row r="373" spans="1:19">
      <c r="A373" s="159"/>
      <c r="B373" s="59"/>
      <c r="C373" s="24">
        <f t="shared" si="58"/>
        <v>1</v>
      </c>
      <c r="D373" s="720"/>
      <c r="E373" s="24">
        <f t="shared" si="59"/>
        <v>1</v>
      </c>
      <c r="F373" s="720"/>
      <c r="G373" s="24">
        <f t="shared" si="60"/>
        <v>1</v>
      </c>
      <c r="H373" s="720"/>
      <c r="I373" s="24">
        <f t="shared" si="61"/>
        <v>1</v>
      </c>
      <c r="J373" s="720"/>
      <c r="K373" s="24">
        <f t="shared" si="62"/>
        <v>1</v>
      </c>
      <c r="L373" s="720"/>
      <c r="M373" s="24">
        <f t="shared" si="63"/>
        <v>1</v>
      </c>
      <c r="N373" s="720"/>
      <c r="O373" s="24">
        <f t="shared" si="64"/>
        <v>1</v>
      </c>
      <c r="P373" s="720"/>
      <c r="Q373" s="24">
        <f t="shared" si="65"/>
        <v>1</v>
      </c>
      <c r="R373" s="716">
        <f t="shared" si="66"/>
        <v>0</v>
      </c>
      <c r="S373" s="361">
        <f t="shared" si="57"/>
        <v>0</v>
      </c>
    </row>
    <row r="374" spans="1:19">
      <c r="A374" s="159"/>
      <c r="B374" s="59"/>
      <c r="C374" s="24">
        <f t="shared" si="58"/>
        <v>1</v>
      </c>
      <c r="D374" s="720"/>
      <c r="E374" s="24">
        <f t="shared" si="59"/>
        <v>1</v>
      </c>
      <c r="F374" s="720"/>
      <c r="G374" s="24">
        <f t="shared" si="60"/>
        <v>1</v>
      </c>
      <c r="H374" s="720"/>
      <c r="I374" s="24">
        <f t="shared" si="61"/>
        <v>1</v>
      </c>
      <c r="J374" s="720"/>
      <c r="K374" s="24">
        <f t="shared" si="62"/>
        <v>1</v>
      </c>
      <c r="L374" s="720"/>
      <c r="M374" s="24">
        <f t="shared" si="63"/>
        <v>1</v>
      </c>
      <c r="N374" s="720"/>
      <c r="O374" s="24">
        <f t="shared" si="64"/>
        <v>1</v>
      </c>
      <c r="P374" s="720"/>
      <c r="Q374" s="24">
        <f t="shared" si="65"/>
        <v>1</v>
      </c>
      <c r="R374" s="716">
        <f t="shared" si="66"/>
        <v>0</v>
      </c>
      <c r="S374" s="361">
        <f t="shared" si="57"/>
        <v>0</v>
      </c>
    </row>
    <row r="375" spans="1:19">
      <c r="A375" s="159"/>
      <c r="B375" s="59"/>
      <c r="C375" s="24">
        <f t="shared" si="58"/>
        <v>1</v>
      </c>
      <c r="D375" s="720"/>
      <c r="E375" s="24">
        <f t="shared" si="59"/>
        <v>1</v>
      </c>
      <c r="F375" s="720"/>
      <c r="G375" s="24">
        <f t="shared" si="60"/>
        <v>1</v>
      </c>
      <c r="H375" s="720"/>
      <c r="I375" s="24">
        <f t="shared" si="61"/>
        <v>1</v>
      </c>
      <c r="J375" s="720"/>
      <c r="K375" s="24">
        <f t="shared" si="62"/>
        <v>1</v>
      </c>
      <c r="L375" s="720"/>
      <c r="M375" s="24">
        <f t="shared" si="63"/>
        <v>1</v>
      </c>
      <c r="N375" s="720"/>
      <c r="O375" s="24">
        <f t="shared" si="64"/>
        <v>1</v>
      </c>
      <c r="P375" s="720"/>
      <c r="Q375" s="24">
        <f t="shared" si="65"/>
        <v>1</v>
      </c>
      <c r="R375" s="716">
        <f t="shared" si="66"/>
        <v>0</v>
      </c>
      <c r="S375" s="361">
        <f t="shared" si="57"/>
        <v>0</v>
      </c>
    </row>
    <row r="376" spans="1:19">
      <c r="A376" s="159"/>
      <c r="B376" s="59"/>
      <c r="C376" s="24">
        <f t="shared" si="58"/>
        <v>1</v>
      </c>
      <c r="D376" s="720"/>
      <c r="E376" s="24">
        <f t="shared" si="59"/>
        <v>1</v>
      </c>
      <c r="F376" s="720"/>
      <c r="G376" s="24">
        <f t="shared" si="60"/>
        <v>1</v>
      </c>
      <c r="H376" s="720"/>
      <c r="I376" s="24">
        <f t="shared" si="61"/>
        <v>1</v>
      </c>
      <c r="J376" s="720"/>
      <c r="K376" s="24">
        <f t="shared" si="62"/>
        <v>1</v>
      </c>
      <c r="L376" s="720"/>
      <c r="M376" s="24">
        <f t="shared" si="63"/>
        <v>1</v>
      </c>
      <c r="N376" s="720"/>
      <c r="O376" s="24">
        <f t="shared" si="64"/>
        <v>1</v>
      </c>
      <c r="P376" s="720"/>
      <c r="Q376" s="24">
        <f t="shared" si="65"/>
        <v>1</v>
      </c>
      <c r="R376" s="716">
        <f t="shared" si="66"/>
        <v>0</v>
      </c>
      <c r="S376" s="361">
        <f t="shared" si="57"/>
        <v>0</v>
      </c>
    </row>
    <row r="377" spans="1:19">
      <c r="A377" s="159"/>
      <c r="B377" s="59"/>
      <c r="C377" s="24">
        <f t="shared" si="58"/>
        <v>1</v>
      </c>
      <c r="D377" s="720"/>
      <c r="E377" s="24">
        <f t="shared" si="59"/>
        <v>1</v>
      </c>
      <c r="F377" s="720"/>
      <c r="G377" s="24">
        <f t="shared" si="60"/>
        <v>1</v>
      </c>
      <c r="H377" s="720"/>
      <c r="I377" s="24">
        <f t="shared" si="61"/>
        <v>1</v>
      </c>
      <c r="J377" s="720"/>
      <c r="K377" s="24">
        <f t="shared" si="62"/>
        <v>1</v>
      </c>
      <c r="L377" s="720"/>
      <c r="M377" s="24">
        <f t="shared" si="63"/>
        <v>1</v>
      </c>
      <c r="N377" s="720"/>
      <c r="O377" s="24">
        <f t="shared" si="64"/>
        <v>1</v>
      </c>
      <c r="P377" s="720"/>
      <c r="Q377" s="24">
        <f t="shared" si="65"/>
        <v>1</v>
      </c>
      <c r="R377" s="716">
        <f t="shared" si="66"/>
        <v>0</v>
      </c>
      <c r="S377" s="361">
        <f t="shared" si="57"/>
        <v>0</v>
      </c>
    </row>
    <row r="378" spans="1:19">
      <c r="A378" s="159"/>
      <c r="B378" s="59"/>
      <c r="C378" s="24">
        <f t="shared" si="58"/>
        <v>1</v>
      </c>
      <c r="D378" s="720"/>
      <c r="E378" s="24">
        <f t="shared" si="59"/>
        <v>1</v>
      </c>
      <c r="F378" s="720"/>
      <c r="G378" s="24">
        <f t="shared" si="60"/>
        <v>1</v>
      </c>
      <c r="H378" s="720"/>
      <c r="I378" s="24">
        <f t="shared" si="61"/>
        <v>1</v>
      </c>
      <c r="J378" s="720"/>
      <c r="K378" s="24">
        <f t="shared" si="62"/>
        <v>1</v>
      </c>
      <c r="L378" s="720"/>
      <c r="M378" s="24">
        <f t="shared" si="63"/>
        <v>1</v>
      </c>
      <c r="N378" s="720"/>
      <c r="O378" s="24">
        <f t="shared" si="64"/>
        <v>1</v>
      </c>
      <c r="P378" s="720"/>
      <c r="Q378" s="24">
        <f t="shared" si="65"/>
        <v>1</v>
      </c>
      <c r="R378" s="716">
        <f t="shared" si="66"/>
        <v>0</v>
      </c>
      <c r="S378" s="361">
        <f t="shared" si="57"/>
        <v>0</v>
      </c>
    </row>
    <row r="379" spans="1:19">
      <c r="A379" s="159"/>
      <c r="B379" s="59"/>
      <c r="C379" s="24">
        <f t="shared" si="58"/>
        <v>1</v>
      </c>
      <c r="D379" s="720"/>
      <c r="E379" s="24">
        <f t="shared" si="59"/>
        <v>1</v>
      </c>
      <c r="F379" s="720"/>
      <c r="G379" s="24">
        <f t="shared" si="60"/>
        <v>1</v>
      </c>
      <c r="H379" s="720"/>
      <c r="I379" s="24">
        <f t="shared" si="61"/>
        <v>1</v>
      </c>
      <c r="J379" s="720"/>
      <c r="K379" s="24">
        <f t="shared" si="62"/>
        <v>1</v>
      </c>
      <c r="L379" s="720"/>
      <c r="M379" s="24">
        <f t="shared" si="63"/>
        <v>1</v>
      </c>
      <c r="N379" s="720"/>
      <c r="O379" s="24">
        <f t="shared" si="64"/>
        <v>1</v>
      </c>
      <c r="P379" s="720"/>
      <c r="Q379" s="24">
        <f t="shared" si="65"/>
        <v>1</v>
      </c>
      <c r="R379" s="716">
        <f t="shared" si="66"/>
        <v>0</v>
      </c>
      <c r="S379" s="361">
        <f t="shared" si="57"/>
        <v>0</v>
      </c>
    </row>
    <row r="380" spans="1:19">
      <c r="A380" s="159"/>
      <c r="B380" s="59"/>
      <c r="C380" s="24">
        <f t="shared" si="58"/>
        <v>1</v>
      </c>
      <c r="D380" s="720"/>
      <c r="E380" s="24">
        <f t="shared" si="59"/>
        <v>1</v>
      </c>
      <c r="F380" s="720"/>
      <c r="G380" s="24">
        <f t="shared" si="60"/>
        <v>1</v>
      </c>
      <c r="H380" s="720"/>
      <c r="I380" s="24">
        <f t="shared" si="61"/>
        <v>1</v>
      </c>
      <c r="J380" s="720"/>
      <c r="K380" s="24">
        <f t="shared" si="62"/>
        <v>1</v>
      </c>
      <c r="L380" s="720"/>
      <c r="M380" s="24">
        <f t="shared" si="63"/>
        <v>1</v>
      </c>
      <c r="N380" s="720"/>
      <c r="O380" s="24">
        <f t="shared" si="64"/>
        <v>1</v>
      </c>
      <c r="P380" s="720"/>
      <c r="Q380" s="24">
        <f t="shared" si="65"/>
        <v>1</v>
      </c>
      <c r="R380" s="716">
        <f t="shared" si="66"/>
        <v>0</v>
      </c>
      <c r="S380" s="361">
        <f t="shared" si="57"/>
        <v>0</v>
      </c>
    </row>
    <row r="381" spans="1:19">
      <c r="A381" s="159"/>
      <c r="B381" s="59"/>
      <c r="C381" s="24">
        <f t="shared" si="58"/>
        <v>1</v>
      </c>
      <c r="D381" s="720"/>
      <c r="E381" s="24">
        <f t="shared" si="59"/>
        <v>1</v>
      </c>
      <c r="F381" s="720"/>
      <c r="G381" s="24">
        <f t="shared" si="60"/>
        <v>1</v>
      </c>
      <c r="H381" s="720"/>
      <c r="I381" s="24">
        <f t="shared" si="61"/>
        <v>1</v>
      </c>
      <c r="J381" s="720"/>
      <c r="K381" s="24">
        <f t="shared" si="62"/>
        <v>1</v>
      </c>
      <c r="L381" s="720"/>
      <c r="M381" s="24">
        <f t="shared" si="63"/>
        <v>1</v>
      </c>
      <c r="N381" s="720"/>
      <c r="O381" s="24">
        <f t="shared" si="64"/>
        <v>1</v>
      </c>
      <c r="P381" s="720"/>
      <c r="Q381" s="24">
        <f t="shared" si="65"/>
        <v>1</v>
      </c>
      <c r="R381" s="716">
        <f t="shared" si="66"/>
        <v>0</v>
      </c>
      <c r="S381" s="361">
        <f t="shared" si="57"/>
        <v>0</v>
      </c>
    </row>
    <row r="382" spans="1:19">
      <c r="A382" s="159"/>
      <c r="B382" s="59"/>
      <c r="C382" s="24">
        <f t="shared" si="58"/>
        <v>1</v>
      </c>
      <c r="D382" s="720"/>
      <c r="E382" s="24">
        <f t="shared" si="59"/>
        <v>1</v>
      </c>
      <c r="F382" s="720"/>
      <c r="G382" s="24">
        <f t="shared" si="60"/>
        <v>1</v>
      </c>
      <c r="H382" s="720"/>
      <c r="I382" s="24">
        <f t="shared" si="61"/>
        <v>1</v>
      </c>
      <c r="J382" s="720"/>
      <c r="K382" s="24">
        <f t="shared" si="62"/>
        <v>1</v>
      </c>
      <c r="L382" s="720"/>
      <c r="M382" s="24">
        <f t="shared" si="63"/>
        <v>1</v>
      </c>
      <c r="N382" s="720"/>
      <c r="O382" s="24">
        <f t="shared" si="64"/>
        <v>1</v>
      </c>
      <c r="P382" s="720"/>
      <c r="Q382" s="24">
        <f t="shared" si="65"/>
        <v>1</v>
      </c>
      <c r="R382" s="716">
        <f t="shared" si="66"/>
        <v>0</v>
      </c>
      <c r="S382" s="361">
        <f t="shared" si="57"/>
        <v>0</v>
      </c>
    </row>
    <row r="383" spans="1:19">
      <c r="A383" s="159"/>
      <c r="B383" s="59"/>
      <c r="C383" s="24">
        <f t="shared" si="58"/>
        <v>1</v>
      </c>
      <c r="D383" s="720"/>
      <c r="E383" s="24">
        <f t="shared" si="59"/>
        <v>1</v>
      </c>
      <c r="F383" s="720"/>
      <c r="G383" s="24">
        <f t="shared" si="60"/>
        <v>1</v>
      </c>
      <c r="H383" s="720"/>
      <c r="I383" s="24">
        <f t="shared" si="61"/>
        <v>1</v>
      </c>
      <c r="J383" s="720"/>
      <c r="K383" s="24">
        <f t="shared" si="62"/>
        <v>1</v>
      </c>
      <c r="L383" s="720"/>
      <c r="M383" s="24">
        <f t="shared" si="63"/>
        <v>1</v>
      </c>
      <c r="N383" s="720"/>
      <c r="O383" s="24">
        <f t="shared" si="64"/>
        <v>1</v>
      </c>
      <c r="P383" s="720"/>
      <c r="Q383" s="24">
        <f t="shared" si="65"/>
        <v>1</v>
      </c>
      <c r="R383" s="716">
        <f t="shared" si="66"/>
        <v>0</v>
      </c>
      <c r="S383" s="361">
        <f t="shared" si="57"/>
        <v>0</v>
      </c>
    </row>
    <row r="384" spans="1:19">
      <c r="A384" s="159"/>
      <c r="B384" s="59"/>
      <c r="C384" s="24">
        <f t="shared" si="58"/>
        <v>1</v>
      </c>
      <c r="D384" s="720"/>
      <c r="E384" s="24">
        <f t="shared" si="59"/>
        <v>1</v>
      </c>
      <c r="F384" s="720"/>
      <c r="G384" s="24">
        <f t="shared" si="60"/>
        <v>1</v>
      </c>
      <c r="H384" s="720"/>
      <c r="I384" s="24">
        <f t="shared" si="61"/>
        <v>1</v>
      </c>
      <c r="J384" s="720"/>
      <c r="K384" s="24">
        <f t="shared" si="62"/>
        <v>1</v>
      </c>
      <c r="L384" s="720"/>
      <c r="M384" s="24">
        <f t="shared" si="63"/>
        <v>1</v>
      </c>
      <c r="N384" s="720"/>
      <c r="O384" s="24">
        <f t="shared" si="64"/>
        <v>1</v>
      </c>
      <c r="P384" s="720"/>
      <c r="Q384" s="24">
        <f t="shared" si="65"/>
        <v>1</v>
      </c>
      <c r="R384" s="716">
        <f t="shared" si="66"/>
        <v>0</v>
      </c>
      <c r="S384" s="361">
        <f t="shared" si="57"/>
        <v>0</v>
      </c>
    </row>
    <row r="385" spans="1:19">
      <c r="A385" s="159"/>
      <c r="B385" s="59"/>
      <c r="C385" s="24">
        <f t="shared" si="58"/>
        <v>1</v>
      </c>
      <c r="D385" s="720"/>
      <c r="E385" s="24">
        <f t="shared" si="59"/>
        <v>1</v>
      </c>
      <c r="F385" s="720"/>
      <c r="G385" s="24">
        <f t="shared" si="60"/>
        <v>1</v>
      </c>
      <c r="H385" s="720"/>
      <c r="I385" s="24">
        <f t="shared" si="61"/>
        <v>1</v>
      </c>
      <c r="J385" s="720"/>
      <c r="K385" s="24">
        <f t="shared" si="62"/>
        <v>1</v>
      </c>
      <c r="L385" s="720"/>
      <c r="M385" s="24">
        <f t="shared" si="63"/>
        <v>1</v>
      </c>
      <c r="N385" s="720"/>
      <c r="O385" s="24">
        <f t="shared" si="64"/>
        <v>1</v>
      </c>
      <c r="P385" s="720"/>
      <c r="Q385" s="24">
        <f t="shared" si="65"/>
        <v>1</v>
      </c>
      <c r="R385" s="716">
        <f t="shared" si="66"/>
        <v>0</v>
      </c>
      <c r="S385" s="361">
        <f t="shared" si="57"/>
        <v>0</v>
      </c>
    </row>
    <row r="386" spans="1:19">
      <c r="A386" s="159"/>
      <c r="B386" s="59"/>
      <c r="C386" s="24">
        <f t="shared" si="58"/>
        <v>1</v>
      </c>
      <c r="D386" s="720"/>
      <c r="E386" s="24">
        <f t="shared" si="59"/>
        <v>1</v>
      </c>
      <c r="F386" s="720"/>
      <c r="G386" s="24">
        <f t="shared" si="60"/>
        <v>1</v>
      </c>
      <c r="H386" s="720"/>
      <c r="I386" s="24">
        <f t="shared" si="61"/>
        <v>1</v>
      </c>
      <c r="J386" s="720"/>
      <c r="K386" s="24">
        <f t="shared" si="62"/>
        <v>1</v>
      </c>
      <c r="L386" s="720"/>
      <c r="M386" s="24">
        <f t="shared" si="63"/>
        <v>1</v>
      </c>
      <c r="N386" s="720"/>
      <c r="O386" s="24">
        <f t="shared" si="64"/>
        <v>1</v>
      </c>
      <c r="P386" s="720"/>
      <c r="Q386" s="24">
        <f t="shared" si="65"/>
        <v>1</v>
      </c>
      <c r="R386" s="716">
        <f t="shared" si="66"/>
        <v>0</v>
      </c>
      <c r="S386" s="361">
        <f t="shared" si="57"/>
        <v>0</v>
      </c>
    </row>
    <row r="387" spans="1:19">
      <c r="A387" s="159"/>
      <c r="B387" s="59"/>
      <c r="C387" s="24">
        <f t="shared" si="58"/>
        <v>1</v>
      </c>
      <c r="D387" s="720"/>
      <c r="E387" s="24">
        <f t="shared" si="59"/>
        <v>1</v>
      </c>
      <c r="F387" s="720"/>
      <c r="G387" s="24">
        <f t="shared" si="60"/>
        <v>1</v>
      </c>
      <c r="H387" s="720"/>
      <c r="I387" s="24">
        <f t="shared" si="61"/>
        <v>1</v>
      </c>
      <c r="J387" s="720"/>
      <c r="K387" s="24">
        <f t="shared" si="62"/>
        <v>1</v>
      </c>
      <c r="L387" s="720"/>
      <c r="M387" s="24">
        <f t="shared" si="63"/>
        <v>1</v>
      </c>
      <c r="N387" s="720"/>
      <c r="O387" s="24">
        <f t="shared" si="64"/>
        <v>1</v>
      </c>
      <c r="P387" s="720"/>
      <c r="Q387" s="24">
        <f t="shared" si="65"/>
        <v>1</v>
      </c>
      <c r="R387" s="716">
        <f t="shared" si="66"/>
        <v>0</v>
      </c>
      <c r="S387" s="361">
        <f t="shared" si="57"/>
        <v>0</v>
      </c>
    </row>
    <row r="388" spans="1:19">
      <c r="A388" s="159"/>
      <c r="B388" s="59"/>
      <c r="C388" s="24">
        <f t="shared" si="58"/>
        <v>1</v>
      </c>
      <c r="D388" s="720"/>
      <c r="E388" s="24">
        <f t="shared" si="59"/>
        <v>1</v>
      </c>
      <c r="F388" s="720"/>
      <c r="G388" s="24">
        <f t="shared" si="60"/>
        <v>1</v>
      </c>
      <c r="H388" s="720"/>
      <c r="I388" s="24">
        <f t="shared" si="61"/>
        <v>1</v>
      </c>
      <c r="J388" s="720"/>
      <c r="K388" s="24">
        <f t="shared" si="62"/>
        <v>1</v>
      </c>
      <c r="L388" s="720"/>
      <c r="M388" s="24">
        <f t="shared" si="63"/>
        <v>1</v>
      </c>
      <c r="N388" s="720"/>
      <c r="O388" s="24">
        <f t="shared" si="64"/>
        <v>1</v>
      </c>
      <c r="P388" s="720"/>
      <c r="Q388" s="24">
        <f t="shared" si="65"/>
        <v>1</v>
      </c>
      <c r="R388" s="716">
        <f t="shared" si="66"/>
        <v>0</v>
      </c>
      <c r="S388" s="361">
        <f t="shared" si="57"/>
        <v>0</v>
      </c>
    </row>
    <row r="389" spans="1:19">
      <c r="A389" s="159"/>
      <c r="B389" s="59"/>
      <c r="C389" s="24">
        <f t="shared" si="58"/>
        <v>1</v>
      </c>
      <c r="D389" s="720"/>
      <c r="E389" s="24">
        <f t="shared" si="59"/>
        <v>1</v>
      </c>
      <c r="F389" s="720"/>
      <c r="G389" s="24">
        <f t="shared" si="60"/>
        <v>1</v>
      </c>
      <c r="H389" s="720"/>
      <c r="I389" s="24">
        <f t="shared" si="61"/>
        <v>1</v>
      </c>
      <c r="J389" s="720"/>
      <c r="K389" s="24">
        <f t="shared" si="62"/>
        <v>1</v>
      </c>
      <c r="L389" s="720"/>
      <c r="M389" s="24">
        <f t="shared" si="63"/>
        <v>1</v>
      </c>
      <c r="N389" s="720"/>
      <c r="O389" s="24">
        <f t="shared" si="64"/>
        <v>1</v>
      </c>
      <c r="P389" s="720"/>
      <c r="Q389" s="24">
        <f t="shared" si="65"/>
        <v>1</v>
      </c>
      <c r="R389" s="716">
        <f t="shared" si="66"/>
        <v>0</v>
      </c>
      <c r="S389" s="361">
        <f t="shared" si="57"/>
        <v>0</v>
      </c>
    </row>
    <row r="390" spans="1:19">
      <c r="A390" s="159"/>
      <c r="B390" s="59"/>
      <c r="C390" s="24">
        <f t="shared" si="58"/>
        <v>1</v>
      </c>
      <c r="D390" s="720"/>
      <c r="E390" s="24">
        <f t="shared" si="59"/>
        <v>1</v>
      </c>
      <c r="F390" s="720"/>
      <c r="G390" s="24">
        <f t="shared" si="60"/>
        <v>1</v>
      </c>
      <c r="H390" s="720"/>
      <c r="I390" s="24">
        <f t="shared" si="61"/>
        <v>1</v>
      </c>
      <c r="J390" s="720"/>
      <c r="K390" s="24">
        <f t="shared" si="62"/>
        <v>1</v>
      </c>
      <c r="L390" s="720"/>
      <c r="M390" s="24">
        <f t="shared" si="63"/>
        <v>1</v>
      </c>
      <c r="N390" s="720"/>
      <c r="O390" s="24">
        <f t="shared" si="64"/>
        <v>1</v>
      </c>
      <c r="P390" s="720"/>
      <c r="Q390" s="24">
        <f t="shared" si="65"/>
        <v>1</v>
      </c>
      <c r="R390" s="716">
        <f t="shared" si="66"/>
        <v>0</v>
      </c>
      <c r="S390" s="361">
        <f t="shared" si="57"/>
        <v>0</v>
      </c>
    </row>
    <row r="391" spans="1:19">
      <c r="A391" s="159"/>
      <c r="B391" s="59"/>
      <c r="C391" s="24">
        <f t="shared" si="58"/>
        <v>1</v>
      </c>
      <c r="D391" s="720"/>
      <c r="E391" s="24">
        <f t="shared" si="59"/>
        <v>1</v>
      </c>
      <c r="F391" s="720"/>
      <c r="G391" s="24">
        <f t="shared" si="60"/>
        <v>1</v>
      </c>
      <c r="H391" s="720"/>
      <c r="I391" s="24">
        <f t="shared" si="61"/>
        <v>1</v>
      </c>
      <c r="J391" s="720"/>
      <c r="K391" s="24">
        <f t="shared" si="62"/>
        <v>1</v>
      </c>
      <c r="L391" s="720"/>
      <c r="M391" s="24">
        <f t="shared" si="63"/>
        <v>1</v>
      </c>
      <c r="N391" s="720"/>
      <c r="O391" s="24">
        <f t="shared" si="64"/>
        <v>1</v>
      </c>
      <c r="P391" s="720"/>
      <c r="Q391" s="24">
        <f t="shared" si="65"/>
        <v>1</v>
      </c>
      <c r="R391" s="716">
        <f t="shared" si="66"/>
        <v>0</v>
      </c>
      <c r="S391" s="361">
        <f t="shared" si="57"/>
        <v>0</v>
      </c>
    </row>
    <row r="392" spans="1:19">
      <c r="A392" s="159"/>
      <c r="B392" s="59"/>
      <c r="C392" s="24">
        <f t="shared" si="58"/>
        <v>1</v>
      </c>
      <c r="D392" s="720"/>
      <c r="E392" s="24">
        <f t="shared" si="59"/>
        <v>1</v>
      </c>
      <c r="F392" s="720"/>
      <c r="G392" s="24">
        <f t="shared" si="60"/>
        <v>1</v>
      </c>
      <c r="H392" s="720"/>
      <c r="I392" s="24">
        <f t="shared" si="61"/>
        <v>1</v>
      </c>
      <c r="J392" s="720"/>
      <c r="K392" s="24">
        <f t="shared" si="62"/>
        <v>1</v>
      </c>
      <c r="L392" s="720"/>
      <c r="M392" s="24">
        <f t="shared" si="63"/>
        <v>1</v>
      </c>
      <c r="N392" s="720"/>
      <c r="O392" s="24">
        <f t="shared" si="64"/>
        <v>1</v>
      </c>
      <c r="P392" s="720"/>
      <c r="Q392" s="24">
        <f t="shared" si="65"/>
        <v>1</v>
      </c>
      <c r="R392" s="716">
        <f t="shared" si="66"/>
        <v>0</v>
      </c>
      <c r="S392" s="361">
        <f t="shared" si="57"/>
        <v>0</v>
      </c>
    </row>
    <row r="393" spans="1:19">
      <c r="A393" s="159"/>
      <c r="B393" s="59"/>
      <c r="C393" s="24">
        <f t="shared" si="58"/>
        <v>1</v>
      </c>
      <c r="D393" s="720"/>
      <c r="E393" s="24">
        <f t="shared" si="59"/>
        <v>1</v>
      </c>
      <c r="F393" s="720"/>
      <c r="G393" s="24">
        <f t="shared" si="60"/>
        <v>1</v>
      </c>
      <c r="H393" s="720"/>
      <c r="I393" s="24">
        <f t="shared" si="61"/>
        <v>1</v>
      </c>
      <c r="J393" s="720"/>
      <c r="K393" s="24">
        <f t="shared" si="62"/>
        <v>1</v>
      </c>
      <c r="L393" s="720"/>
      <c r="M393" s="24">
        <f t="shared" si="63"/>
        <v>1</v>
      </c>
      <c r="N393" s="720"/>
      <c r="O393" s="24">
        <f t="shared" si="64"/>
        <v>1</v>
      </c>
      <c r="P393" s="720"/>
      <c r="Q393" s="24">
        <f t="shared" si="65"/>
        <v>1</v>
      </c>
      <c r="R393" s="716">
        <f t="shared" si="66"/>
        <v>0</v>
      </c>
      <c r="S393" s="361">
        <f t="shared" si="57"/>
        <v>0</v>
      </c>
    </row>
    <row r="394" spans="1:19">
      <c r="A394" s="159"/>
      <c r="B394" s="59"/>
      <c r="C394" s="24">
        <f t="shared" si="58"/>
        <v>1</v>
      </c>
      <c r="D394" s="720"/>
      <c r="E394" s="24">
        <f t="shared" si="59"/>
        <v>1</v>
      </c>
      <c r="F394" s="720"/>
      <c r="G394" s="24">
        <f t="shared" si="60"/>
        <v>1</v>
      </c>
      <c r="H394" s="720"/>
      <c r="I394" s="24">
        <f t="shared" si="61"/>
        <v>1</v>
      </c>
      <c r="J394" s="720"/>
      <c r="K394" s="24">
        <f t="shared" si="62"/>
        <v>1</v>
      </c>
      <c r="L394" s="720"/>
      <c r="M394" s="24">
        <f t="shared" si="63"/>
        <v>1</v>
      </c>
      <c r="N394" s="720"/>
      <c r="O394" s="24">
        <f t="shared" si="64"/>
        <v>1</v>
      </c>
      <c r="P394" s="720"/>
      <c r="Q394" s="24">
        <f t="shared" si="65"/>
        <v>1</v>
      </c>
      <c r="R394" s="716">
        <f t="shared" si="66"/>
        <v>0</v>
      </c>
      <c r="S394" s="361">
        <f t="shared" si="57"/>
        <v>0</v>
      </c>
    </row>
    <row r="395" spans="1:19">
      <c r="A395" s="159"/>
      <c r="B395" s="59"/>
      <c r="C395" s="24">
        <f t="shared" si="58"/>
        <v>1</v>
      </c>
      <c r="D395" s="720"/>
      <c r="E395" s="24">
        <f t="shared" si="59"/>
        <v>1</v>
      </c>
      <c r="F395" s="720"/>
      <c r="G395" s="24">
        <f t="shared" si="60"/>
        <v>1</v>
      </c>
      <c r="H395" s="720"/>
      <c r="I395" s="24">
        <f t="shared" si="61"/>
        <v>1</v>
      </c>
      <c r="J395" s="720"/>
      <c r="K395" s="24">
        <f t="shared" si="62"/>
        <v>1</v>
      </c>
      <c r="L395" s="720"/>
      <c r="M395" s="24">
        <f t="shared" si="63"/>
        <v>1</v>
      </c>
      <c r="N395" s="720"/>
      <c r="O395" s="24">
        <f t="shared" si="64"/>
        <v>1</v>
      </c>
      <c r="P395" s="720"/>
      <c r="Q395" s="24">
        <f t="shared" si="65"/>
        <v>1</v>
      </c>
      <c r="R395" s="716">
        <f t="shared" si="66"/>
        <v>0</v>
      </c>
      <c r="S395" s="361">
        <f t="shared" si="57"/>
        <v>0</v>
      </c>
    </row>
    <row r="396" spans="1:19">
      <c r="A396" s="159"/>
      <c r="B396" s="59"/>
      <c r="C396" s="24">
        <f t="shared" si="58"/>
        <v>1</v>
      </c>
      <c r="D396" s="720"/>
      <c r="E396" s="24">
        <f t="shared" si="59"/>
        <v>1</v>
      </c>
      <c r="F396" s="720"/>
      <c r="G396" s="24">
        <f t="shared" si="60"/>
        <v>1</v>
      </c>
      <c r="H396" s="720"/>
      <c r="I396" s="24">
        <f t="shared" si="61"/>
        <v>1</v>
      </c>
      <c r="J396" s="720"/>
      <c r="K396" s="24">
        <f t="shared" si="62"/>
        <v>1</v>
      </c>
      <c r="L396" s="720"/>
      <c r="M396" s="24">
        <f t="shared" si="63"/>
        <v>1</v>
      </c>
      <c r="N396" s="720"/>
      <c r="O396" s="24">
        <f t="shared" si="64"/>
        <v>1</v>
      </c>
      <c r="P396" s="720"/>
      <c r="Q396" s="24">
        <f t="shared" si="65"/>
        <v>1</v>
      </c>
      <c r="R396" s="716">
        <f t="shared" si="66"/>
        <v>0</v>
      </c>
      <c r="S396" s="361">
        <f t="shared" si="57"/>
        <v>0</v>
      </c>
    </row>
    <row r="397" spans="1:19">
      <c r="A397" s="159"/>
      <c r="B397" s="59"/>
      <c r="C397" s="24">
        <f t="shared" si="58"/>
        <v>1</v>
      </c>
      <c r="D397" s="720"/>
      <c r="E397" s="24">
        <f t="shared" si="59"/>
        <v>1</v>
      </c>
      <c r="F397" s="720"/>
      <c r="G397" s="24">
        <f t="shared" si="60"/>
        <v>1</v>
      </c>
      <c r="H397" s="720"/>
      <c r="I397" s="24">
        <f t="shared" si="61"/>
        <v>1</v>
      </c>
      <c r="J397" s="720"/>
      <c r="K397" s="24">
        <f t="shared" si="62"/>
        <v>1</v>
      </c>
      <c r="L397" s="720"/>
      <c r="M397" s="24">
        <f t="shared" si="63"/>
        <v>1</v>
      </c>
      <c r="N397" s="720"/>
      <c r="O397" s="24">
        <f t="shared" si="64"/>
        <v>1</v>
      </c>
      <c r="P397" s="720"/>
      <c r="Q397" s="24">
        <f t="shared" si="65"/>
        <v>1</v>
      </c>
      <c r="R397" s="716">
        <f t="shared" si="66"/>
        <v>0</v>
      </c>
      <c r="S397" s="361">
        <f t="shared" si="57"/>
        <v>0</v>
      </c>
    </row>
    <row r="398" spans="1:19">
      <c r="A398" s="159"/>
      <c r="B398" s="59"/>
      <c r="C398" s="24">
        <f t="shared" si="58"/>
        <v>1</v>
      </c>
      <c r="D398" s="720"/>
      <c r="E398" s="24">
        <f t="shared" si="59"/>
        <v>1</v>
      </c>
      <c r="F398" s="720"/>
      <c r="G398" s="24">
        <f t="shared" si="60"/>
        <v>1</v>
      </c>
      <c r="H398" s="720"/>
      <c r="I398" s="24">
        <f t="shared" si="61"/>
        <v>1</v>
      </c>
      <c r="J398" s="720"/>
      <c r="K398" s="24">
        <f t="shared" si="62"/>
        <v>1</v>
      </c>
      <c r="L398" s="720"/>
      <c r="M398" s="24">
        <f t="shared" si="63"/>
        <v>1</v>
      </c>
      <c r="N398" s="720"/>
      <c r="O398" s="24">
        <f t="shared" si="64"/>
        <v>1</v>
      </c>
      <c r="P398" s="720"/>
      <c r="Q398" s="24">
        <f t="shared" si="65"/>
        <v>1</v>
      </c>
      <c r="R398" s="716">
        <f t="shared" si="66"/>
        <v>0</v>
      </c>
      <c r="S398" s="361">
        <f t="shared" si="57"/>
        <v>0</v>
      </c>
    </row>
    <row r="399" spans="1:19">
      <c r="A399" s="159"/>
      <c r="B399" s="59"/>
      <c r="C399" s="24">
        <f t="shared" si="58"/>
        <v>1</v>
      </c>
      <c r="D399" s="720"/>
      <c r="E399" s="24">
        <f t="shared" si="59"/>
        <v>1</v>
      </c>
      <c r="F399" s="720"/>
      <c r="G399" s="24">
        <f t="shared" si="60"/>
        <v>1</v>
      </c>
      <c r="H399" s="720"/>
      <c r="I399" s="24">
        <f t="shared" si="61"/>
        <v>1</v>
      </c>
      <c r="J399" s="720"/>
      <c r="K399" s="24">
        <f t="shared" si="62"/>
        <v>1</v>
      </c>
      <c r="L399" s="720"/>
      <c r="M399" s="24">
        <f t="shared" si="63"/>
        <v>1</v>
      </c>
      <c r="N399" s="720"/>
      <c r="O399" s="24">
        <f t="shared" si="64"/>
        <v>1</v>
      </c>
      <c r="P399" s="720"/>
      <c r="Q399" s="24">
        <f t="shared" si="65"/>
        <v>1</v>
      </c>
      <c r="R399" s="716">
        <f t="shared" si="66"/>
        <v>0</v>
      </c>
      <c r="S399" s="361">
        <f t="shared" si="57"/>
        <v>0</v>
      </c>
    </row>
    <row r="400" spans="1:19">
      <c r="A400" s="159"/>
      <c r="B400" s="59"/>
      <c r="C400" s="24">
        <f t="shared" si="58"/>
        <v>1</v>
      </c>
      <c r="D400" s="720"/>
      <c r="E400" s="24">
        <f t="shared" si="59"/>
        <v>1</v>
      </c>
      <c r="F400" s="720"/>
      <c r="G400" s="24">
        <f t="shared" si="60"/>
        <v>1</v>
      </c>
      <c r="H400" s="720"/>
      <c r="I400" s="24">
        <f t="shared" si="61"/>
        <v>1</v>
      </c>
      <c r="J400" s="720"/>
      <c r="K400" s="24">
        <f t="shared" si="62"/>
        <v>1</v>
      </c>
      <c r="L400" s="720"/>
      <c r="M400" s="24">
        <f t="shared" si="63"/>
        <v>1</v>
      </c>
      <c r="N400" s="720"/>
      <c r="O400" s="24">
        <f t="shared" si="64"/>
        <v>1</v>
      </c>
      <c r="P400" s="720"/>
      <c r="Q400" s="24">
        <f t="shared" si="65"/>
        <v>1</v>
      </c>
      <c r="R400" s="716">
        <f t="shared" si="66"/>
        <v>0</v>
      </c>
      <c r="S400" s="361">
        <f t="shared" si="57"/>
        <v>0</v>
      </c>
    </row>
    <row r="401" spans="1:19">
      <c r="A401" s="159"/>
      <c r="B401" s="59"/>
      <c r="C401" s="24">
        <f t="shared" si="58"/>
        <v>1</v>
      </c>
      <c r="D401" s="720"/>
      <c r="E401" s="24">
        <f t="shared" si="59"/>
        <v>1</v>
      </c>
      <c r="F401" s="720"/>
      <c r="G401" s="24">
        <f t="shared" si="60"/>
        <v>1</v>
      </c>
      <c r="H401" s="720"/>
      <c r="I401" s="24">
        <f t="shared" si="61"/>
        <v>1</v>
      </c>
      <c r="J401" s="720"/>
      <c r="K401" s="24">
        <f t="shared" si="62"/>
        <v>1</v>
      </c>
      <c r="L401" s="720"/>
      <c r="M401" s="24">
        <f t="shared" si="63"/>
        <v>1</v>
      </c>
      <c r="N401" s="720"/>
      <c r="O401" s="24">
        <f t="shared" si="64"/>
        <v>1</v>
      </c>
      <c r="P401" s="720"/>
      <c r="Q401" s="24">
        <f t="shared" si="65"/>
        <v>1</v>
      </c>
      <c r="R401" s="716">
        <f t="shared" si="66"/>
        <v>0</v>
      </c>
      <c r="S401" s="361">
        <f t="shared" si="57"/>
        <v>0</v>
      </c>
    </row>
    <row r="402" spans="1:19">
      <c r="A402" s="159"/>
      <c r="B402" s="59"/>
      <c r="C402" s="24">
        <f t="shared" si="58"/>
        <v>1</v>
      </c>
      <c r="D402" s="720"/>
      <c r="E402" s="24">
        <f t="shared" si="59"/>
        <v>1</v>
      </c>
      <c r="F402" s="720"/>
      <c r="G402" s="24">
        <f t="shared" si="60"/>
        <v>1</v>
      </c>
      <c r="H402" s="720"/>
      <c r="I402" s="24">
        <f t="shared" si="61"/>
        <v>1</v>
      </c>
      <c r="J402" s="720"/>
      <c r="K402" s="24">
        <f t="shared" si="62"/>
        <v>1</v>
      </c>
      <c r="L402" s="720"/>
      <c r="M402" s="24">
        <f t="shared" si="63"/>
        <v>1</v>
      </c>
      <c r="N402" s="720"/>
      <c r="O402" s="24">
        <f t="shared" si="64"/>
        <v>1</v>
      </c>
      <c r="P402" s="720"/>
      <c r="Q402" s="24">
        <f t="shared" si="65"/>
        <v>1</v>
      </c>
      <c r="R402" s="716">
        <f t="shared" si="66"/>
        <v>0</v>
      </c>
      <c r="S402" s="361">
        <f t="shared" si="57"/>
        <v>0</v>
      </c>
    </row>
    <row r="403" spans="1:19">
      <c r="A403" s="159"/>
      <c r="B403" s="59"/>
      <c r="C403" s="24">
        <f t="shared" si="58"/>
        <v>1</v>
      </c>
      <c r="D403" s="720"/>
      <c r="E403" s="24">
        <f t="shared" si="59"/>
        <v>1</v>
      </c>
      <c r="F403" s="720"/>
      <c r="G403" s="24">
        <f t="shared" si="60"/>
        <v>1</v>
      </c>
      <c r="H403" s="720"/>
      <c r="I403" s="24">
        <f t="shared" si="61"/>
        <v>1</v>
      </c>
      <c r="J403" s="720"/>
      <c r="K403" s="24">
        <f t="shared" si="62"/>
        <v>1</v>
      </c>
      <c r="L403" s="720"/>
      <c r="M403" s="24">
        <f t="shared" si="63"/>
        <v>1</v>
      </c>
      <c r="N403" s="720"/>
      <c r="O403" s="24">
        <f t="shared" si="64"/>
        <v>1</v>
      </c>
      <c r="P403" s="720"/>
      <c r="Q403" s="24">
        <f t="shared" si="65"/>
        <v>1</v>
      </c>
      <c r="R403" s="716">
        <f t="shared" si="66"/>
        <v>0</v>
      </c>
      <c r="S403" s="361">
        <f t="shared" si="57"/>
        <v>0</v>
      </c>
    </row>
    <row r="404" spans="1:19">
      <c r="A404" s="159"/>
      <c r="B404" s="59"/>
      <c r="C404" s="24">
        <f t="shared" si="58"/>
        <v>1</v>
      </c>
      <c r="D404" s="720"/>
      <c r="E404" s="24">
        <f t="shared" si="59"/>
        <v>1</v>
      </c>
      <c r="F404" s="720"/>
      <c r="G404" s="24">
        <f t="shared" si="60"/>
        <v>1</v>
      </c>
      <c r="H404" s="720"/>
      <c r="I404" s="24">
        <f t="shared" si="61"/>
        <v>1</v>
      </c>
      <c r="J404" s="720"/>
      <c r="K404" s="24">
        <f t="shared" si="62"/>
        <v>1</v>
      </c>
      <c r="L404" s="720"/>
      <c r="M404" s="24">
        <f t="shared" si="63"/>
        <v>1</v>
      </c>
      <c r="N404" s="720"/>
      <c r="O404" s="24">
        <f t="shared" si="64"/>
        <v>1</v>
      </c>
      <c r="P404" s="720"/>
      <c r="Q404" s="24">
        <f t="shared" si="65"/>
        <v>1</v>
      </c>
      <c r="R404" s="716">
        <f t="shared" si="66"/>
        <v>0</v>
      </c>
      <c r="S404" s="361">
        <f t="shared" si="57"/>
        <v>0</v>
      </c>
    </row>
    <row r="405" spans="1:19">
      <c r="A405" s="159"/>
      <c r="B405" s="59"/>
      <c r="C405" s="24">
        <f t="shared" si="58"/>
        <v>1</v>
      </c>
      <c r="D405" s="720"/>
      <c r="E405" s="24">
        <f t="shared" si="59"/>
        <v>1</v>
      </c>
      <c r="F405" s="720"/>
      <c r="G405" s="24">
        <f t="shared" si="60"/>
        <v>1</v>
      </c>
      <c r="H405" s="720"/>
      <c r="I405" s="24">
        <f t="shared" si="61"/>
        <v>1</v>
      </c>
      <c r="J405" s="720"/>
      <c r="K405" s="24">
        <f t="shared" si="62"/>
        <v>1</v>
      </c>
      <c r="L405" s="720"/>
      <c r="M405" s="24">
        <f t="shared" si="63"/>
        <v>1</v>
      </c>
      <c r="N405" s="720"/>
      <c r="O405" s="24">
        <f t="shared" si="64"/>
        <v>1</v>
      </c>
      <c r="P405" s="720"/>
      <c r="Q405" s="24">
        <f t="shared" si="65"/>
        <v>1</v>
      </c>
      <c r="R405" s="716">
        <f t="shared" si="66"/>
        <v>0</v>
      </c>
      <c r="S405" s="361">
        <f t="shared" si="57"/>
        <v>0</v>
      </c>
    </row>
    <row r="406" spans="1:19">
      <c r="A406" s="159"/>
      <c r="B406" s="59"/>
      <c r="C406" s="24">
        <f t="shared" si="58"/>
        <v>1</v>
      </c>
      <c r="D406" s="720"/>
      <c r="E406" s="24">
        <f t="shared" si="59"/>
        <v>1</v>
      </c>
      <c r="F406" s="720"/>
      <c r="G406" s="24">
        <f t="shared" si="60"/>
        <v>1</v>
      </c>
      <c r="H406" s="720"/>
      <c r="I406" s="24">
        <f t="shared" si="61"/>
        <v>1</v>
      </c>
      <c r="J406" s="720"/>
      <c r="K406" s="24">
        <f t="shared" si="62"/>
        <v>1</v>
      </c>
      <c r="L406" s="720"/>
      <c r="M406" s="24">
        <f t="shared" si="63"/>
        <v>1</v>
      </c>
      <c r="N406" s="720"/>
      <c r="O406" s="24">
        <f t="shared" si="64"/>
        <v>1</v>
      </c>
      <c r="P406" s="720"/>
      <c r="Q406" s="24">
        <f t="shared" si="65"/>
        <v>1</v>
      </c>
      <c r="R406" s="716">
        <f t="shared" si="66"/>
        <v>0</v>
      </c>
      <c r="S406" s="361">
        <f t="shared" si="57"/>
        <v>0</v>
      </c>
    </row>
    <row r="407" spans="1:19">
      <c r="A407" s="159"/>
      <c r="B407" s="59"/>
      <c r="C407" s="24">
        <f t="shared" si="58"/>
        <v>1</v>
      </c>
      <c r="D407" s="720"/>
      <c r="E407" s="24">
        <f t="shared" si="59"/>
        <v>1</v>
      </c>
      <c r="F407" s="720"/>
      <c r="G407" s="24">
        <f t="shared" si="60"/>
        <v>1</v>
      </c>
      <c r="H407" s="720"/>
      <c r="I407" s="24">
        <f t="shared" si="61"/>
        <v>1</v>
      </c>
      <c r="J407" s="720"/>
      <c r="K407" s="24">
        <f t="shared" si="62"/>
        <v>1</v>
      </c>
      <c r="L407" s="720"/>
      <c r="M407" s="24">
        <f t="shared" si="63"/>
        <v>1</v>
      </c>
      <c r="N407" s="720"/>
      <c r="O407" s="24">
        <f t="shared" si="64"/>
        <v>1</v>
      </c>
      <c r="P407" s="720"/>
      <c r="Q407" s="24">
        <f t="shared" si="65"/>
        <v>1</v>
      </c>
      <c r="R407" s="716">
        <f t="shared" si="66"/>
        <v>0</v>
      </c>
      <c r="S407" s="361">
        <f t="shared" si="57"/>
        <v>0</v>
      </c>
    </row>
    <row r="408" spans="1:19">
      <c r="A408" s="159"/>
      <c r="B408" s="59"/>
      <c r="C408" s="24">
        <f t="shared" si="58"/>
        <v>1</v>
      </c>
      <c r="D408" s="720"/>
      <c r="E408" s="24">
        <f t="shared" si="59"/>
        <v>1</v>
      </c>
      <c r="F408" s="720"/>
      <c r="G408" s="24">
        <f t="shared" si="60"/>
        <v>1</v>
      </c>
      <c r="H408" s="720"/>
      <c r="I408" s="24">
        <f t="shared" si="61"/>
        <v>1</v>
      </c>
      <c r="J408" s="720"/>
      <c r="K408" s="24">
        <f t="shared" si="62"/>
        <v>1</v>
      </c>
      <c r="L408" s="720"/>
      <c r="M408" s="24">
        <f t="shared" si="63"/>
        <v>1</v>
      </c>
      <c r="N408" s="720"/>
      <c r="O408" s="24">
        <f t="shared" si="64"/>
        <v>1</v>
      </c>
      <c r="P408" s="720"/>
      <c r="Q408" s="24">
        <f t="shared" si="65"/>
        <v>1</v>
      </c>
      <c r="R408" s="716">
        <f t="shared" si="66"/>
        <v>0</v>
      </c>
      <c r="S408" s="361">
        <f t="shared" ref="S408:S471" si="67">ROUND(R408*B408/10000,0)</f>
        <v>0</v>
      </c>
    </row>
    <row r="409" spans="1:19">
      <c r="A409" s="159"/>
      <c r="B409" s="59"/>
      <c r="C409" s="24">
        <f t="shared" si="58"/>
        <v>1</v>
      </c>
      <c r="D409" s="720"/>
      <c r="E409" s="24">
        <f t="shared" si="59"/>
        <v>1</v>
      </c>
      <c r="F409" s="720"/>
      <c r="G409" s="24">
        <f t="shared" si="60"/>
        <v>1</v>
      </c>
      <c r="H409" s="720"/>
      <c r="I409" s="24">
        <f t="shared" si="61"/>
        <v>1</v>
      </c>
      <c r="J409" s="720"/>
      <c r="K409" s="24">
        <f t="shared" si="62"/>
        <v>1</v>
      </c>
      <c r="L409" s="720"/>
      <c r="M409" s="24">
        <f t="shared" si="63"/>
        <v>1</v>
      </c>
      <c r="N409" s="720"/>
      <c r="O409" s="24">
        <f t="shared" si="64"/>
        <v>1</v>
      </c>
      <c r="P409" s="720"/>
      <c r="Q409" s="24">
        <f t="shared" si="65"/>
        <v>1</v>
      </c>
      <c r="R409" s="716">
        <f t="shared" si="66"/>
        <v>0</v>
      </c>
      <c r="S409" s="361">
        <f t="shared" si="67"/>
        <v>0</v>
      </c>
    </row>
    <row r="410" spans="1:19">
      <c r="A410" s="159"/>
      <c r="B410" s="59"/>
      <c r="C410" s="24">
        <f t="shared" ref="C410:C473" si="68">IF(B410="",1,(LOOKUP(B410,$3:$3,$4:$4)-LOOKUP($B$24,$3:$3,$4:$4)+100)/100)</f>
        <v>1</v>
      </c>
      <c r="D410" s="720"/>
      <c r="E410" s="24">
        <f t="shared" ref="E410:E473" si="69">(SUMIF($5:$5,D410,$6:$6)-SUMIF($5:$5,$D$24,$6:$6)+100)/100</f>
        <v>1</v>
      </c>
      <c r="F410" s="720"/>
      <c r="G410" s="24">
        <f t="shared" ref="G410:G473" si="70">(SUMIF($7:$7,F410,$8:$8)-SUMIF($7:$7,$F$24,$8:$8)+100)/100</f>
        <v>1</v>
      </c>
      <c r="H410" s="720"/>
      <c r="I410" s="24">
        <f t="shared" ref="I410:I473" si="71">(SUMIF($9:$9,H410,$10:$10)-SUMIF($9:$9,$H$24,$10:$10)+100)/100</f>
        <v>1</v>
      </c>
      <c r="J410" s="720"/>
      <c r="K410" s="24">
        <f t="shared" ref="K410:K473" si="72">(SUMIF($11:$11,J410,$12:$12)-SUMIF($11:$11,$J$24,$12:$12)+100)/100</f>
        <v>1</v>
      </c>
      <c r="L410" s="720"/>
      <c r="M410" s="24">
        <f t="shared" ref="M410:M473" si="73">(SUMIF($13:$13,L410,$14:$14)-SUMIF($13:$13,$L$24,$14:$14)+100)/100</f>
        <v>1</v>
      </c>
      <c r="N410" s="720"/>
      <c r="O410" s="24">
        <f t="shared" ref="O410:O473" si="74">(SUMIF($15:$15,N410,$16:$16)-SUMIF($15:$15,$N$24,$16:$16)+100)/100</f>
        <v>1</v>
      </c>
      <c r="P410" s="720"/>
      <c r="Q410" s="24">
        <f t="shared" ref="Q410:Q473" si="75">(SUMIF($17:$17,P410,$18:$18)-SUMIF($17:$17,$P$24,$18:$18)+100)/100</f>
        <v>1</v>
      </c>
      <c r="R410" s="716">
        <f t="shared" ref="R410:R473" si="76">IF(B410="",0,ROUND($R$24*C410*E410*G410*I410*K410*M410*O410*Q410,0))</f>
        <v>0</v>
      </c>
      <c r="S410" s="361">
        <f t="shared" si="67"/>
        <v>0</v>
      </c>
    </row>
    <row r="411" spans="1:19">
      <c r="A411" s="159"/>
      <c r="B411" s="59"/>
      <c r="C411" s="24">
        <f t="shared" si="68"/>
        <v>1</v>
      </c>
      <c r="D411" s="720"/>
      <c r="E411" s="24">
        <f t="shared" si="69"/>
        <v>1</v>
      </c>
      <c r="F411" s="720"/>
      <c r="G411" s="24">
        <f t="shared" si="70"/>
        <v>1</v>
      </c>
      <c r="H411" s="720"/>
      <c r="I411" s="24">
        <f t="shared" si="71"/>
        <v>1</v>
      </c>
      <c r="J411" s="720"/>
      <c r="K411" s="24">
        <f t="shared" si="72"/>
        <v>1</v>
      </c>
      <c r="L411" s="720"/>
      <c r="M411" s="24">
        <f t="shared" si="73"/>
        <v>1</v>
      </c>
      <c r="N411" s="720"/>
      <c r="O411" s="24">
        <f t="shared" si="74"/>
        <v>1</v>
      </c>
      <c r="P411" s="720"/>
      <c r="Q411" s="24">
        <f t="shared" si="75"/>
        <v>1</v>
      </c>
      <c r="R411" s="716">
        <f t="shared" si="76"/>
        <v>0</v>
      </c>
      <c r="S411" s="361">
        <f t="shared" si="67"/>
        <v>0</v>
      </c>
    </row>
    <row r="412" spans="1:19">
      <c r="A412" s="159"/>
      <c r="B412" s="59"/>
      <c r="C412" s="24">
        <f t="shared" si="68"/>
        <v>1</v>
      </c>
      <c r="D412" s="720"/>
      <c r="E412" s="24">
        <f t="shared" si="69"/>
        <v>1</v>
      </c>
      <c r="F412" s="720"/>
      <c r="G412" s="24">
        <f t="shared" si="70"/>
        <v>1</v>
      </c>
      <c r="H412" s="720"/>
      <c r="I412" s="24">
        <f t="shared" si="71"/>
        <v>1</v>
      </c>
      <c r="J412" s="720"/>
      <c r="K412" s="24">
        <f t="shared" si="72"/>
        <v>1</v>
      </c>
      <c r="L412" s="720"/>
      <c r="M412" s="24">
        <f t="shared" si="73"/>
        <v>1</v>
      </c>
      <c r="N412" s="720"/>
      <c r="O412" s="24">
        <f t="shared" si="74"/>
        <v>1</v>
      </c>
      <c r="P412" s="720"/>
      <c r="Q412" s="24">
        <f t="shared" si="75"/>
        <v>1</v>
      </c>
      <c r="R412" s="716">
        <f t="shared" si="76"/>
        <v>0</v>
      </c>
      <c r="S412" s="361">
        <f t="shared" si="67"/>
        <v>0</v>
      </c>
    </row>
    <row r="413" spans="1:19">
      <c r="A413" s="159"/>
      <c r="B413" s="59"/>
      <c r="C413" s="24">
        <f t="shared" si="68"/>
        <v>1</v>
      </c>
      <c r="D413" s="720"/>
      <c r="E413" s="24">
        <f t="shared" si="69"/>
        <v>1</v>
      </c>
      <c r="F413" s="720"/>
      <c r="G413" s="24">
        <f t="shared" si="70"/>
        <v>1</v>
      </c>
      <c r="H413" s="720"/>
      <c r="I413" s="24">
        <f t="shared" si="71"/>
        <v>1</v>
      </c>
      <c r="J413" s="720"/>
      <c r="K413" s="24">
        <f t="shared" si="72"/>
        <v>1</v>
      </c>
      <c r="L413" s="720"/>
      <c r="M413" s="24">
        <f t="shared" si="73"/>
        <v>1</v>
      </c>
      <c r="N413" s="720"/>
      <c r="O413" s="24">
        <f t="shared" si="74"/>
        <v>1</v>
      </c>
      <c r="P413" s="720"/>
      <c r="Q413" s="24">
        <f t="shared" si="75"/>
        <v>1</v>
      </c>
      <c r="R413" s="716">
        <f t="shared" si="76"/>
        <v>0</v>
      </c>
      <c r="S413" s="361">
        <f t="shared" si="67"/>
        <v>0</v>
      </c>
    </row>
    <row r="414" spans="1:19">
      <c r="A414" s="159"/>
      <c r="B414" s="59"/>
      <c r="C414" s="24">
        <f t="shared" si="68"/>
        <v>1</v>
      </c>
      <c r="D414" s="720"/>
      <c r="E414" s="24">
        <f t="shared" si="69"/>
        <v>1</v>
      </c>
      <c r="F414" s="720"/>
      <c r="G414" s="24">
        <f t="shared" si="70"/>
        <v>1</v>
      </c>
      <c r="H414" s="720"/>
      <c r="I414" s="24">
        <f t="shared" si="71"/>
        <v>1</v>
      </c>
      <c r="J414" s="720"/>
      <c r="K414" s="24">
        <f t="shared" si="72"/>
        <v>1</v>
      </c>
      <c r="L414" s="720"/>
      <c r="M414" s="24">
        <f t="shared" si="73"/>
        <v>1</v>
      </c>
      <c r="N414" s="720"/>
      <c r="O414" s="24">
        <f t="shared" si="74"/>
        <v>1</v>
      </c>
      <c r="P414" s="720"/>
      <c r="Q414" s="24">
        <f t="shared" si="75"/>
        <v>1</v>
      </c>
      <c r="R414" s="716">
        <f t="shared" si="76"/>
        <v>0</v>
      </c>
      <c r="S414" s="361">
        <f t="shared" si="67"/>
        <v>0</v>
      </c>
    </row>
    <row r="415" spans="1:19">
      <c r="A415" s="159"/>
      <c r="B415" s="59"/>
      <c r="C415" s="24">
        <f t="shared" si="68"/>
        <v>1</v>
      </c>
      <c r="D415" s="720"/>
      <c r="E415" s="24">
        <f t="shared" si="69"/>
        <v>1</v>
      </c>
      <c r="F415" s="720"/>
      <c r="G415" s="24">
        <f t="shared" si="70"/>
        <v>1</v>
      </c>
      <c r="H415" s="720"/>
      <c r="I415" s="24">
        <f t="shared" si="71"/>
        <v>1</v>
      </c>
      <c r="J415" s="720"/>
      <c r="K415" s="24">
        <f t="shared" si="72"/>
        <v>1</v>
      </c>
      <c r="L415" s="720"/>
      <c r="M415" s="24">
        <f t="shared" si="73"/>
        <v>1</v>
      </c>
      <c r="N415" s="720"/>
      <c r="O415" s="24">
        <f t="shared" si="74"/>
        <v>1</v>
      </c>
      <c r="P415" s="720"/>
      <c r="Q415" s="24">
        <f t="shared" si="75"/>
        <v>1</v>
      </c>
      <c r="R415" s="716">
        <f t="shared" si="76"/>
        <v>0</v>
      </c>
      <c r="S415" s="361">
        <f t="shared" si="67"/>
        <v>0</v>
      </c>
    </row>
    <row r="416" spans="1:19">
      <c r="A416" s="159"/>
      <c r="B416" s="59"/>
      <c r="C416" s="24">
        <f t="shared" si="68"/>
        <v>1</v>
      </c>
      <c r="D416" s="720"/>
      <c r="E416" s="24">
        <f t="shared" si="69"/>
        <v>1</v>
      </c>
      <c r="F416" s="720"/>
      <c r="G416" s="24">
        <f t="shared" si="70"/>
        <v>1</v>
      </c>
      <c r="H416" s="720"/>
      <c r="I416" s="24">
        <f t="shared" si="71"/>
        <v>1</v>
      </c>
      <c r="J416" s="720"/>
      <c r="K416" s="24">
        <f t="shared" si="72"/>
        <v>1</v>
      </c>
      <c r="L416" s="720"/>
      <c r="M416" s="24">
        <f t="shared" si="73"/>
        <v>1</v>
      </c>
      <c r="N416" s="720"/>
      <c r="O416" s="24">
        <f t="shared" si="74"/>
        <v>1</v>
      </c>
      <c r="P416" s="720"/>
      <c r="Q416" s="24">
        <f t="shared" si="75"/>
        <v>1</v>
      </c>
      <c r="R416" s="716">
        <f t="shared" si="76"/>
        <v>0</v>
      </c>
      <c r="S416" s="361">
        <f t="shared" si="67"/>
        <v>0</v>
      </c>
    </row>
    <row r="417" spans="1:19">
      <c r="A417" s="159"/>
      <c r="B417" s="59"/>
      <c r="C417" s="24">
        <f t="shared" si="68"/>
        <v>1</v>
      </c>
      <c r="D417" s="720"/>
      <c r="E417" s="24">
        <f t="shared" si="69"/>
        <v>1</v>
      </c>
      <c r="F417" s="720"/>
      <c r="G417" s="24">
        <f t="shared" si="70"/>
        <v>1</v>
      </c>
      <c r="H417" s="720"/>
      <c r="I417" s="24">
        <f t="shared" si="71"/>
        <v>1</v>
      </c>
      <c r="J417" s="720"/>
      <c r="K417" s="24">
        <f t="shared" si="72"/>
        <v>1</v>
      </c>
      <c r="L417" s="720"/>
      <c r="M417" s="24">
        <f t="shared" si="73"/>
        <v>1</v>
      </c>
      <c r="N417" s="720"/>
      <c r="O417" s="24">
        <f t="shared" si="74"/>
        <v>1</v>
      </c>
      <c r="P417" s="720"/>
      <c r="Q417" s="24">
        <f t="shared" si="75"/>
        <v>1</v>
      </c>
      <c r="R417" s="716">
        <f t="shared" si="76"/>
        <v>0</v>
      </c>
      <c r="S417" s="361">
        <f t="shared" si="67"/>
        <v>0</v>
      </c>
    </row>
    <row r="418" spans="1:19">
      <c r="A418" s="159"/>
      <c r="B418" s="59"/>
      <c r="C418" s="24">
        <f t="shared" si="68"/>
        <v>1</v>
      </c>
      <c r="D418" s="720"/>
      <c r="E418" s="24">
        <f t="shared" si="69"/>
        <v>1</v>
      </c>
      <c r="F418" s="720"/>
      <c r="G418" s="24">
        <f t="shared" si="70"/>
        <v>1</v>
      </c>
      <c r="H418" s="720"/>
      <c r="I418" s="24">
        <f t="shared" si="71"/>
        <v>1</v>
      </c>
      <c r="J418" s="720"/>
      <c r="K418" s="24">
        <f t="shared" si="72"/>
        <v>1</v>
      </c>
      <c r="L418" s="720"/>
      <c r="M418" s="24">
        <f t="shared" si="73"/>
        <v>1</v>
      </c>
      <c r="N418" s="720"/>
      <c r="O418" s="24">
        <f t="shared" si="74"/>
        <v>1</v>
      </c>
      <c r="P418" s="720"/>
      <c r="Q418" s="24">
        <f t="shared" si="75"/>
        <v>1</v>
      </c>
      <c r="R418" s="716">
        <f t="shared" si="76"/>
        <v>0</v>
      </c>
      <c r="S418" s="361">
        <f t="shared" si="67"/>
        <v>0</v>
      </c>
    </row>
    <row r="419" spans="1:19">
      <c r="A419" s="159"/>
      <c r="B419" s="59"/>
      <c r="C419" s="24">
        <f t="shared" si="68"/>
        <v>1</v>
      </c>
      <c r="D419" s="720"/>
      <c r="E419" s="24">
        <f t="shared" si="69"/>
        <v>1</v>
      </c>
      <c r="F419" s="720"/>
      <c r="G419" s="24">
        <f t="shared" si="70"/>
        <v>1</v>
      </c>
      <c r="H419" s="720"/>
      <c r="I419" s="24">
        <f t="shared" si="71"/>
        <v>1</v>
      </c>
      <c r="J419" s="720"/>
      <c r="K419" s="24">
        <f t="shared" si="72"/>
        <v>1</v>
      </c>
      <c r="L419" s="720"/>
      <c r="M419" s="24">
        <f t="shared" si="73"/>
        <v>1</v>
      </c>
      <c r="N419" s="720"/>
      <c r="O419" s="24">
        <f t="shared" si="74"/>
        <v>1</v>
      </c>
      <c r="P419" s="720"/>
      <c r="Q419" s="24">
        <f t="shared" si="75"/>
        <v>1</v>
      </c>
      <c r="R419" s="716">
        <f t="shared" si="76"/>
        <v>0</v>
      </c>
      <c r="S419" s="361">
        <f t="shared" si="67"/>
        <v>0</v>
      </c>
    </row>
    <row r="420" spans="1:19">
      <c r="A420" s="159"/>
      <c r="B420" s="59"/>
      <c r="C420" s="24">
        <f t="shared" si="68"/>
        <v>1</v>
      </c>
      <c r="D420" s="720"/>
      <c r="E420" s="24">
        <f t="shared" si="69"/>
        <v>1</v>
      </c>
      <c r="F420" s="720"/>
      <c r="G420" s="24">
        <f t="shared" si="70"/>
        <v>1</v>
      </c>
      <c r="H420" s="720"/>
      <c r="I420" s="24">
        <f t="shared" si="71"/>
        <v>1</v>
      </c>
      <c r="J420" s="720"/>
      <c r="K420" s="24">
        <f t="shared" si="72"/>
        <v>1</v>
      </c>
      <c r="L420" s="720"/>
      <c r="M420" s="24">
        <f t="shared" si="73"/>
        <v>1</v>
      </c>
      <c r="N420" s="720"/>
      <c r="O420" s="24">
        <f t="shared" si="74"/>
        <v>1</v>
      </c>
      <c r="P420" s="720"/>
      <c r="Q420" s="24">
        <f t="shared" si="75"/>
        <v>1</v>
      </c>
      <c r="R420" s="716">
        <f t="shared" si="76"/>
        <v>0</v>
      </c>
      <c r="S420" s="361">
        <f t="shared" si="67"/>
        <v>0</v>
      </c>
    </row>
    <row r="421" spans="1:19">
      <c r="A421" s="159"/>
      <c r="B421" s="59"/>
      <c r="C421" s="24">
        <f t="shared" si="68"/>
        <v>1</v>
      </c>
      <c r="D421" s="720"/>
      <c r="E421" s="24">
        <f t="shared" si="69"/>
        <v>1</v>
      </c>
      <c r="F421" s="720"/>
      <c r="G421" s="24">
        <f t="shared" si="70"/>
        <v>1</v>
      </c>
      <c r="H421" s="720"/>
      <c r="I421" s="24">
        <f t="shared" si="71"/>
        <v>1</v>
      </c>
      <c r="J421" s="720"/>
      <c r="K421" s="24">
        <f t="shared" si="72"/>
        <v>1</v>
      </c>
      <c r="L421" s="720"/>
      <c r="M421" s="24">
        <f t="shared" si="73"/>
        <v>1</v>
      </c>
      <c r="N421" s="720"/>
      <c r="O421" s="24">
        <f t="shared" si="74"/>
        <v>1</v>
      </c>
      <c r="P421" s="720"/>
      <c r="Q421" s="24">
        <f t="shared" si="75"/>
        <v>1</v>
      </c>
      <c r="R421" s="716">
        <f t="shared" si="76"/>
        <v>0</v>
      </c>
      <c r="S421" s="361">
        <f t="shared" si="67"/>
        <v>0</v>
      </c>
    </row>
    <row r="422" spans="1:19">
      <c r="A422" s="159"/>
      <c r="B422" s="59"/>
      <c r="C422" s="24">
        <f t="shared" si="68"/>
        <v>1</v>
      </c>
      <c r="D422" s="720"/>
      <c r="E422" s="24">
        <f t="shared" si="69"/>
        <v>1</v>
      </c>
      <c r="F422" s="720"/>
      <c r="G422" s="24">
        <f t="shared" si="70"/>
        <v>1</v>
      </c>
      <c r="H422" s="720"/>
      <c r="I422" s="24">
        <f t="shared" si="71"/>
        <v>1</v>
      </c>
      <c r="J422" s="720"/>
      <c r="K422" s="24">
        <f t="shared" si="72"/>
        <v>1</v>
      </c>
      <c r="L422" s="720"/>
      <c r="M422" s="24">
        <f t="shared" si="73"/>
        <v>1</v>
      </c>
      <c r="N422" s="720"/>
      <c r="O422" s="24">
        <f t="shared" si="74"/>
        <v>1</v>
      </c>
      <c r="P422" s="720"/>
      <c r="Q422" s="24">
        <f t="shared" si="75"/>
        <v>1</v>
      </c>
      <c r="R422" s="716">
        <f t="shared" si="76"/>
        <v>0</v>
      </c>
      <c r="S422" s="361">
        <f t="shared" si="67"/>
        <v>0</v>
      </c>
    </row>
    <row r="423" spans="1:19">
      <c r="A423" s="159"/>
      <c r="B423" s="59"/>
      <c r="C423" s="24">
        <f t="shared" si="68"/>
        <v>1</v>
      </c>
      <c r="D423" s="720"/>
      <c r="E423" s="24">
        <f t="shared" si="69"/>
        <v>1</v>
      </c>
      <c r="F423" s="720"/>
      <c r="G423" s="24">
        <f t="shared" si="70"/>
        <v>1</v>
      </c>
      <c r="H423" s="720"/>
      <c r="I423" s="24">
        <f t="shared" si="71"/>
        <v>1</v>
      </c>
      <c r="J423" s="720"/>
      <c r="K423" s="24">
        <f t="shared" si="72"/>
        <v>1</v>
      </c>
      <c r="L423" s="720"/>
      <c r="M423" s="24">
        <f t="shared" si="73"/>
        <v>1</v>
      </c>
      <c r="N423" s="720"/>
      <c r="O423" s="24">
        <f t="shared" si="74"/>
        <v>1</v>
      </c>
      <c r="P423" s="720"/>
      <c r="Q423" s="24">
        <f t="shared" si="75"/>
        <v>1</v>
      </c>
      <c r="R423" s="716">
        <f t="shared" si="76"/>
        <v>0</v>
      </c>
      <c r="S423" s="361">
        <f t="shared" si="67"/>
        <v>0</v>
      </c>
    </row>
    <row r="424" spans="1:19">
      <c r="A424" s="159"/>
      <c r="B424" s="59"/>
      <c r="C424" s="24">
        <f t="shared" si="68"/>
        <v>1</v>
      </c>
      <c r="D424" s="720"/>
      <c r="E424" s="24">
        <f t="shared" si="69"/>
        <v>1</v>
      </c>
      <c r="F424" s="720"/>
      <c r="G424" s="24">
        <f t="shared" si="70"/>
        <v>1</v>
      </c>
      <c r="H424" s="720"/>
      <c r="I424" s="24">
        <f t="shared" si="71"/>
        <v>1</v>
      </c>
      <c r="J424" s="720"/>
      <c r="K424" s="24">
        <f t="shared" si="72"/>
        <v>1</v>
      </c>
      <c r="L424" s="720"/>
      <c r="M424" s="24">
        <f t="shared" si="73"/>
        <v>1</v>
      </c>
      <c r="N424" s="720"/>
      <c r="O424" s="24">
        <f t="shared" si="74"/>
        <v>1</v>
      </c>
      <c r="P424" s="720"/>
      <c r="Q424" s="24">
        <f t="shared" si="75"/>
        <v>1</v>
      </c>
      <c r="R424" s="716">
        <f t="shared" si="76"/>
        <v>0</v>
      </c>
      <c r="S424" s="361">
        <f t="shared" si="67"/>
        <v>0</v>
      </c>
    </row>
    <row r="425" spans="1:19">
      <c r="A425" s="159"/>
      <c r="B425" s="59"/>
      <c r="C425" s="24">
        <f t="shared" si="68"/>
        <v>1</v>
      </c>
      <c r="D425" s="720"/>
      <c r="E425" s="24">
        <f t="shared" si="69"/>
        <v>1</v>
      </c>
      <c r="F425" s="720"/>
      <c r="G425" s="24">
        <f t="shared" si="70"/>
        <v>1</v>
      </c>
      <c r="H425" s="720"/>
      <c r="I425" s="24">
        <f t="shared" si="71"/>
        <v>1</v>
      </c>
      <c r="J425" s="720"/>
      <c r="K425" s="24">
        <f t="shared" si="72"/>
        <v>1</v>
      </c>
      <c r="L425" s="720"/>
      <c r="M425" s="24">
        <f t="shared" si="73"/>
        <v>1</v>
      </c>
      <c r="N425" s="720"/>
      <c r="O425" s="24">
        <f t="shared" si="74"/>
        <v>1</v>
      </c>
      <c r="P425" s="720"/>
      <c r="Q425" s="24">
        <f t="shared" si="75"/>
        <v>1</v>
      </c>
      <c r="R425" s="716">
        <f t="shared" si="76"/>
        <v>0</v>
      </c>
      <c r="S425" s="361">
        <f t="shared" si="67"/>
        <v>0</v>
      </c>
    </row>
    <row r="426" spans="1:19">
      <c r="A426" s="159"/>
      <c r="B426" s="59"/>
      <c r="C426" s="24">
        <f t="shared" si="68"/>
        <v>1</v>
      </c>
      <c r="D426" s="720"/>
      <c r="E426" s="24">
        <f t="shared" si="69"/>
        <v>1</v>
      </c>
      <c r="F426" s="720"/>
      <c r="G426" s="24">
        <f t="shared" si="70"/>
        <v>1</v>
      </c>
      <c r="H426" s="720"/>
      <c r="I426" s="24">
        <f t="shared" si="71"/>
        <v>1</v>
      </c>
      <c r="J426" s="720"/>
      <c r="K426" s="24">
        <f t="shared" si="72"/>
        <v>1</v>
      </c>
      <c r="L426" s="720"/>
      <c r="M426" s="24">
        <f t="shared" si="73"/>
        <v>1</v>
      </c>
      <c r="N426" s="720"/>
      <c r="O426" s="24">
        <f t="shared" si="74"/>
        <v>1</v>
      </c>
      <c r="P426" s="720"/>
      <c r="Q426" s="24">
        <f t="shared" si="75"/>
        <v>1</v>
      </c>
      <c r="R426" s="716">
        <f t="shared" si="76"/>
        <v>0</v>
      </c>
      <c r="S426" s="361">
        <f t="shared" si="67"/>
        <v>0</v>
      </c>
    </row>
    <row r="427" spans="1:19">
      <c r="A427" s="159"/>
      <c r="B427" s="59"/>
      <c r="C427" s="24">
        <f t="shared" si="68"/>
        <v>1</v>
      </c>
      <c r="D427" s="720"/>
      <c r="E427" s="24">
        <f t="shared" si="69"/>
        <v>1</v>
      </c>
      <c r="F427" s="720"/>
      <c r="G427" s="24">
        <f t="shared" si="70"/>
        <v>1</v>
      </c>
      <c r="H427" s="720"/>
      <c r="I427" s="24">
        <f t="shared" si="71"/>
        <v>1</v>
      </c>
      <c r="J427" s="720"/>
      <c r="K427" s="24">
        <f t="shared" si="72"/>
        <v>1</v>
      </c>
      <c r="L427" s="720"/>
      <c r="M427" s="24">
        <f t="shared" si="73"/>
        <v>1</v>
      </c>
      <c r="N427" s="720"/>
      <c r="O427" s="24">
        <f t="shared" si="74"/>
        <v>1</v>
      </c>
      <c r="P427" s="720"/>
      <c r="Q427" s="24">
        <f t="shared" si="75"/>
        <v>1</v>
      </c>
      <c r="R427" s="716">
        <f t="shared" si="76"/>
        <v>0</v>
      </c>
      <c r="S427" s="361">
        <f t="shared" si="67"/>
        <v>0</v>
      </c>
    </row>
    <row r="428" spans="1:19">
      <c r="A428" s="159"/>
      <c r="B428" s="59"/>
      <c r="C428" s="24">
        <f t="shared" si="68"/>
        <v>1</v>
      </c>
      <c r="D428" s="720"/>
      <c r="E428" s="24">
        <f t="shared" si="69"/>
        <v>1</v>
      </c>
      <c r="F428" s="720"/>
      <c r="G428" s="24">
        <f t="shared" si="70"/>
        <v>1</v>
      </c>
      <c r="H428" s="720"/>
      <c r="I428" s="24">
        <f t="shared" si="71"/>
        <v>1</v>
      </c>
      <c r="J428" s="720"/>
      <c r="K428" s="24">
        <f t="shared" si="72"/>
        <v>1</v>
      </c>
      <c r="L428" s="720"/>
      <c r="M428" s="24">
        <f t="shared" si="73"/>
        <v>1</v>
      </c>
      <c r="N428" s="720"/>
      <c r="O428" s="24">
        <f t="shared" si="74"/>
        <v>1</v>
      </c>
      <c r="P428" s="720"/>
      <c r="Q428" s="24">
        <f t="shared" si="75"/>
        <v>1</v>
      </c>
      <c r="R428" s="716">
        <f t="shared" si="76"/>
        <v>0</v>
      </c>
      <c r="S428" s="361">
        <f t="shared" si="67"/>
        <v>0</v>
      </c>
    </row>
    <row r="429" spans="1:19">
      <c r="A429" s="159"/>
      <c r="B429" s="59"/>
      <c r="C429" s="24">
        <f t="shared" si="68"/>
        <v>1</v>
      </c>
      <c r="D429" s="720"/>
      <c r="E429" s="24">
        <f t="shared" si="69"/>
        <v>1</v>
      </c>
      <c r="F429" s="720"/>
      <c r="G429" s="24">
        <f t="shared" si="70"/>
        <v>1</v>
      </c>
      <c r="H429" s="720"/>
      <c r="I429" s="24">
        <f t="shared" si="71"/>
        <v>1</v>
      </c>
      <c r="J429" s="720"/>
      <c r="K429" s="24">
        <f t="shared" si="72"/>
        <v>1</v>
      </c>
      <c r="L429" s="720"/>
      <c r="M429" s="24">
        <f t="shared" si="73"/>
        <v>1</v>
      </c>
      <c r="N429" s="720"/>
      <c r="O429" s="24">
        <f t="shared" si="74"/>
        <v>1</v>
      </c>
      <c r="P429" s="720"/>
      <c r="Q429" s="24">
        <f t="shared" si="75"/>
        <v>1</v>
      </c>
      <c r="R429" s="716">
        <f t="shared" si="76"/>
        <v>0</v>
      </c>
      <c r="S429" s="361">
        <f t="shared" si="67"/>
        <v>0</v>
      </c>
    </row>
    <row r="430" spans="1:19">
      <c r="A430" s="159"/>
      <c r="B430" s="59"/>
      <c r="C430" s="24">
        <f t="shared" si="68"/>
        <v>1</v>
      </c>
      <c r="D430" s="720"/>
      <c r="E430" s="24">
        <f t="shared" si="69"/>
        <v>1</v>
      </c>
      <c r="F430" s="720"/>
      <c r="G430" s="24">
        <f t="shared" si="70"/>
        <v>1</v>
      </c>
      <c r="H430" s="720"/>
      <c r="I430" s="24">
        <f t="shared" si="71"/>
        <v>1</v>
      </c>
      <c r="J430" s="720"/>
      <c r="K430" s="24">
        <f t="shared" si="72"/>
        <v>1</v>
      </c>
      <c r="L430" s="720"/>
      <c r="M430" s="24">
        <f t="shared" si="73"/>
        <v>1</v>
      </c>
      <c r="N430" s="720"/>
      <c r="O430" s="24">
        <f t="shared" si="74"/>
        <v>1</v>
      </c>
      <c r="P430" s="720"/>
      <c r="Q430" s="24">
        <f t="shared" si="75"/>
        <v>1</v>
      </c>
      <c r="R430" s="716">
        <f t="shared" si="76"/>
        <v>0</v>
      </c>
      <c r="S430" s="361">
        <f t="shared" si="67"/>
        <v>0</v>
      </c>
    </row>
    <row r="431" spans="1:19">
      <c r="A431" s="159"/>
      <c r="B431" s="59"/>
      <c r="C431" s="24">
        <f t="shared" si="68"/>
        <v>1</v>
      </c>
      <c r="D431" s="720"/>
      <c r="E431" s="24">
        <f t="shared" si="69"/>
        <v>1</v>
      </c>
      <c r="F431" s="720"/>
      <c r="G431" s="24">
        <f t="shared" si="70"/>
        <v>1</v>
      </c>
      <c r="H431" s="720"/>
      <c r="I431" s="24">
        <f t="shared" si="71"/>
        <v>1</v>
      </c>
      <c r="J431" s="720"/>
      <c r="K431" s="24">
        <f t="shared" si="72"/>
        <v>1</v>
      </c>
      <c r="L431" s="720"/>
      <c r="M431" s="24">
        <f t="shared" si="73"/>
        <v>1</v>
      </c>
      <c r="N431" s="720"/>
      <c r="O431" s="24">
        <f t="shared" si="74"/>
        <v>1</v>
      </c>
      <c r="P431" s="720"/>
      <c r="Q431" s="24">
        <f t="shared" si="75"/>
        <v>1</v>
      </c>
      <c r="R431" s="716">
        <f t="shared" si="76"/>
        <v>0</v>
      </c>
      <c r="S431" s="361">
        <f t="shared" si="67"/>
        <v>0</v>
      </c>
    </row>
    <row r="432" spans="1:19">
      <c r="A432" s="159"/>
      <c r="B432" s="59"/>
      <c r="C432" s="24">
        <f t="shared" si="68"/>
        <v>1</v>
      </c>
      <c r="D432" s="720"/>
      <c r="E432" s="24">
        <f t="shared" si="69"/>
        <v>1</v>
      </c>
      <c r="F432" s="720"/>
      <c r="G432" s="24">
        <f t="shared" si="70"/>
        <v>1</v>
      </c>
      <c r="H432" s="720"/>
      <c r="I432" s="24">
        <f t="shared" si="71"/>
        <v>1</v>
      </c>
      <c r="J432" s="720"/>
      <c r="K432" s="24">
        <f t="shared" si="72"/>
        <v>1</v>
      </c>
      <c r="L432" s="720"/>
      <c r="M432" s="24">
        <f t="shared" si="73"/>
        <v>1</v>
      </c>
      <c r="N432" s="720"/>
      <c r="O432" s="24">
        <f t="shared" si="74"/>
        <v>1</v>
      </c>
      <c r="P432" s="720"/>
      <c r="Q432" s="24">
        <f t="shared" si="75"/>
        <v>1</v>
      </c>
      <c r="R432" s="716">
        <f t="shared" si="76"/>
        <v>0</v>
      </c>
      <c r="S432" s="361">
        <f t="shared" si="67"/>
        <v>0</v>
      </c>
    </row>
    <row r="433" spans="1:19">
      <c r="A433" s="159"/>
      <c r="B433" s="59"/>
      <c r="C433" s="24">
        <f t="shared" si="68"/>
        <v>1</v>
      </c>
      <c r="D433" s="720"/>
      <c r="E433" s="24">
        <f t="shared" si="69"/>
        <v>1</v>
      </c>
      <c r="F433" s="720"/>
      <c r="G433" s="24">
        <f t="shared" si="70"/>
        <v>1</v>
      </c>
      <c r="H433" s="720"/>
      <c r="I433" s="24">
        <f t="shared" si="71"/>
        <v>1</v>
      </c>
      <c r="J433" s="720"/>
      <c r="K433" s="24">
        <f t="shared" si="72"/>
        <v>1</v>
      </c>
      <c r="L433" s="720"/>
      <c r="M433" s="24">
        <f t="shared" si="73"/>
        <v>1</v>
      </c>
      <c r="N433" s="720"/>
      <c r="O433" s="24">
        <f t="shared" si="74"/>
        <v>1</v>
      </c>
      <c r="P433" s="720"/>
      <c r="Q433" s="24">
        <f t="shared" si="75"/>
        <v>1</v>
      </c>
      <c r="R433" s="716">
        <f t="shared" si="76"/>
        <v>0</v>
      </c>
      <c r="S433" s="361">
        <f t="shared" si="67"/>
        <v>0</v>
      </c>
    </row>
    <row r="434" spans="1:19">
      <c r="A434" s="159"/>
      <c r="B434" s="59"/>
      <c r="C434" s="24">
        <f t="shared" si="68"/>
        <v>1</v>
      </c>
      <c r="D434" s="720"/>
      <c r="E434" s="24">
        <f t="shared" si="69"/>
        <v>1</v>
      </c>
      <c r="F434" s="720"/>
      <c r="G434" s="24">
        <f t="shared" si="70"/>
        <v>1</v>
      </c>
      <c r="H434" s="720"/>
      <c r="I434" s="24">
        <f t="shared" si="71"/>
        <v>1</v>
      </c>
      <c r="J434" s="720"/>
      <c r="K434" s="24">
        <f t="shared" si="72"/>
        <v>1</v>
      </c>
      <c r="L434" s="720"/>
      <c r="M434" s="24">
        <f t="shared" si="73"/>
        <v>1</v>
      </c>
      <c r="N434" s="720"/>
      <c r="O434" s="24">
        <f t="shared" si="74"/>
        <v>1</v>
      </c>
      <c r="P434" s="720"/>
      <c r="Q434" s="24">
        <f t="shared" si="75"/>
        <v>1</v>
      </c>
      <c r="R434" s="716">
        <f t="shared" si="76"/>
        <v>0</v>
      </c>
      <c r="S434" s="361">
        <f t="shared" si="67"/>
        <v>0</v>
      </c>
    </row>
    <row r="435" spans="1:19">
      <c r="A435" s="159"/>
      <c r="B435" s="59"/>
      <c r="C435" s="24">
        <f t="shared" si="68"/>
        <v>1</v>
      </c>
      <c r="D435" s="720"/>
      <c r="E435" s="24">
        <f t="shared" si="69"/>
        <v>1</v>
      </c>
      <c r="F435" s="720"/>
      <c r="G435" s="24">
        <f t="shared" si="70"/>
        <v>1</v>
      </c>
      <c r="H435" s="720"/>
      <c r="I435" s="24">
        <f t="shared" si="71"/>
        <v>1</v>
      </c>
      <c r="J435" s="720"/>
      <c r="K435" s="24">
        <f t="shared" si="72"/>
        <v>1</v>
      </c>
      <c r="L435" s="720"/>
      <c r="M435" s="24">
        <f t="shared" si="73"/>
        <v>1</v>
      </c>
      <c r="N435" s="720"/>
      <c r="O435" s="24">
        <f t="shared" si="74"/>
        <v>1</v>
      </c>
      <c r="P435" s="720"/>
      <c r="Q435" s="24">
        <f t="shared" si="75"/>
        <v>1</v>
      </c>
      <c r="R435" s="716">
        <f t="shared" si="76"/>
        <v>0</v>
      </c>
      <c r="S435" s="361">
        <f t="shared" si="67"/>
        <v>0</v>
      </c>
    </row>
    <row r="436" spans="1:19">
      <c r="A436" s="159"/>
      <c r="B436" s="59"/>
      <c r="C436" s="24">
        <f t="shared" si="68"/>
        <v>1</v>
      </c>
      <c r="D436" s="720"/>
      <c r="E436" s="24">
        <f t="shared" si="69"/>
        <v>1</v>
      </c>
      <c r="F436" s="720"/>
      <c r="G436" s="24">
        <f t="shared" si="70"/>
        <v>1</v>
      </c>
      <c r="H436" s="720"/>
      <c r="I436" s="24">
        <f t="shared" si="71"/>
        <v>1</v>
      </c>
      <c r="J436" s="720"/>
      <c r="K436" s="24">
        <f t="shared" si="72"/>
        <v>1</v>
      </c>
      <c r="L436" s="720"/>
      <c r="M436" s="24">
        <f t="shared" si="73"/>
        <v>1</v>
      </c>
      <c r="N436" s="720"/>
      <c r="O436" s="24">
        <f t="shared" si="74"/>
        <v>1</v>
      </c>
      <c r="P436" s="720"/>
      <c r="Q436" s="24">
        <f t="shared" si="75"/>
        <v>1</v>
      </c>
      <c r="R436" s="716">
        <f t="shared" si="76"/>
        <v>0</v>
      </c>
      <c r="S436" s="361">
        <f t="shared" si="67"/>
        <v>0</v>
      </c>
    </row>
    <row r="437" spans="1:19">
      <c r="A437" s="159"/>
      <c r="B437" s="59"/>
      <c r="C437" s="24">
        <f t="shared" si="68"/>
        <v>1</v>
      </c>
      <c r="D437" s="720"/>
      <c r="E437" s="24">
        <f t="shared" si="69"/>
        <v>1</v>
      </c>
      <c r="F437" s="720"/>
      <c r="G437" s="24">
        <f t="shared" si="70"/>
        <v>1</v>
      </c>
      <c r="H437" s="720"/>
      <c r="I437" s="24">
        <f t="shared" si="71"/>
        <v>1</v>
      </c>
      <c r="J437" s="720"/>
      <c r="K437" s="24">
        <f t="shared" si="72"/>
        <v>1</v>
      </c>
      <c r="L437" s="720"/>
      <c r="M437" s="24">
        <f t="shared" si="73"/>
        <v>1</v>
      </c>
      <c r="N437" s="720"/>
      <c r="O437" s="24">
        <f t="shared" si="74"/>
        <v>1</v>
      </c>
      <c r="P437" s="720"/>
      <c r="Q437" s="24">
        <f t="shared" si="75"/>
        <v>1</v>
      </c>
      <c r="R437" s="716">
        <f t="shared" si="76"/>
        <v>0</v>
      </c>
      <c r="S437" s="361">
        <f t="shared" si="67"/>
        <v>0</v>
      </c>
    </row>
    <row r="438" spans="1:19">
      <c r="A438" s="159"/>
      <c r="B438" s="59"/>
      <c r="C438" s="24">
        <f t="shared" si="68"/>
        <v>1</v>
      </c>
      <c r="D438" s="720"/>
      <c r="E438" s="24">
        <f t="shared" si="69"/>
        <v>1</v>
      </c>
      <c r="F438" s="720"/>
      <c r="G438" s="24">
        <f t="shared" si="70"/>
        <v>1</v>
      </c>
      <c r="H438" s="720"/>
      <c r="I438" s="24">
        <f t="shared" si="71"/>
        <v>1</v>
      </c>
      <c r="J438" s="720"/>
      <c r="K438" s="24">
        <f t="shared" si="72"/>
        <v>1</v>
      </c>
      <c r="L438" s="720"/>
      <c r="M438" s="24">
        <f t="shared" si="73"/>
        <v>1</v>
      </c>
      <c r="N438" s="720"/>
      <c r="O438" s="24">
        <f t="shared" si="74"/>
        <v>1</v>
      </c>
      <c r="P438" s="720"/>
      <c r="Q438" s="24">
        <f t="shared" si="75"/>
        <v>1</v>
      </c>
      <c r="R438" s="716">
        <f t="shared" si="76"/>
        <v>0</v>
      </c>
      <c r="S438" s="361">
        <f t="shared" si="67"/>
        <v>0</v>
      </c>
    </row>
    <row r="439" spans="1:19">
      <c r="A439" s="159"/>
      <c r="B439" s="59"/>
      <c r="C439" s="24">
        <f t="shared" si="68"/>
        <v>1</v>
      </c>
      <c r="D439" s="720"/>
      <c r="E439" s="24">
        <f t="shared" si="69"/>
        <v>1</v>
      </c>
      <c r="F439" s="720"/>
      <c r="G439" s="24">
        <f t="shared" si="70"/>
        <v>1</v>
      </c>
      <c r="H439" s="720"/>
      <c r="I439" s="24">
        <f t="shared" si="71"/>
        <v>1</v>
      </c>
      <c r="J439" s="720"/>
      <c r="K439" s="24">
        <f t="shared" si="72"/>
        <v>1</v>
      </c>
      <c r="L439" s="720"/>
      <c r="M439" s="24">
        <f t="shared" si="73"/>
        <v>1</v>
      </c>
      <c r="N439" s="720"/>
      <c r="O439" s="24">
        <f t="shared" si="74"/>
        <v>1</v>
      </c>
      <c r="P439" s="720"/>
      <c r="Q439" s="24">
        <f t="shared" si="75"/>
        <v>1</v>
      </c>
      <c r="R439" s="716">
        <f t="shared" si="76"/>
        <v>0</v>
      </c>
      <c r="S439" s="361">
        <f t="shared" si="67"/>
        <v>0</v>
      </c>
    </row>
    <row r="440" spans="1:19">
      <c r="A440" s="159"/>
      <c r="B440" s="59"/>
      <c r="C440" s="24">
        <f t="shared" si="68"/>
        <v>1</v>
      </c>
      <c r="D440" s="720"/>
      <c r="E440" s="24">
        <f t="shared" si="69"/>
        <v>1</v>
      </c>
      <c r="F440" s="720"/>
      <c r="G440" s="24">
        <f t="shared" si="70"/>
        <v>1</v>
      </c>
      <c r="H440" s="720"/>
      <c r="I440" s="24">
        <f t="shared" si="71"/>
        <v>1</v>
      </c>
      <c r="J440" s="720"/>
      <c r="K440" s="24">
        <f t="shared" si="72"/>
        <v>1</v>
      </c>
      <c r="L440" s="720"/>
      <c r="M440" s="24">
        <f t="shared" si="73"/>
        <v>1</v>
      </c>
      <c r="N440" s="720"/>
      <c r="O440" s="24">
        <f t="shared" si="74"/>
        <v>1</v>
      </c>
      <c r="P440" s="720"/>
      <c r="Q440" s="24">
        <f t="shared" si="75"/>
        <v>1</v>
      </c>
      <c r="R440" s="716">
        <f t="shared" si="76"/>
        <v>0</v>
      </c>
      <c r="S440" s="361">
        <f t="shared" si="67"/>
        <v>0</v>
      </c>
    </row>
    <row r="441" spans="1:19">
      <c r="A441" s="159"/>
      <c r="B441" s="59"/>
      <c r="C441" s="24">
        <f t="shared" si="68"/>
        <v>1</v>
      </c>
      <c r="D441" s="720"/>
      <c r="E441" s="24">
        <f t="shared" si="69"/>
        <v>1</v>
      </c>
      <c r="F441" s="720"/>
      <c r="G441" s="24">
        <f t="shared" si="70"/>
        <v>1</v>
      </c>
      <c r="H441" s="720"/>
      <c r="I441" s="24">
        <f t="shared" si="71"/>
        <v>1</v>
      </c>
      <c r="J441" s="720"/>
      <c r="K441" s="24">
        <f t="shared" si="72"/>
        <v>1</v>
      </c>
      <c r="L441" s="720"/>
      <c r="M441" s="24">
        <f t="shared" si="73"/>
        <v>1</v>
      </c>
      <c r="N441" s="720"/>
      <c r="O441" s="24">
        <f t="shared" si="74"/>
        <v>1</v>
      </c>
      <c r="P441" s="720"/>
      <c r="Q441" s="24">
        <f t="shared" si="75"/>
        <v>1</v>
      </c>
      <c r="R441" s="716">
        <f t="shared" si="76"/>
        <v>0</v>
      </c>
      <c r="S441" s="361">
        <f t="shared" si="67"/>
        <v>0</v>
      </c>
    </row>
    <row r="442" spans="1:19">
      <c r="A442" s="159"/>
      <c r="B442" s="59"/>
      <c r="C442" s="24">
        <f t="shared" si="68"/>
        <v>1</v>
      </c>
      <c r="D442" s="720"/>
      <c r="E442" s="24">
        <f t="shared" si="69"/>
        <v>1</v>
      </c>
      <c r="F442" s="720"/>
      <c r="G442" s="24">
        <f t="shared" si="70"/>
        <v>1</v>
      </c>
      <c r="H442" s="720"/>
      <c r="I442" s="24">
        <f t="shared" si="71"/>
        <v>1</v>
      </c>
      <c r="J442" s="720"/>
      <c r="K442" s="24">
        <f t="shared" si="72"/>
        <v>1</v>
      </c>
      <c r="L442" s="720"/>
      <c r="M442" s="24">
        <f t="shared" si="73"/>
        <v>1</v>
      </c>
      <c r="N442" s="720"/>
      <c r="O442" s="24">
        <f t="shared" si="74"/>
        <v>1</v>
      </c>
      <c r="P442" s="720"/>
      <c r="Q442" s="24">
        <f t="shared" si="75"/>
        <v>1</v>
      </c>
      <c r="R442" s="716">
        <f t="shared" si="76"/>
        <v>0</v>
      </c>
      <c r="S442" s="361">
        <f t="shared" si="67"/>
        <v>0</v>
      </c>
    </row>
    <row r="443" spans="1:19">
      <c r="A443" s="159"/>
      <c r="B443" s="59"/>
      <c r="C443" s="24">
        <f t="shared" si="68"/>
        <v>1</v>
      </c>
      <c r="D443" s="720"/>
      <c r="E443" s="24">
        <f t="shared" si="69"/>
        <v>1</v>
      </c>
      <c r="F443" s="720"/>
      <c r="G443" s="24">
        <f t="shared" si="70"/>
        <v>1</v>
      </c>
      <c r="H443" s="720"/>
      <c r="I443" s="24">
        <f t="shared" si="71"/>
        <v>1</v>
      </c>
      <c r="J443" s="720"/>
      <c r="K443" s="24">
        <f t="shared" si="72"/>
        <v>1</v>
      </c>
      <c r="L443" s="720"/>
      <c r="M443" s="24">
        <f t="shared" si="73"/>
        <v>1</v>
      </c>
      <c r="N443" s="720"/>
      <c r="O443" s="24">
        <f t="shared" si="74"/>
        <v>1</v>
      </c>
      <c r="P443" s="720"/>
      <c r="Q443" s="24">
        <f t="shared" si="75"/>
        <v>1</v>
      </c>
      <c r="R443" s="716">
        <f t="shared" si="76"/>
        <v>0</v>
      </c>
      <c r="S443" s="361">
        <f t="shared" si="67"/>
        <v>0</v>
      </c>
    </row>
    <row r="444" spans="1:19">
      <c r="A444" s="159"/>
      <c r="B444" s="59"/>
      <c r="C444" s="24">
        <f t="shared" si="68"/>
        <v>1</v>
      </c>
      <c r="D444" s="720"/>
      <c r="E444" s="24">
        <f t="shared" si="69"/>
        <v>1</v>
      </c>
      <c r="F444" s="720"/>
      <c r="G444" s="24">
        <f t="shared" si="70"/>
        <v>1</v>
      </c>
      <c r="H444" s="720"/>
      <c r="I444" s="24">
        <f t="shared" si="71"/>
        <v>1</v>
      </c>
      <c r="J444" s="720"/>
      <c r="K444" s="24">
        <f t="shared" si="72"/>
        <v>1</v>
      </c>
      <c r="L444" s="720"/>
      <c r="M444" s="24">
        <f t="shared" si="73"/>
        <v>1</v>
      </c>
      <c r="N444" s="720"/>
      <c r="O444" s="24">
        <f t="shared" si="74"/>
        <v>1</v>
      </c>
      <c r="P444" s="720"/>
      <c r="Q444" s="24">
        <f t="shared" si="75"/>
        <v>1</v>
      </c>
      <c r="R444" s="716">
        <f t="shared" si="76"/>
        <v>0</v>
      </c>
      <c r="S444" s="361">
        <f t="shared" si="67"/>
        <v>0</v>
      </c>
    </row>
    <row r="445" spans="1:19">
      <c r="A445" s="159"/>
      <c r="B445" s="59"/>
      <c r="C445" s="24">
        <f t="shared" si="68"/>
        <v>1</v>
      </c>
      <c r="D445" s="720"/>
      <c r="E445" s="24">
        <f t="shared" si="69"/>
        <v>1</v>
      </c>
      <c r="F445" s="720"/>
      <c r="G445" s="24">
        <f t="shared" si="70"/>
        <v>1</v>
      </c>
      <c r="H445" s="720"/>
      <c r="I445" s="24">
        <f t="shared" si="71"/>
        <v>1</v>
      </c>
      <c r="J445" s="720"/>
      <c r="K445" s="24">
        <f t="shared" si="72"/>
        <v>1</v>
      </c>
      <c r="L445" s="720"/>
      <c r="M445" s="24">
        <f t="shared" si="73"/>
        <v>1</v>
      </c>
      <c r="N445" s="720"/>
      <c r="O445" s="24">
        <f t="shared" si="74"/>
        <v>1</v>
      </c>
      <c r="P445" s="720"/>
      <c r="Q445" s="24">
        <f t="shared" si="75"/>
        <v>1</v>
      </c>
      <c r="R445" s="716">
        <f t="shared" si="76"/>
        <v>0</v>
      </c>
      <c r="S445" s="361">
        <f t="shared" si="67"/>
        <v>0</v>
      </c>
    </row>
    <row r="446" spans="1:19">
      <c r="A446" s="159"/>
      <c r="B446" s="59"/>
      <c r="C446" s="24">
        <f t="shared" si="68"/>
        <v>1</v>
      </c>
      <c r="D446" s="720"/>
      <c r="E446" s="24">
        <f t="shared" si="69"/>
        <v>1</v>
      </c>
      <c r="F446" s="720"/>
      <c r="G446" s="24">
        <f t="shared" si="70"/>
        <v>1</v>
      </c>
      <c r="H446" s="720"/>
      <c r="I446" s="24">
        <f t="shared" si="71"/>
        <v>1</v>
      </c>
      <c r="J446" s="720"/>
      <c r="K446" s="24">
        <f t="shared" si="72"/>
        <v>1</v>
      </c>
      <c r="L446" s="720"/>
      <c r="M446" s="24">
        <f t="shared" si="73"/>
        <v>1</v>
      </c>
      <c r="N446" s="720"/>
      <c r="O446" s="24">
        <f t="shared" si="74"/>
        <v>1</v>
      </c>
      <c r="P446" s="720"/>
      <c r="Q446" s="24">
        <f t="shared" si="75"/>
        <v>1</v>
      </c>
      <c r="R446" s="716">
        <f t="shared" si="76"/>
        <v>0</v>
      </c>
      <c r="S446" s="361">
        <f t="shared" si="67"/>
        <v>0</v>
      </c>
    </row>
    <row r="447" spans="1:19">
      <c r="A447" s="159"/>
      <c r="B447" s="59"/>
      <c r="C447" s="24">
        <f t="shared" si="68"/>
        <v>1</v>
      </c>
      <c r="D447" s="720"/>
      <c r="E447" s="24">
        <f t="shared" si="69"/>
        <v>1</v>
      </c>
      <c r="F447" s="720"/>
      <c r="G447" s="24">
        <f t="shared" si="70"/>
        <v>1</v>
      </c>
      <c r="H447" s="720"/>
      <c r="I447" s="24">
        <f t="shared" si="71"/>
        <v>1</v>
      </c>
      <c r="J447" s="720"/>
      <c r="K447" s="24">
        <f t="shared" si="72"/>
        <v>1</v>
      </c>
      <c r="L447" s="720"/>
      <c r="M447" s="24">
        <f t="shared" si="73"/>
        <v>1</v>
      </c>
      <c r="N447" s="720"/>
      <c r="O447" s="24">
        <f t="shared" si="74"/>
        <v>1</v>
      </c>
      <c r="P447" s="720"/>
      <c r="Q447" s="24">
        <f t="shared" si="75"/>
        <v>1</v>
      </c>
      <c r="R447" s="716">
        <f t="shared" si="76"/>
        <v>0</v>
      </c>
      <c r="S447" s="361">
        <f t="shared" si="67"/>
        <v>0</v>
      </c>
    </row>
    <row r="448" spans="1:19">
      <c r="A448" s="159"/>
      <c r="B448" s="59"/>
      <c r="C448" s="24">
        <f t="shared" si="68"/>
        <v>1</v>
      </c>
      <c r="D448" s="720"/>
      <c r="E448" s="24">
        <f t="shared" si="69"/>
        <v>1</v>
      </c>
      <c r="F448" s="720"/>
      <c r="G448" s="24">
        <f t="shared" si="70"/>
        <v>1</v>
      </c>
      <c r="H448" s="720"/>
      <c r="I448" s="24">
        <f t="shared" si="71"/>
        <v>1</v>
      </c>
      <c r="J448" s="720"/>
      <c r="K448" s="24">
        <f t="shared" si="72"/>
        <v>1</v>
      </c>
      <c r="L448" s="720"/>
      <c r="M448" s="24">
        <f t="shared" si="73"/>
        <v>1</v>
      </c>
      <c r="N448" s="720"/>
      <c r="O448" s="24">
        <f t="shared" si="74"/>
        <v>1</v>
      </c>
      <c r="P448" s="720"/>
      <c r="Q448" s="24">
        <f t="shared" si="75"/>
        <v>1</v>
      </c>
      <c r="R448" s="716">
        <f t="shared" si="76"/>
        <v>0</v>
      </c>
      <c r="S448" s="361">
        <f t="shared" si="67"/>
        <v>0</v>
      </c>
    </row>
    <row r="449" spans="1:19">
      <c r="A449" s="159"/>
      <c r="B449" s="59"/>
      <c r="C449" s="24">
        <f t="shared" si="68"/>
        <v>1</v>
      </c>
      <c r="D449" s="720"/>
      <c r="E449" s="24">
        <f t="shared" si="69"/>
        <v>1</v>
      </c>
      <c r="F449" s="720"/>
      <c r="G449" s="24">
        <f t="shared" si="70"/>
        <v>1</v>
      </c>
      <c r="H449" s="720"/>
      <c r="I449" s="24">
        <f t="shared" si="71"/>
        <v>1</v>
      </c>
      <c r="J449" s="720"/>
      <c r="K449" s="24">
        <f t="shared" si="72"/>
        <v>1</v>
      </c>
      <c r="L449" s="720"/>
      <c r="M449" s="24">
        <f t="shared" si="73"/>
        <v>1</v>
      </c>
      <c r="N449" s="720"/>
      <c r="O449" s="24">
        <f t="shared" si="74"/>
        <v>1</v>
      </c>
      <c r="P449" s="720"/>
      <c r="Q449" s="24">
        <f t="shared" si="75"/>
        <v>1</v>
      </c>
      <c r="R449" s="716">
        <f t="shared" si="76"/>
        <v>0</v>
      </c>
      <c r="S449" s="361">
        <f t="shared" si="67"/>
        <v>0</v>
      </c>
    </row>
    <row r="450" spans="1:19">
      <c r="A450" s="159"/>
      <c r="B450" s="59"/>
      <c r="C450" s="24">
        <f t="shared" si="68"/>
        <v>1</v>
      </c>
      <c r="D450" s="720"/>
      <c r="E450" s="24">
        <f t="shared" si="69"/>
        <v>1</v>
      </c>
      <c r="F450" s="720"/>
      <c r="G450" s="24">
        <f t="shared" si="70"/>
        <v>1</v>
      </c>
      <c r="H450" s="720"/>
      <c r="I450" s="24">
        <f t="shared" si="71"/>
        <v>1</v>
      </c>
      <c r="J450" s="720"/>
      <c r="K450" s="24">
        <f t="shared" si="72"/>
        <v>1</v>
      </c>
      <c r="L450" s="720"/>
      <c r="M450" s="24">
        <f t="shared" si="73"/>
        <v>1</v>
      </c>
      <c r="N450" s="720"/>
      <c r="O450" s="24">
        <f t="shared" si="74"/>
        <v>1</v>
      </c>
      <c r="P450" s="720"/>
      <c r="Q450" s="24">
        <f t="shared" si="75"/>
        <v>1</v>
      </c>
      <c r="R450" s="716">
        <f t="shared" si="76"/>
        <v>0</v>
      </c>
      <c r="S450" s="361">
        <f t="shared" si="67"/>
        <v>0</v>
      </c>
    </row>
    <row r="451" spans="1:19">
      <c r="A451" s="159"/>
      <c r="B451" s="59"/>
      <c r="C451" s="24">
        <f t="shared" si="68"/>
        <v>1</v>
      </c>
      <c r="D451" s="720"/>
      <c r="E451" s="24">
        <f t="shared" si="69"/>
        <v>1</v>
      </c>
      <c r="F451" s="720"/>
      <c r="G451" s="24">
        <f t="shared" si="70"/>
        <v>1</v>
      </c>
      <c r="H451" s="720"/>
      <c r="I451" s="24">
        <f t="shared" si="71"/>
        <v>1</v>
      </c>
      <c r="J451" s="720"/>
      <c r="K451" s="24">
        <f t="shared" si="72"/>
        <v>1</v>
      </c>
      <c r="L451" s="720"/>
      <c r="M451" s="24">
        <f t="shared" si="73"/>
        <v>1</v>
      </c>
      <c r="N451" s="720"/>
      <c r="O451" s="24">
        <f t="shared" si="74"/>
        <v>1</v>
      </c>
      <c r="P451" s="720"/>
      <c r="Q451" s="24">
        <f t="shared" si="75"/>
        <v>1</v>
      </c>
      <c r="R451" s="716">
        <f t="shared" si="76"/>
        <v>0</v>
      </c>
      <c r="S451" s="361">
        <f t="shared" si="67"/>
        <v>0</v>
      </c>
    </row>
    <row r="452" spans="1:19">
      <c r="A452" s="159"/>
      <c r="B452" s="59"/>
      <c r="C452" s="24">
        <f t="shared" si="68"/>
        <v>1</v>
      </c>
      <c r="D452" s="720"/>
      <c r="E452" s="24">
        <f t="shared" si="69"/>
        <v>1</v>
      </c>
      <c r="F452" s="720"/>
      <c r="G452" s="24">
        <f t="shared" si="70"/>
        <v>1</v>
      </c>
      <c r="H452" s="720"/>
      <c r="I452" s="24">
        <f t="shared" si="71"/>
        <v>1</v>
      </c>
      <c r="J452" s="720"/>
      <c r="K452" s="24">
        <f t="shared" si="72"/>
        <v>1</v>
      </c>
      <c r="L452" s="720"/>
      <c r="M452" s="24">
        <f t="shared" si="73"/>
        <v>1</v>
      </c>
      <c r="N452" s="720"/>
      <c r="O452" s="24">
        <f t="shared" si="74"/>
        <v>1</v>
      </c>
      <c r="P452" s="720"/>
      <c r="Q452" s="24">
        <f t="shared" si="75"/>
        <v>1</v>
      </c>
      <c r="R452" s="716">
        <f t="shared" si="76"/>
        <v>0</v>
      </c>
      <c r="S452" s="361">
        <f t="shared" si="67"/>
        <v>0</v>
      </c>
    </row>
    <row r="453" spans="1:19">
      <c r="A453" s="159"/>
      <c r="B453" s="59"/>
      <c r="C453" s="24">
        <f t="shared" si="68"/>
        <v>1</v>
      </c>
      <c r="D453" s="720"/>
      <c r="E453" s="24">
        <f t="shared" si="69"/>
        <v>1</v>
      </c>
      <c r="F453" s="720"/>
      <c r="G453" s="24">
        <f t="shared" si="70"/>
        <v>1</v>
      </c>
      <c r="H453" s="720"/>
      <c r="I453" s="24">
        <f t="shared" si="71"/>
        <v>1</v>
      </c>
      <c r="J453" s="720"/>
      <c r="K453" s="24">
        <f t="shared" si="72"/>
        <v>1</v>
      </c>
      <c r="L453" s="720"/>
      <c r="M453" s="24">
        <f t="shared" si="73"/>
        <v>1</v>
      </c>
      <c r="N453" s="720"/>
      <c r="O453" s="24">
        <f t="shared" si="74"/>
        <v>1</v>
      </c>
      <c r="P453" s="720"/>
      <c r="Q453" s="24">
        <f t="shared" si="75"/>
        <v>1</v>
      </c>
      <c r="R453" s="716">
        <f t="shared" si="76"/>
        <v>0</v>
      </c>
      <c r="S453" s="361">
        <f t="shared" si="67"/>
        <v>0</v>
      </c>
    </row>
    <row r="454" spans="1:19">
      <c r="A454" s="159"/>
      <c r="B454" s="59"/>
      <c r="C454" s="24">
        <f t="shared" si="68"/>
        <v>1</v>
      </c>
      <c r="D454" s="720"/>
      <c r="E454" s="24">
        <f t="shared" si="69"/>
        <v>1</v>
      </c>
      <c r="F454" s="720"/>
      <c r="G454" s="24">
        <f t="shared" si="70"/>
        <v>1</v>
      </c>
      <c r="H454" s="720"/>
      <c r="I454" s="24">
        <f t="shared" si="71"/>
        <v>1</v>
      </c>
      <c r="J454" s="720"/>
      <c r="K454" s="24">
        <f t="shared" si="72"/>
        <v>1</v>
      </c>
      <c r="L454" s="720"/>
      <c r="M454" s="24">
        <f t="shared" si="73"/>
        <v>1</v>
      </c>
      <c r="N454" s="720"/>
      <c r="O454" s="24">
        <f t="shared" si="74"/>
        <v>1</v>
      </c>
      <c r="P454" s="720"/>
      <c r="Q454" s="24">
        <f t="shared" si="75"/>
        <v>1</v>
      </c>
      <c r="R454" s="716">
        <f t="shared" si="76"/>
        <v>0</v>
      </c>
      <c r="S454" s="361">
        <f t="shared" si="67"/>
        <v>0</v>
      </c>
    </row>
    <row r="455" spans="1:19">
      <c r="A455" s="159"/>
      <c r="B455" s="59"/>
      <c r="C455" s="24">
        <f t="shared" si="68"/>
        <v>1</v>
      </c>
      <c r="D455" s="720"/>
      <c r="E455" s="24">
        <f t="shared" si="69"/>
        <v>1</v>
      </c>
      <c r="F455" s="720"/>
      <c r="G455" s="24">
        <f t="shared" si="70"/>
        <v>1</v>
      </c>
      <c r="H455" s="720"/>
      <c r="I455" s="24">
        <f t="shared" si="71"/>
        <v>1</v>
      </c>
      <c r="J455" s="720"/>
      <c r="K455" s="24">
        <f t="shared" si="72"/>
        <v>1</v>
      </c>
      <c r="L455" s="720"/>
      <c r="M455" s="24">
        <f t="shared" si="73"/>
        <v>1</v>
      </c>
      <c r="N455" s="720"/>
      <c r="O455" s="24">
        <f t="shared" si="74"/>
        <v>1</v>
      </c>
      <c r="P455" s="720"/>
      <c r="Q455" s="24">
        <f t="shared" si="75"/>
        <v>1</v>
      </c>
      <c r="R455" s="716">
        <f t="shared" si="76"/>
        <v>0</v>
      </c>
      <c r="S455" s="361">
        <f t="shared" si="67"/>
        <v>0</v>
      </c>
    </row>
    <row r="456" spans="1:19">
      <c r="A456" s="159"/>
      <c r="B456" s="59"/>
      <c r="C456" s="24">
        <f t="shared" si="68"/>
        <v>1</v>
      </c>
      <c r="D456" s="720"/>
      <c r="E456" s="24">
        <f t="shared" si="69"/>
        <v>1</v>
      </c>
      <c r="F456" s="720"/>
      <c r="G456" s="24">
        <f t="shared" si="70"/>
        <v>1</v>
      </c>
      <c r="H456" s="720"/>
      <c r="I456" s="24">
        <f t="shared" si="71"/>
        <v>1</v>
      </c>
      <c r="J456" s="720"/>
      <c r="K456" s="24">
        <f t="shared" si="72"/>
        <v>1</v>
      </c>
      <c r="L456" s="720"/>
      <c r="M456" s="24">
        <f t="shared" si="73"/>
        <v>1</v>
      </c>
      <c r="N456" s="720"/>
      <c r="O456" s="24">
        <f t="shared" si="74"/>
        <v>1</v>
      </c>
      <c r="P456" s="720"/>
      <c r="Q456" s="24">
        <f t="shared" si="75"/>
        <v>1</v>
      </c>
      <c r="R456" s="716">
        <f t="shared" si="76"/>
        <v>0</v>
      </c>
      <c r="S456" s="361">
        <f t="shared" si="67"/>
        <v>0</v>
      </c>
    </row>
    <row r="457" spans="1:19">
      <c r="A457" s="159"/>
      <c r="B457" s="59"/>
      <c r="C457" s="24">
        <f t="shared" si="68"/>
        <v>1</v>
      </c>
      <c r="D457" s="720"/>
      <c r="E457" s="24">
        <f t="shared" si="69"/>
        <v>1</v>
      </c>
      <c r="F457" s="720"/>
      <c r="G457" s="24">
        <f t="shared" si="70"/>
        <v>1</v>
      </c>
      <c r="H457" s="720"/>
      <c r="I457" s="24">
        <f t="shared" si="71"/>
        <v>1</v>
      </c>
      <c r="J457" s="720"/>
      <c r="K457" s="24">
        <f t="shared" si="72"/>
        <v>1</v>
      </c>
      <c r="L457" s="720"/>
      <c r="M457" s="24">
        <f t="shared" si="73"/>
        <v>1</v>
      </c>
      <c r="N457" s="720"/>
      <c r="O457" s="24">
        <f t="shared" si="74"/>
        <v>1</v>
      </c>
      <c r="P457" s="720"/>
      <c r="Q457" s="24">
        <f t="shared" si="75"/>
        <v>1</v>
      </c>
      <c r="R457" s="716">
        <f t="shared" si="76"/>
        <v>0</v>
      </c>
      <c r="S457" s="361">
        <f t="shared" si="67"/>
        <v>0</v>
      </c>
    </row>
    <row r="458" spans="1:19">
      <c r="A458" s="159"/>
      <c r="B458" s="59"/>
      <c r="C458" s="24">
        <f t="shared" si="68"/>
        <v>1</v>
      </c>
      <c r="D458" s="720"/>
      <c r="E458" s="24">
        <f t="shared" si="69"/>
        <v>1</v>
      </c>
      <c r="F458" s="720"/>
      <c r="G458" s="24">
        <f t="shared" si="70"/>
        <v>1</v>
      </c>
      <c r="H458" s="720"/>
      <c r="I458" s="24">
        <f t="shared" si="71"/>
        <v>1</v>
      </c>
      <c r="J458" s="720"/>
      <c r="K458" s="24">
        <f t="shared" si="72"/>
        <v>1</v>
      </c>
      <c r="L458" s="720"/>
      <c r="M458" s="24">
        <f t="shared" si="73"/>
        <v>1</v>
      </c>
      <c r="N458" s="720"/>
      <c r="O458" s="24">
        <f t="shared" si="74"/>
        <v>1</v>
      </c>
      <c r="P458" s="720"/>
      <c r="Q458" s="24">
        <f t="shared" si="75"/>
        <v>1</v>
      </c>
      <c r="R458" s="716">
        <f t="shared" si="76"/>
        <v>0</v>
      </c>
      <c r="S458" s="361">
        <f t="shared" si="67"/>
        <v>0</v>
      </c>
    </row>
    <row r="459" spans="1:19">
      <c r="A459" s="159"/>
      <c r="B459" s="59"/>
      <c r="C459" s="24">
        <f t="shared" si="68"/>
        <v>1</v>
      </c>
      <c r="D459" s="720"/>
      <c r="E459" s="24">
        <f t="shared" si="69"/>
        <v>1</v>
      </c>
      <c r="F459" s="720"/>
      <c r="G459" s="24">
        <f t="shared" si="70"/>
        <v>1</v>
      </c>
      <c r="H459" s="720"/>
      <c r="I459" s="24">
        <f t="shared" si="71"/>
        <v>1</v>
      </c>
      <c r="J459" s="720"/>
      <c r="K459" s="24">
        <f t="shared" si="72"/>
        <v>1</v>
      </c>
      <c r="L459" s="720"/>
      <c r="M459" s="24">
        <f t="shared" si="73"/>
        <v>1</v>
      </c>
      <c r="N459" s="720"/>
      <c r="O459" s="24">
        <f t="shared" si="74"/>
        <v>1</v>
      </c>
      <c r="P459" s="720"/>
      <c r="Q459" s="24">
        <f t="shared" si="75"/>
        <v>1</v>
      </c>
      <c r="R459" s="716">
        <f t="shared" si="76"/>
        <v>0</v>
      </c>
      <c r="S459" s="361">
        <f t="shared" si="67"/>
        <v>0</v>
      </c>
    </row>
    <row r="460" spans="1:19">
      <c r="A460" s="159"/>
      <c r="B460" s="59"/>
      <c r="C460" s="24">
        <f t="shared" si="68"/>
        <v>1</v>
      </c>
      <c r="D460" s="720"/>
      <c r="E460" s="24">
        <f t="shared" si="69"/>
        <v>1</v>
      </c>
      <c r="F460" s="720"/>
      <c r="G460" s="24">
        <f t="shared" si="70"/>
        <v>1</v>
      </c>
      <c r="H460" s="720"/>
      <c r="I460" s="24">
        <f t="shared" si="71"/>
        <v>1</v>
      </c>
      <c r="J460" s="720"/>
      <c r="K460" s="24">
        <f t="shared" si="72"/>
        <v>1</v>
      </c>
      <c r="L460" s="720"/>
      <c r="M460" s="24">
        <f t="shared" si="73"/>
        <v>1</v>
      </c>
      <c r="N460" s="720"/>
      <c r="O460" s="24">
        <f t="shared" si="74"/>
        <v>1</v>
      </c>
      <c r="P460" s="720"/>
      <c r="Q460" s="24">
        <f t="shared" si="75"/>
        <v>1</v>
      </c>
      <c r="R460" s="716">
        <f t="shared" si="76"/>
        <v>0</v>
      </c>
      <c r="S460" s="361">
        <f t="shared" si="67"/>
        <v>0</v>
      </c>
    </row>
    <row r="461" spans="1:19">
      <c r="A461" s="159"/>
      <c r="B461" s="59"/>
      <c r="C461" s="24">
        <f t="shared" si="68"/>
        <v>1</v>
      </c>
      <c r="D461" s="720"/>
      <c r="E461" s="24">
        <f t="shared" si="69"/>
        <v>1</v>
      </c>
      <c r="F461" s="720"/>
      <c r="G461" s="24">
        <f t="shared" si="70"/>
        <v>1</v>
      </c>
      <c r="H461" s="720"/>
      <c r="I461" s="24">
        <f t="shared" si="71"/>
        <v>1</v>
      </c>
      <c r="J461" s="720"/>
      <c r="K461" s="24">
        <f t="shared" si="72"/>
        <v>1</v>
      </c>
      <c r="L461" s="720"/>
      <c r="M461" s="24">
        <f t="shared" si="73"/>
        <v>1</v>
      </c>
      <c r="N461" s="720"/>
      <c r="O461" s="24">
        <f t="shared" si="74"/>
        <v>1</v>
      </c>
      <c r="P461" s="720"/>
      <c r="Q461" s="24">
        <f t="shared" si="75"/>
        <v>1</v>
      </c>
      <c r="R461" s="716">
        <f t="shared" si="76"/>
        <v>0</v>
      </c>
      <c r="S461" s="361">
        <f t="shared" si="67"/>
        <v>0</v>
      </c>
    </row>
    <row r="462" spans="1:19">
      <c r="A462" s="159"/>
      <c r="B462" s="59"/>
      <c r="C462" s="24">
        <f t="shared" si="68"/>
        <v>1</v>
      </c>
      <c r="D462" s="720"/>
      <c r="E462" s="24">
        <f t="shared" si="69"/>
        <v>1</v>
      </c>
      <c r="F462" s="720"/>
      <c r="G462" s="24">
        <f t="shared" si="70"/>
        <v>1</v>
      </c>
      <c r="H462" s="720"/>
      <c r="I462" s="24">
        <f t="shared" si="71"/>
        <v>1</v>
      </c>
      <c r="J462" s="720"/>
      <c r="K462" s="24">
        <f t="shared" si="72"/>
        <v>1</v>
      </c>
      <c r="L462" s="720"/>
      <c r="M462" s="24">
        <f t="shared" si="73"/>
        <v>1</v>
      </c>
      <c r="N462" s="720"/>
      <c r="O462" s="24">
        <f t="shared" si="74"/>
        <v>1</v>
      </c>
      <c r="P462" s="720"/>
      <c r="Q462" s="24">
        <f t="shared" si="75"/>
        <v>1</v>
      </c>
      <c r="R462" s="716">
        <f t="shared" si="76"/>
        <v>0</v>
      </c>
      <c r="S462" s="361">
        <f t="shared" si="67"/>
        <v>0</v>
      </c>
    </row>
    <row r="463" spans="1:19">
      <c r="A463" s="159"/>
      <c r="B463" s="59"/>
      <c r="C463" s="24">
        <f t="shared" si="68"/>
        <v>1</v>
      </c>
      <c r="D463" s="720"/>
      <c r="E463" s="24">
        <f t="shared" si="69"/>
        <v>1</v>
      </c>
      <c r="F463" s="720"/>
      <c r="G463" s="24">
        <f t="shared" si="70"/>
        <v>1</v>
      </c>
      <c r="H463" s="720"/>
      <c r="I463" s="24">
        <f t="shared" si="71"/>
        <v>1</v>
      </c>
      <c r="J463" s="720"/>
      <c r="K463" s="24">
        <f t="shared" si="72"/>
        <v>1</v>
      </c>
      <c r="L463" s="720"/>
      <c r="M463" s="24">
        <f t="shared" si="73"/>
        <v>1</v>
      </c>
      <c r="N463" s="720"/>
      <c r="O463" s="24">
        <f t="shared" si="74"/>
        <v>1</v>
      </c>
      <c r="P463" s="720"/>
      <c r="Q463" s="24">
        <f t="shared" si="75"/>
        <v>1</v>
      </c>
      <c r="R463" s="716">
        <f t="shared" si="76"/>
        <v>0</v>
      </c>
      <c r="S463" s="361">
        <f t="shared" si="67"/>
        <v>0</v>
      </c>
    </row>
    <row r="464" spans="1:19">
      <c r="A464" s="159"/>
      <c r="B464" s="59"/>
      <c r="C464" s="24">
        <f t="shared" si="68"/>
        <v>1</v>
      </c>
      <c r="D464" s="720"/>
      <c r="E464" s="24">
        <f t="shared" si="69"/>
        <v>1</v>
      </c>
      <c r="F464" s="720"/>
      <c r="G464" s="24">
        <f t="shared" si="70"/>
        <v>1</v>
      </c>
      <c r="H464" s="720"/>
      <c r="I464" s="24">
        <f t="shared" si="71"/>
        <v>1</v>
      </c>
      <c r="J464" s="720"/>
      <c r="K464" s="24">
        <f t="shared" si="72"/>
        <v>1</v>
      </c>
      <c r="L464" s="720"/>
      <c r="M464" s="24">
        <f t="shared" si="73"/>
        <v>1</v>
      </c>
      <c r="N464" s="720"/>
      <c r="O464" s="24">
        <f t="shared" si="74"/>
        <v>1</v>
      </c>
      <c r="P464" s="720"/>
      <c r="Q464" s="24">
        <f t="shared" si="75"/>
        <v>1</v>
      </c>
      <c r="R464" s="716">
        <f t="shared" si="76"/>
        <v>0</v>
      </c>
      <c r="S464" s="361">
        <f t="shared" si="67"/>
        <v>0</v>
      </c>
    </row>
    <row r="465" spans="1:19">
      <c r="A465" s="159"/>
      <c r="B465" s="59"/>
      <c r="C465" s="24">
        <f t="shared" si="68"/>
        <v>1</v>
      </c>
      <c r="D465" s="720"/>
      <c r="E465" s="24">
        <f t="shared" si="69"/>
        <v>1</v>
      </c>
      <c r="F465" s="720"/>
      <c r="G465" s="24">
        <f t="shared" si="70"/>
        <v>1</v>
      </c>
      <c r="H465" s="720"/>
      <c r="I465" s="24">
        <f t="shared" si="71"/>
        <v>1</v>
      </c>
      <c r="J465" s="720"/>
      <c r="K465" s="24">
        <f t="shared" si="72"/>
        <v>1</v>
      </c>
      <c r="L465" s="720"/>
      <c r="M465" s="24">
        <f t="shared" si="73"/>
        <v>1</v>
      </c>
      <c r="N465" s="720"/>
      <c r="O465" s="24">
        <f t="shared" si="74"/>
        <v>1</v>
      </c>
      <c r="P465" s="720"/>
      <c r="Q465" s="24">
        <f t="shared" si="75"/>
        <v>1</v>
      </c>
      <c r="R465" s="716">
        <f t="shared" si="76"/>
        <v>0</v>
      </c>
      <c r="S465" s="361">
        <f t="shared" si="67"/>
        <v>0</v>
      </c>
    </row>
    <row r="466" spans="1:19">
      <c r="A466" s="159"/>
      <c r="B466" s="59"/>
      <c r="C466" s="24">
        <f t="shared" si="68"/>
        <v>1</v>
      </c>
      <c r="D466" s="720"/>
      <c r="E466" s="24">
        <f t="shared" si="69"/>
        <v>1</v>
      </c>
      <c r="F466" s="720"/>
      <c r="G466" s="24">
        <f t="shared" si="70"/>
        <v>1</v>
      </c>
      <c r="H466" s="720"/>
      <c r="I466" s="24">
        <f t="shared" si="71"/>
        <v>1</v>
      </c>
      <c r="J466" s="720"/>
      <c r="K466" s="24">
        <f t="shared" si="72"/>
        <v>1</v>
      </c>
      <c r="L466" s="720"/>
      <c r="M466" s="24">
        <f t="shared" si="73"/>
        <v>1</v>
      </c>
      <c r="N466" s="720"/>
      <c r="O466" s="24">
        <f t="shared" si="74"/>
        <v>1</v>
      </c>
      <c r="P466" s="720"/>
      <c r="Q466" s="24">
        <f t="shared" si="75"/>
        <v>1</v>
      </c>
      <c r="R466" s="716">
        <f t="shared" si="76"/>
        <v>0</v>
      </c>
      <c r="S466" s="361">
        <f t="shared" si="67"/>
        <v>0</v>
      </c>
    </row>
    <row r="467" spans="1:19">
      <c r="A467" s="159"/>
      <c r="B467" s="59"/>
      <c r="C467" s="24">
        <f t="shared" si="68"/>
        <v>1</v>
      </c>
      <c r="D467" s="720"/>
      <c r="E467" s="24">
        <f t="shared" si="69"/>
        <v>1</v>
      </c>
      <c r="F467" s="720"/>
      <c r="G467" s="24">
        <f t="shared" si="70"/>
        <v>1</v>
      </c>
      <c r="H467" s="720"/>
      <c r="I467" s="24">
        <f t="shared" si="71"/>
        <v>1</v>
      </c>
      <c r="J467" s="720"/>
      <c r="K467" s="24">
        <f t="shared" si="72"/>
        <v>1</v>
      </c>
      <c r="L467" s="720"/>
      <c r="M467" s="24">
        <f t="shared" si="73"/>
        <v>1</v>
      </c>
      <c r="N467" s="720"/>
      <c r="O467" s="24">
        <f t="shared" si="74"/>
        <v>1</v>
      </c>
      <c r="P467" s="720"/>
      <c r="Q467" s="24">
        <f t="shared" si="75"/>
        <v>1</v>
      </c>
      <c r="R467" s="716">
        <f t="shared" si="76"/>
        <v>0</v>
      </c>
      <c r="S467" s="361">
        <f t="shared" si="67"/>
        <v>0</v>
      </c>
    </row>
    <row r="468" spans="1:19">
      <c r="A468" s="159"/>
      <c r="B468" s="59"/>
      <c r="C468" s="24">
        <f t="shared" si="68"/>
        <v>1</v>
      </c>
      <c r="D468" s="720"/>
      <c r="E468" s="24">
        <f t="shared" si="69"/>
        <v>1</v>
      </c>
      <c r="F468" s="720"/>
      <c r="G468" s="24">
        <f t="shared" si="70"/>
        <v>1</v>
      </c>
      <c r="H468" s="720"/>
      <c r="I468" s="24">
        <f t="shared" si="71"/>
        <v>1</v>
      </c>
      <c r="J468" s="720"/>
      <c r="K468" s="24">
        <f t="shared" si="72"/>
        <v>1</v>
      </c>
      <c r="L468" s="720"/>
      <c r="M468" s="24">
        <f t="shared" si="73"/>
        <v>1</v>
      </c>
      <c r="N468" s="720"/>
      <c r="O468" s="24">
        <f t="shared" si="74"/>
        <v>1</v>
      </c>
      <c r="P468" s="720"/>
      <c r="Q468" s="24">
        <f t="shared" si="75"/>
        <v>1</v>
      </c>
      <c r="R468" s="716">
        <f t="shared" si="76"/>
        <v>0</v>
      </c>
      <c r="S468" s="361">
        <f t="shared" si="67"/>
        <v>0</v>
      </c>
    </row>
    <row r="469" spans="1:19">
      <c r="A469" s="159"/>
      <c r="B469" s="59"/>
      <c r="C469" s="24">
        <f t="shared" si="68"/>
        <v>1</v>
      </c>
      <c r="D469" s="720"/>
      <c r="E469" s="24">
        <f t="shared" si="69"/>
        <v>1</v>
      </c>
      <c r="F469" s="720"/>
      <c r="G469" s="24">
        <f t="shared" si="70"/>
        <v>1</v>
      </c>
      <c r="H469" s="720"/>
      <c r="I469" s="24">
        <f t="shared" si="71"/>
        <v>1</v>
      </c>
      <c r="J469" s="720"/>
      <c r="K469" s="24">
        <f t="shared" si="72"/>
        <v>1</v>
      </c>
      <c r="L469" s="720"/>
      <c r="M469" s="24">
        <f t="shared" si="73"/>
        <v>1</v>
      </c>
      <c r="N469" s="720"/>
      <c r="O469" s="24">
        <f t="shared" si="74"/>
        <v>1</v>
      </c>
      <c r="P469" s="720"/>
      <c r="Q469" s="24">
        <f t="shared" si="75"/>
        <v>1</v>
      </c>
      <c r="R469" s="716">
        <f t="shared" si="76"/>
        <v>0</v>
      </c>
      <c r="S469" s="361">
        <f t="shared" si="67"/>
        <v>0</v>
      </c>
    </row>
    <row r="470" spans="1:19">
      <c r="A470" s="159"/>
      <c r="B470" s="59"/>
      <c r="C470" s="24">
        <f t="shared" si="68"/>
        <v>1</v>
      </c>
      <c r="D470" s="720"/>
      <c r="E470" s="24">
        <f t="shared" si="69"/>
        <v>1</v>
      </c>
      <c r="F470" s="720"/>
      <c r="G470" s="24">
        <f t="shared" si="70"/>
        <v>1</v>
      </c>
      <c r="H470" s="720"/>
      <c r="I470" s="24">
        <f t="shared" si="71"/>
        <v>1</v>
      </c>
      <c r="J470" s="720"/>
      <c r="K470" s="24">
        <f t="shared" si="72"/>
        <v>1</v>
      </c>
      <c r="L470" s="720"/>
      <c r="M470" s="24">
        <f t="shared" si="73"/>
        <v>1</v>
      </c>
      <c r="N470" s="720"/>
      <c r="O470" s="24">
        <f t="shared" si="74"/>
        <v>1</v>
      </c>
      <c r="P470" s="720"/>
      <c r="Q470" s="24">
        <f t="shared" si="75"/>
        <v>1</v>
      </c>
      <c r="R470" s="716">
        <f t="shared" si="76"/>
        <v>0</v>
      </c>
      <c r="S470" s="361">
        <f t="shared" si="67"/>
        <v>0</v>
      </c>
    </row>
    <row r="471" spans="1:19">
      <c r="A471" s="159"/>
      <c r="B471" s="59"/>
      <c r="C471" s="24">
        <f t="shared" si="68"/>
        <v>1</v>
      </c>
      <c r="D471" s="720"/>
      <c r="E471" s="24">
        <f t="shared" si="69"/>
        <v>1</v>
      </c>
      <c r="F471" s="720"/>
      <c r="G471" s="24">
        <f t="shared" si="70"/>
        <v>1</v>
      </c>
      <c r="H471" s="720"/>
      <c r="I471" s="24">
        <f t="shared" si="71"/>
        <v>1</v>
      </c>
      <c r="J471" s="720"/>
      <c r="K471" s="24">
        <f t="shared" si="72"/>
        <v>1</v>
      </c>
      <c r="L471" s="720"/>
      <c r="M471" s="24">
        <f t="shared" si="73"/>
        <v>1</v>
      </c>
      <c r="N471" s="720"/>
      <c r="O471" s="24">
        <f t="shared" si="74"/>
        <v>1</v>
      </c>
      <c r="P471" s="720"/>
      <c r="Q471" s="24">
        <f t="shared" si="75"/>
        <v>1</v>
      </c>
      <c r="R471" s="716">
        <f t="shared" si="76"/>
        <v>0</v>
      </c>
      <c r="S471" s="361">
        <f t="shared" si="67"/>
        <v>0</v>
      </c>
    </row>
    <row r="472" spans="1:19">
      <c r="A472" s="159"/>
      <c r="B472" s="59"/>
      <c r="C472" s="24">
        <f t="shared" si="68"/>
        <v>1</v>
      </c>
      <c r="D472" s="720"/>
      <c r="E472" s="24">
        <f t="shared" si="69"/>
        <v>1</v>
      </c>
      <c r="F472" s="720"/>
      <c r="G472" s="24">
        <f t="shared" si="70"/>
        <v>1</v>
      </c>
      <c r="H472" s="720"/>
      <c r="I472" s="24">
        <f t="shared" si="71"/>
        <v>1</v>
      </c>
      <c r="J472" s="720"/>
      <c r="K472" s="24">
        <f t="shared" si="72"/>
        <v>1</v>
      </c>
      <c r="L472" s="720"/>
      <c r="M472" s="24">
        <f t="shared" si="73"/>
        <v>1</v>
      </c>
      <c r="N472" s="720"/>
      <c r="O472" s="24">
        <f t="shared" si="74"/>
        <v>1</v>
      </c>
      <c r="P472" s="720"/>
      <c r="Q472" s="24">
        <f t="shared" si="75"/>
        <v>1</v>
      </c>
      <c r="R472" s="716">
        <f t="shared" si="76"/>
        <v>0</v>
      </c>
      <c r="S472" s="361">
        <f t="shared" ref="S472:S524" si="77">ROUND(R472*B472/10000,0)</f>
        <v>0</v>
      </c>
    </row>
    <row r="473" spans="1:19">
      <c r="A473" s="159"/>
      <c r="B473" s="59"/>
      <c r="C473" s="24">
        <f t="shared" si="68"/>
        <v>1</v>
      </c>
      <c r="D473" s="720"/>
      <c r="E473" s="24">
        <f t="shared" si="69"/>
        <v>1</v>
      </c>
      <c r="F473" s="720"/>
      <c r="G473" s="24">
        <f t="shared" si="70"/>
        <v>1</v>
      </c>
      <c r="H473" s="720"/>
      <c r="I473" s="24">
        <f t="shared" si="71"/>
        <v>1</v>
      </c>
      <c r="J473" s="720"/>
      <c r="K473" s="24">
        <f t="shared" si="72"/>
        <v>1</v>
      </c>
      <c r="L473" s="720"/>
      <c r="M473" s="24">
        <f t="shared" si="73"/>
        <v>1</v>
      </c>
      <c r="N473" s="720"/>
      <c r="O473" s="24">
        <f t="shared" si="74"/>
        <v>1</v>
      </c>
      <c r="P473" s="720"/>
      <c r="Q473" s="24">
        <f t="shared" si="75"/>
        <v>1</v>
      </c>
      <c r="R473" s="716">
        <f t="shared" si="76"/>
        <v>0</v>
      </c>
      <c r="S473" s="361">
        <f t="shared" si="77"/>
        <v>0</v>
      </c>
    </row>
    <row r="474" spans="1:19">
      <c r="A474" s="159"/>
      <c r="B474" s="59"/>
      <c r="C474" s="24">
        <f t="shared" ref="C474:C524" si="78">IF(B474="",1,(LOOKUP(B474,$3:$3,$4:$4)-LOOKUP($B$24,$3:$3,$4:$4)+100)/100)</f>
        <v>1</v>
      </c>
      <c r="D474" s="720"/>
      <c r="E474" s="24">
        <f t="shared" ref="E474:E524" si="79">(SUMIF($5:$5,D474,$6:$6)-SUMIF($5:$5,$D$24,$6:$6)+100)/100</f>
        <v>1</v>
      </c>
      <c r="F474" s="720"/>
      <c r="G474" s="24">
        <f t="shared" ref="G474:G524" si="80">(SUMIF($7:$7,F474,$8:$8)-SUMIF($7:$7,$F$24,$8:$8)+100)/100</f>
        <v>1</v>
      </c>
      <c r="H474" s="720"/>
      <c r="I474" s="24">
        <f t="shared" ref="I474:I524" si="81">(SUMIF($9:$9,H474,$10:$10)-SUMIF($9:$9,$H$24,$10:$10)+100)/100</f>
        <v>1</v>
      </c>
      <c r="J474" s="720"/>
      <c r="K474" s="24">
        <f t="shared" ref="K474:K524" si="82">(SUMIF($11:$11,J474,$12:$12)-SUMIF($11:$11,$J$24,$12:$12)+100)/100</f>
        <v>1</v>
      </c>
      <c r="L474" s="720"/>
      <c r="M474" s="24">
        <f t="shared" ref="M474:M524" si="83">(SUMIF($13:$13,L474,$14:$14)-SUMIF($13:$13,$L$24,$14:$14)+100)/100</f>
        <v>1</v>
      </c>
      <c r="N474" s="720"/>
      <c r="O474" s="24">
        <f t="shared" ref="O474:O524" si="84">(SUMIF($15:$15,N474,$16:$16)-SUMIF($15:$15,$N$24,$16:$16)+100)/100</f>
        <v>1</v>
      </c>
      <c r="P474" s="720"/>
      <c r="Q474" s="24">
        <f t="shared" ref="Q474:Q524" si="85">(SUMIF($17:$17,P474,$18:$18)-SUMIF($17:$17,$P$24,$18:$18)+100)/100</f>
        <v>1</v>
      </c>
      <c r="R474" s="716">
        <f t="shared" ref="R474:R524" si="86">IF(B474="",0,ROUND($R$24*C474*E474*G474*I474*K474*M474*O474*Q474,0))</f>
        <v>0</v>
      </c>
      <c r="S474" s="361">
        <f t="shared" si="77"/>
        <v>0</v>
      </c>
    </row>
    <row r="475" spans="1:19">
      <c r="A475" s="159"/>
      <c r="B475" s="59"/>
      <c r="C475" s="24">
        <f t="shared" si="78"/>
        <v>1</v>
      </c>
      <c r="D475" s="720"/>
      <c r="E475" s="24">
        <f t="shared" si="79"/>
        <v>1</v>
      </c>
      <c r="F475" s="720"/>
      <c r="G475" s="24">
        <f t="shared" si="80"/>
        <v>1</v>
      </c>
      <c r="H475" s="720"/>
      <c r="I475" s="24">
        <f t="shared" si="81"/>
        <v>1</v>
      </c>
      <c r="J475" s="720"/>
      <c r="K475" s="24">
        <f t="shared" si="82"/>
        <v>1</v>
      </c>
      <c r="L475" s="720"/>
      <c r="M475" s="24">
        <f t="shared" si="83"/>
        <v>1</v>
      </c>
      <c r="N475" s="720"/>
      <c r="O475" s="24">
        <f t="shared" si="84"/>
        <v>1</v>
      </c>
      <c r="P475" s="720"/>
      <c r="Q475" s="24">
        <f t="shared" si="85"/>
        <v>1</v>
      </c>
      <c r="R475" s="716">
        <f t="shared" si="86"/>
        <v>0</v>
      </c>
      <c r="S475" s="361">
        <f t="shared" si="77"/>
        <v>0</v>
      </c>
    </row>
    <row r="476" spans="1:19">
      <c r="A476" s="159"/>
      <c r="B476" s="59"/>
      <c r="C476" s="24">
        <f t="shared" si="78"/>
        <v>1</v>
      </c>
      <c r="D476" s="720"/>
      <c r="E476" s="24">
        <f t="shared" si="79"/>
        <v>1</v>
      </c>
      <c r="F476" s="720"/>
      <c r="G476" s="24">
        <f t="shared" si="80"/>
        <v>1</v>
      </c>
      <c r="H476" s="720"/>
      <c r="I476" s="24">
        <f t="shared" si="81"/>
        <v>1</v>
      </c>
      <c r="J476" s="720"/>
      <c r="K476" s="24">
        <f t="shared" si="82"/>
        <v>1</v>
      </c>
      <c r="L476" s="720"/>
      <c r="M476" s="24">
        <f t="shared" si="83"/>
        <v>1</v>
      </c>
      <c r="N476" s="720"/>
      <c r="O476" s="24">
        <f t="shared" si="84"/>
        <v>1</v>
      </c>
      <c r="P476" s="720"/>
      <c r="Q476" s="24">
        <f t="shared" si="85"/>
        <v>1</v>
      </c>
      <c r="R476" s="716">
        <f t="shared" si="86"/>
        <v>0</v>
      </c>
      <c r="S476" s="361">
        <f t="shared" si="77"/>
        <v>0</v>
      </c>
    </row>
    <row r="477" spans="1:19">
      <c r="A477" s="159"/>
      <c r="B477" s="59"/>
      <c r="C477" s="24">
        <f t="shared" si="78"/>
        <v>1</v>
      </c>
      <c r="D477" s="720"/>
      <c r="E477" s="24">
        <f t="shared" si="79"/>
        <v>1</v>
      </c>
      <c r="F477" s="720"/>
      <c r="G477" s="24">
        <f t="shared" si="80"/>
        <v>1</v>
      </c>
      <c r="H477" s="720"/>
      <c r="I477" s="24">
        <f t="shared" si="81"/>
        <v>1</v>
      </c>
      <c r="J477" s="720"/>
      <c r="K477" s="24">
        <f t="shared" si="82"/>
        <v>1</v>
      </c>
      <c r="L477" s="720"/>
      <c r="M477" s="24">
        <f t="shared" si="83"/>
        <v>1</v>
      </c>
      <c r="N477" s="720"/>
      <c r="O477" s="24">
        <f t="shared" si="84"/>
        <v>1</v>
      </c>
      <c r="P477" s="720"/>
      <c r="Q477" s="24">
        <f t="shared" si="85"/>
        <v>1</v>
      </c>
      <c r="R477" s="716">
        <f t="shared" si="86"/>
        <v>0</v>
      </c>
      <c r="S477" s="361">
        <f t="shared" si="77"/>
        <v>0</v>
      </c>
    </row>
    <row r="478" spans="1:19">
      <c r="A478" s="159"/>
      <c r="B478" s="59"/>
      <c r="C478" s="24">
        <f t="shared" si="78"/>
        <v>1</v>
      </c>
      <c r="D478" s="720"/>
      <c r="E478" s="24">
        <f t="shared" si="79"/>
        <v>1</v>
      </c>
      <c r="F478" s="720"/>
      <c r="G478" s="24">
        <f t="shared" si="80"/>
        <v>1</v>
      </c>
      <c r="H478" s="720"/>
      <c r="I478" s="24">
        <f t="shared" si="81"/>
        <v>1</v>
      </c>
      <c r="J478" s="720"/>
      <c r="K478" s="24">
        <f t="shared" si="82"/>
        <v>1</v>
      </c>
      <c r="L478" s="720"/>
      <c r="M478" s="24">
        <f t="shared" si="83"/>
        <v>1</v>
      </c>
      <c r="N478" s="720"/>
      <c r="O478" s="24">
        <f t="shared" si="84"/>
        <v>1</v>
      </c>
      <c r="P478" s="720"/>
      <c r="Q478" s="24">
        <f t="shared" si="85"/>
        <v>1</v>
      </c>
      <c r="R478" s="716">
        <f t="shared" si="86"/>
        <v>0</v>
      </c>
      <c r="S478" s="361">
        <f t="shared" si="77"/>
        <v>0</v>
      </c>
    </row>
    <row r="479" spans="1:19">
      <c r="A479" s="159"/>
      <c r="B479" s="59"/>
      <c r="C479" s="24">
        <f t="shared" si="78"/>
        <v>1</v>
      </c>
      <c r="D479" s="720"/>
      <c r="E479" s="24">
        <f t="shared" si="79"/>
        <v>1</v>
      </c>
      <c r="F479" s="720"/>
      <c r="G479" s="24">
        <f t="shared" si="80"/>
        <v>1</v>
      </c>
      <c r="H479" s="720"/>
      <c r="I479" s="24">
        <f t="shared" si="81"/>
        <v>1</v>
      </c>
      <c r="J479" s="720"/>
      <c r="K479" s="24">
        <f t="shared" si="82"/>
        <v>1</v>
      </c>
      <c r="L479" s="720"/>
      <c r="M479" s="24">
        <f t="shared" si="83"/>
        <v>1</v>
      </c>
      <c r="N479" s="720"/>
      <c r="O479" s="24">
        <f t="shared" si="84"/>
        <v>1</v>
      </c>
      <c r="P479" s="720"/>
      <c r="Q479" s="24">
        <f t="shared" si="85"/>
        <v>1</v>
      </c>
      <c r="R479" s="716">
        <f t="shared" si="86"/>
        <v>0</v>
      </c>
      <c r="S479" s="361">
        <f t="shared" si="77"/>
        <v>0</v>
      </c>
    </row>
    <row r="480" spans="1:19">
      <c r="A480" s="159"/>
      <c r="B480" s="59"/>
      <c r="C480" s="24">
        <f t="shared" si="78"/>
        <v>1</v>
      </c>
      <c r="D480" s="720"/>
      <c r="E480" s="24">
        <f t="shared" si="79"/>
        <v>1</v>
      </c>
      <c r="F480" s="720"/>
      <c r="G480" s="24">
        <f t="shared" si="80"/>
        <v>1</v>
      </c>
      <c r="H480" s="720"/>
      <c r="I480" s="24">
        <f t="shared" si="81"/>
        <v>1</v>
      </c>
      <c r="J480" s="720"/>
      <c r="K480" s="24">
        <f t="shared" si="82"/>
        <v>1</v>
      </c>
      <c r="L480" s="720"/>
      <c r="M480" s="24">
        <f t="shared" si="83"/>
        <v>1</v>
      </c>
      <c r="N480" s="720"/>
      <c r="O480" s="24">
        <f t="shared" si="84"/>
        <v>1</v>
      </c>
      <c r="P480" s="720"/>
      <c r="Q480" s="24">
        <f t="shared" si="85"/>
        <v>1</v>
      </c>
      <c r="R480" s="716">
        <f t="shared" si="86"/>
        <v>0</v>
      </c>
      <c r="S480" s="361">
        <f t="shared" si="77"/>
        <v>0</v>
      </c>
    </row>
    <row r="481" spans="1:19">
      <c r="A481" s="159"/>
      <c r="B481" s="59"/>
      <c r="C481" s="24">
        <f t="shared" si="78"/>
        <v>1</v>
      </c>
      <c r="D481" s="720"/>
      <c r="E481" s="24">
        <f t="shared" si="79"/>
        <v>1</v>
      </c>
      <c r="F481" s="720"/>
      <c r="G481" s="24">
        <f t="shared" si="80"/>
        <v>1</v>
      </c>
      <c r="H481" s="720"/>
      <c r="I481" s="24">
        <f t="shared" si="81"/>
        <v>1</v>
      </c>
      <c r="J481" s="720"/>
      <c r="K481" s="24">
        <f t="shared" si="82"/>
        <v>1</v>
      </c>
      <c r="L481" s="720"/>
      <c r="M481" s="24">
        <f t="shared" si="83"/>
        <v>1</v>
      </c>
      <c r="N481" s="720"/>
      <c r="O481" s="24">
        <f t="shared" si="84"/>
        <v>1</v>
      </c>
      <c r="P481" s="720"/>
      <c r="Q481" s="24">
        <f t="shared" si="85"/>
        <v>1</v>
      </c>
      <c r="R481" s="716">
        <f t="shared" si="86"/>
        <v>0</v>
      </c>
      <c r="S481" s="361">
        <f t="shared" si="77"/>
        <v>0</v>
      </c>
    </row>
    <row r="482" spans="1:19">
      <c r="A482" s="159"/>
      <c r="B482" s="59"/>
      <c r="C482" s="24">
        <f t="shared" si="78"/>
        <v>1</v>
      </c>
      <c r="D482" s="720"/>
      <c r="E482" s="24">
        <f t="shared" si="79"/>
        <v>1</v>
      </c>
      <c r="F482" s="720"/>
      <c r="G482" s="24">
        <f t="shared" si="80"/>
        <v>1</v>
      </c>
      <c r="H482" s="720"/>
      <c r="I482" s="24">
        <f t="shared" si="81"/>
        <v>1</v>
      </c>
      <c r="J482" s="720"/>
      <c r="K482" s="24">
        <f t="shared" si="82"/>
        <v>1</v>
      </c>
      <c r="L482" s="720"/>
      <c r="M482" s="24">
        <f t="shared" si="83"/>
        <v>1</v>
      </c>
      <c r="N482" s="720"/>
      <c r="O482" s="24">
        <f t="shared" si="84"/>
        <v>1</v>
      </c>
      <c r="P482" s="720"/>
      <c r="Q482" s="24">
        <f t="shared" si="85"/>
        <v>1</v>
      </c>
      <c r="R482" s="716">
        <f t="shared" si="86"/>
        <v>0</v>
      </c>
      <c r="S482" s="361">
        <f t="shared" si="77"/>
        <v>0</v>
      </c>
    </row>
    <row r="483" spans="1:19">
      <c r="A483" s="159"/>
      <c r="B483" s="59"/>
      <c r="C483" s="24">
        <f t="shared" si="78"/>
        <v>1</v>
      </c>
      <c r="D483" s="720"/>
      <c r="E483" s="24">
        <f t="shared" si="79"/>
        <v>1</v>
      </c>
      <c r="F483" s="720"/>
      <c r="G483" s="24">
        <f t="shared" si="80"/>
        <v>1</v>
      </c>
      <c r="H483" s="720"/>
      <c r="I483" s="24">
        <f t="shared" si="81"/>
        <v>1</v>
      </c>
      <c r="J483" s="720"/>
      <c r="K483" s="24">
        <f t="shared" si="82"/>
        <v>1</v>
      </c>
      <c r="L483" s="720"/>
      <c r="M483" s="24">
        <f t="shared" si="83"/>
        <v>1</v>
      </c>
      <c r="N483" s="720"/>
      <c r="O483" s="24">
        <f t="shared" si="84"/>
        <v>1</v>
      </c>
      <c r="P483" s="720"/>
      <c r="Q483" s="24">
        <f t="shared" si="85"/>
        <v>1</v>
      </c>
      <c r="R483" s="716">
        <f t="shared" si="86"/>
        <v>0</v>
      </c>
      <c r="S483" s="361">
        <f t="shared" si="77"/>
        <v>0</v>
      </c>
    </row>
    <row r="484" spans="1:19">
      <c r="A484" s="159"/>
      <c r="B484" s="59"/>
      <c r="C484" s="24">
        <f t="shared" si="78"/>
        <v>1</v>
      </c>
      <c r="D484" s="720"/>
      <c r="E484" s="24">
        <f t="shared" si="79"/>
        <v>1</v>
      </c>
      <c r="F484" s="720"/>
      <c r="G484" s="24">
        <f t="shared" si="80"/>
        <v>1</v>
      </c>
      <c r="H484" s="720"/>
      <c r="I484" s="24">
        <f t="shared" si="81"/>
        <v>1</v>
      </c>
      <c r="J484" s="720"/>
      <c r="K484" s="24">
        <f t="shared" si="82"/>
        <v>1</v>
      </c>
      <c r="L484" s="720"/>
      <c r="M484" s="24">
        <f t="shared" si="83"/>
        <v>1</v>
      </c>
      <c r="N484" s="720"/>
      <c r="O484" s="24">
        <f t="shared" si="84"/>
        <v>1</v>
      </c>
      <c r="P484" s="720"/>
      <c r="Q484" s="24">
        <f t="shared" si="85"/>
        <v>1</v>
      </c>
      <c r="R484" s="716">
        <f t="shared" si="86"/>
        <v>0</v>
      </c>
      <c r="S484" s="361">
        <f t="shared" si="77"/>
        <v>0</v>
      </c>
    </row>
    <row r="485" spans="1:19">
      <c r="A485" s="159"/>
      <c r="B485" s="59"/>
      <c r="C485" s="24">
        <f t="shared" si="78"/>
        <v>1</v>
      </c>
      <c r="D485" s="720"/>
      <c r="E485" s="24">
        <f t="shared" si="79"/>
        <v>1</v>
      </c>
      <c r="F485" s="720"/>
      <c r="G485" s="24">
        <f t="shared" si="80"/>
        <v>1</v>
      </c>
      <c r="H485" s="720"/>
      <c r="I485" s="24">
        <f t="shared" si="81"/>
        <v>1</v>
      </c>
      <c r="J485" s="720"/>
      <c r="K485" s="24">
        <f t="shared" si="82"/>
        <v>1</v>
      </c>
      <c r="L485" s="720"/>
      <c r="M485" s="24">
        <f t="shared" si="83"/>
        <v>1</v>
      </c>
      <c r="N485" s="720"/>
      <c r="O485" s="24">
        <f t="shared" si="84"/>
        <v>1</v>
      </c>
      <c r="P485" s="720"/>
      <c r="Q485" s="24">
        <f t="shared" si="85"/>
        <v>1</v>
      </c>
      <c r="R485" s="716">
        <f t="shared" si="86"/>
        <v>0</v>
      </c>
      <c r="S485" s="361">
        <f t="shared" si="77"/>
        <v>0</v>
      </c>
    </row>
    <row r="486" spans="1:19">
      <c r="A486" s="159"/>
      <c r="B486" s="59"/>
      <c r="C486" s="24">
        <f t="shared" si="78"/>
        <v>1</v>
      </c>
      <c r="D486" s="720"/>
      <c r="E486" s="24">
        <f t="shared" si="79"/>
        <v>1</v>
      </c>
      <c r="F486" s="720"/>
      <c r="G486" s="24">
        <f t="shared" si="80"/>
        <v>1</v>
      </c>
      <c r="H486" s="720"/>
      <c r="I486" s="24">
        <f t="shared" si="81"/>
        <v>1</v>
      </c>
      <c r="J486" s="720"/>
      <c r="K486" s="24">
        <f t="shared" si="82"/>
        <v>1</v>
      </c>
      <c r="L486" s="720"/>
      <c r="M486" s="24">
        <f t="shared" si="83"/>
        <v>1</v>
      </c>
      <c r="N486" s="720"/>
      <c r="O486" s="24">
        <f t="shared" si="84"/>
        <v>1</v>
      </c>
      <c r="P486" s="720"/>
      <c r="Q486" s="24">
        <f t="shared" si="85"/>
        <v>1</v>
      </c>
      <c r="R486" s="716">
        <f t="shared" si="86"/>
        <v>0</v>
      </c>
      <c r="S486" s="361">
        <f t="shared" si="77"/>
        <v>0</v>
      </c>
    </row>
    <row r="487" spans="1:19">
      <c r="A487" s="159"/>
      <c r="B487" s="59"/>
      <c r="C487" s="24">
        <f t="shared" si="78"/>
        <v>1</v>
      </c>
      <c r="D487" s="720"/>
      <c r="E487" s="24">
        <f t="shared" si="79"/>
        <v>1</v>
      </c>
      <c r="F487" s="720"/>
      <c r="G487" s="24">
        <f t="shared" si="80"/>
        <v>1</v>
      </c>
      <c r="H487" s="720"/>
      <c r="I487" s="24">
        <f t="shared" si="81"/>
        <v>1</v>
      </c>
      <c r="J487" s="720"/>
      <c r="K487" s="24">
        <f t="shared" si="82"/>
        <v>1</v>
      </c>
      <c r="L487" s="720"/>
      <c r="M487" s="24">
        <f t="shared" si="83"/>
        <v>1</v>
      </c>
      <c r="N487" s="720"/>
      <c r="O487" s="24">
        <f t="shared" si="84"/>
        <v>1</v>
      </c>
      <c r="P487" s="720"/>
      <c r="Q487" s="24">
        <f t="shared" si="85"/>
        <v>1</v>
      </c>
      <c r="R487" s="716">
        <f t="shared" si="86"/>
        <v>0</v>
      </c>
      <c r="S487" s="361">
        <f t="shared" si="77"/>
        <v>0</v>
      </c>
    </row>
    <row r="488" spans="1:19">
      <c r="A488" s="159"/>
      <c r="B488" s="59"/>
      <c r="C488" s="24">
        <f t="shared" si="78"/>
        <v>1</v>
      </c>
      <c r="D488" s="720"/>
      <c r="E488" s="24">
        <f t="shared" si="79"/>
        <v>1</v>
      </c>
      <c r="F488" s="720"/>
      <c r="G488" s="24">
        <f t="shared" si="80"/>
        <v>1</v>
      </c>
      <c r="H488" s="720"/>
      <c r="I488" s="24">
        <f t="shared" si="81"/>
        <v>1</v>
      </c>
      <c r="J488" s="720"/>
      <c r="K488" s="24">
        <f t="shared" si="82"/>
        <v>1</v>
      </c>
      <c r="L488" s="720"/>
      <c r="M488" s="24">
        <f t="shared" si="83"/>
        <v>1</v>
      </c>
      <c r="N488" s="720"/>
      <c r="O488" s="24">
        <f t="shared" si="84"/>
        <v>1</v>
      </c>
      <c r="P488" s="720"/>
      <c r="Q488" s="24">
        <f t="shared" si="85"/>
        <v>1</v>
      </c>
      <c r="R488" s="716">
        <f t="shared" si="86"/>
        <v>0</v>
      </c>
      <c r="S488" s="361">
        <f t="shared" si="77"/>
        <v>0</v>
      </c>
    </row>
    <row r="489" spans="1:19">
      <c r="A489" s="159"/>
      <c r="B489" s="59"/>
      <c r="C489" s="24">
        <f t="shared" si="78"/>
        <v>1</v>
      </c>
      <c r="D489" s="720"/>
      <c r="E489" s="24">
        <f t="shared" si="79"/>
        <v>1</v>
      </c>
      <c r="F489" s="720"/>
      <c r="G489" s="24">
        <f t="shared" si="80"/>
        <v>1</v>
      </c>
      <c r="H489" s="720"/>
      <c r="I489" s="24">
        <f t="shared" si="81"/>
        <v>1</v>
      </c>
      <c r="J489" s="720"/>
      <c r="K489" s="24">
        <f t="shared" si="82"/>
        <v>1</v>
      </c>
      <c r="L489" s="720"/>
      <c r="M489" s="24">
        <f t="shared" si="83"/>
        <v>1</v>
      </c>
      <c r="N489" s="720"/>
      <c r="O489" s="24">
        <f t="shared" si="84"/>
        <v>1</v>
      </c>
      <c r="P489" s="720"/>
      <c r="Q489" s="24">
        <f t="shared" si="85"/>
        <v>1</v>
      </c>
      <c r="R489" s="716">
        <f t="shared" si="86"/>
        <v>0</v>
      </c>
      <c r="S489" s="361">
        <f t="shared" si="77"/>
        <v>0</v>
      </c>
    </row>
    <row r="490" spans="1:19">
      <c r="A490" s="159"/>
      <c r="B490" s="59"/>
      <c r="C490" s="24">
        <f t="shared" si="78"/>
        <v>1</v>
      </c>
      <c r="D490" s="720"/>
      <c r="E490" s="24">
        <f t="shared" si="79"/>
        <v>1</v>
      </c>
      <c r="F490" s="720"/>
      <c r="G490" s="24">
        <f t="shared" si="80"/>
        <v>1</v>
      </c>
      <c r="H490" s="720"/>
      <c r="I490" s="24">
        <f t="shared" si="81"/>
        <v>1</v>
      </c>
      <c r="J490" s="720"/>
      <c r="K490" s="24">
        <f t="shared" si="82"/>
        <v>1</v>
      </c>
      <c r="L490" s="720"/>
      <c r="M490" s="24">
        <f t="shared" si="83"/>
        <v>1</v>
      </c>
      <c r="N490" s="720"/>
      <c r="O490" s="24">
        <f t="shared" si="84"/>
        <v>1</v>
      </c>
      <c r="P490" s="720"/>
      <c r="Q490" s="24">
        <f t="shared" si="85"/>
        <v>1</v>
      </c>
      <c r="R490" s="716">
        <f t="shared" si="86"/>
        <v>0</v>
      </c>
      <c r="S490" s="361">
        <f t="shared" si="77"/>
        <v>0</v>
      </c>
    </row>
    <row r="491" spans="1:19">
      <c r="A491" s="159"/>
      <c r="B491" s="59"/>
      <c r="C491" s="24">
        <f t="shared" si="78"/>
        <v>1</v>
      </c>
      <c r="D491" s="720"/>
      <c r="E491" s="24">
        <f t="shared" si="79"/>
        <v>1</v>
      </c>
      <c r="F491" s="720"/>
      <c r="G491" s="24">
        <f t="shared" si="80"/>
        <v>1</v>
      </c>
      <c r="H491" s="720"/>
      <c r="I491" s="24">
        <f t="shared" si="81"/>
        <v>1</v>
      </c>
      <c r="J491" s="720"/>
      <c r="K491" s="24">
        <f t="shared" si="82"/>
        <v>1</v>
      </c>
      <c r="L491" s="720"/>
      <c r="M491" s="24">
        <f t="shared" si="83"/>
        <v>1</v>
      </c>
      <c r="N491" s="720"/>
      <c r="O491" s="24">
        <f t="shared" si="84"/>
        <v>1</v>
      </c>
      <c r="P491" s="720"/>
      <c r="Q491" s="24">
        <f t="shared" si="85"/>
        <v>1</v>
      </c>
      <c r="R491" s="716">
        <f t="shared" si="86"/>
        <v>0</v>
      </c>
      <c r="S491" s="361">
        <f t="shared" si="77"/>
        <v>0</v>
      </c>
    </row>
    <row r="492" spans="1:19">
      <c r="A492" s="159"/>
      <c r="B492" s="59"/>
      <c r="C492" s="24">
        <f t="shared" si="78"/>
        <v>1</v>
      </c>
      <c r="D492" s="720"/>
      <c r="E492" s="24">
        <f t="shared" si="79"/>
        <v>1</v>
      </c>
      <c r="F492" s="720"/>
      <c r="G492" s="24">
        <f t="shared" si="80"/>
        <v>1</v>
      </c>
      <c r="H492" s="720"/>
      <c r="I492" s="24">
        <f t="shared" si="81"/>
        <v>1</v>
      </c>
      <c r="J492" s="720"/>
      <c r="K492" s="24">
        <f t="shared" si="82"/>
        <v>1</v>
      </c>
      <c r="L492" s="720"/>
      <c r="M492" s="24">
        <f t="shared" si="83"/>
        <v>1</v>
      </c>
      <c r="N492" s="720"/>
      <c r="O492" s="24">
        <f t="shared" si="84"/>
        <v>1</v>
      </c>
      <c r="P492" s="720"/>
      <c r="Q492" s="24">
        <f t="shared" si="85"/>
        <v>1</v>
      </c>
      <c r="R492" s="716">
        <f t="shared" si="86"/>
        <v>0</v>
      </c>
      <c r="S492" s="361">
        <f t="shared" si="77"/>
        <v>0</v>
      </c>
    </row>
    <row r="493" spans="1:19">
      <c r="A493" s="159"/>
      <c r="B493" s="59"/>
      <c r="C493" s="24">
        <f t="shared" si="78"/>
        <v>1</v>
      </c>
      <c r="D493" s="720"/>
      <c r="E493" s="24">
        <f t="shared" si="79"/>
        <v>1</v>
      </c>
      <c r="F493" s="720"/>
      <c r="G493" s="24">
        <f t="shared" si="80"/>
        <v>1</v>
      </c>
      <c r="H493" s="720"/>
      <c r="I493" s="24">
        <f t="shared" si="81"/>
        <v>1</v>
      </c>
      <c r="J493" s="720"/>
      <c r="K493" s="24">
        <f t="shared" si="82"/>
        <v>1</v>
      </c>
      <c r="L493" s="720"/>
      <c r="M493" s="24">
        <f t="shared" si="83"/>
        <v>1</v>
      </c>
      <c r="N493" s="720"/>
      <c r="O493" s="24">
        <f t="shared" si="84"/>
        <v>1</v>
      </c>
      <c r="P493" s="720"/>
      <c r="Q493" s="24">
        <f t="shared" si="85"/>
        <v>1</v>
      </c>
      <c r="R493" s="716">
        <f t="shared" si="86"/>
        <v>0</v>
      </c>
      <c r="S493" s="361">
        <f t="shared" si="77"/>
        <v>0</v>
      </c>
    </row>
    <row r="494" spans="1:19">
      <c r="A494" s="159"/>
      <c r="B494" s="59"/>
      <c r="C494" s="24">
        <f t="shared" si="78"/>
        <v>1</v>
      </c>
      <c r="D494" s="720"/>
      <c r="E494" s="24">
        <f t="shared" si="79"/>
        <v>1</v>
      </c>
      <c r="F494" s="720"/>
      <c r="G494" s="24">
        <f t="shared" si="80"/>
        <v>1</v>
      </c>
      <c r="H494" s="720"/>
      <c r="I494" s="24">
        <f t="shared" si="81"/>
        <v>1</v>
      </c>
      <c r="J494" s="720"/>
      <c r="K494" s="24">
        <f t="shared" si="82"/>
        <v>1</v>
      </c>
      <c r="L494" s="720"/>
      <c r="M494" s="24">
        <f t="shared" si="83"/>
        <v>1</v>
      </c>
      <c r="N494" s="720"/>
      <c r="O494" s="24">
        <f t="shared" si="84"/>
        <v>1</v>
      </c>
      <c r="P494" s="720"/>
      <c r="Q494" s="24">
        <f t="shared" si="85"/>
        <v>1</v>
      </c>
      <c r="R494" s="716">
        <f t="shared" si="86"/>
        <v>0</v>
      </c>
      <c r="S494" s="361">
        <f t="shared" si="77"/>
        <v>0</v>
      </c>
    </row>
    <row r="495" spans="1:19">
      <c r="A495" s="159"/>
      <c r="B495" s="59"/>
      <c r="C495" s="24">
        <f t="shared" si="78"/>
        <v>1</v>
      </c>
      <c r="D495" s="720"/>
      <c r="E495" s="24">
        <f t="shared" si="79"/>
        <v>1</v>
      </c>
      <c r="F495" s="720"/>
      <c r="G495" s="24">
        <f t="shared" si="80"/>
        <v>1</v>
      </c>
      <c r="H495" s="720"/>
      <c r="I495" s="24">
        <f t="shared" si="81"/>
        <v>1</v>
      </c>
      <c r="J495" s="720"/>
      <c r="K495" s="24">
        <f t="shared" si="82"/>
        <v>1</v>
      </c>
      <c r="L495" s="720"/>
      <c r="M495" s="24">
        <f t="shared" si="83"/>
        <v>1</v>
      </c>
      <c r="N495" s="720"/>
      <c r="O495" s="24">
        <f t="shared" si="84"/>
        <v>1</v>
      </c>
      <c r="P495" s="720"/>
      <c r="Q495" s="24">
        <f t="shared" si="85"/>
        <v>1</v>
      </c>
      <c r="R495" s="716">
        <f t="shared" si="86"/>
        <v>0</v>
      </c>
      <c r="S495" s="361">
        <f t="shared" si="77"/>
        <v>0</v>
      </c>
    </row>
    <row r="496" spans="1:19">
      <c r="A496" s="159"/>
      <c r="B496" s="59"/>
      <c r="C496" s="24">
        <f t="shared" si="78"/>
        <v>1</v>
      </c>
      <c r="D496" s="720"/>
      <c r="E496" s="24">
        <f t="shared" si="79"/>
        <v>1</v>
      </c>
      <c r="F496" s="720"/>
      <c r="G496" s="24">
        <f t="shared" si="80"/>
        <v>1</v>
      </c>
      <c r="H496" s="720"/>
      <c r="I496" s="24">
        <f t="shared" si="81"/>
        <v>1</v>
      </c>
      <c r="J496" s="720"/>
      <c r="K496" s="24">
        <f t="shared" si="82"/>
        <v>1</v>
      </c>
      <c r="L496" s="720"/>
      <c r="M496" s="24">
        <f t="shared" si="83"/>
        <v>1</v>
      </c>
      <c r="N496" s="720"/>
      <c r="O496" s="24">
        <f t="shared" si="84"/>
        <v>1</v>
      </c>
      <c r="P496" s="720"/>
      <c r="Q496" s="24">
        <f t="shared" si="85"/>
        <v>1</v>
      </c>
      <c r="R496" s="716">
        <f t="shared" si="86"/>
        <v>0</v>
      </c>
      <c r="S496" s="361">
        <f t="shared" si="77"/>
        <v>0</v>
      </c>
    </row>
    <row r="497" spans="1:19">
      <c r="A497" s="159"/>
      <c r="B497" s="59"/>
      <c r="C497" s="24">
        <f t="shared" si="78"/>
        <v>1</v>
      </c>
      <c r="D497" s="720"/>
      <c r="E497" s="24">
        <f t="shared" si="79"/>
        <v>1</v>
      </c>
      <c r="F497" s="720"/>
      <c r="G497" s="24">
        <f t="shared" si="80"/>
        <v>1</v>
      </c>
      <c r="H497" s="720"/>
      <c r="I497" s="24">
        <f t="shared" si="81"/>
        <v>1</v>
      </c>
      <c r="J497" s="720"/>
      <c r="K497" s="24">
        <f t="shared" si="82"/>
        <v>1</v>
      </c>
      <c r="L497" s="720"/>
      <c r="M497" s="24">
        <f t="shared" si="83"/>
        <v>1</v>
      </c>
      <c r="N497" s="720"/>
      <c r="O497" s="24">
        <f t="shared" si="84"/>
        <v>1</v>
      </c>
      <c r="P497" s="720"/>
      <c r="Q497" s="24">
        <f t="shared" si="85"/>
        <v>1</v>
      </c>
      <c r="R497" s="716">
        <f t="shared" si="86"/>
        <v>0</v>
      </c>
      <c r="S497" s="361">
        <f t="shared" si="77"/>
        <v>0</v>
      </c>
    </row>
    <row r="498" spans="1:19">
      <c r="A498" s="159"/>
      <c r="B498" s="59"/>
      <c r="C498" s="24">
        <f t="shared" si="78"/>
        <v>1</v>
      </c>
      <c r="D498" s="720"/>
      <c r="E498" s="24">
        <f t="shared" si="79"/>
        <v>1</v>
      </c>
      <c r="F498" s="720"/>
      <c r="G498" s="24">
        <f t="shared" si="80"/>
        <v>1</v>
      </c>
      <c r="H498" s="720"/>
      <c r="I498" s="24">
        <f t="shared" si="81"/>
        <v>1</v>
      </c>
      <c r="J498" s="720"/>
      <c r="K498" s="24">
        <f t="shared" si="82"/>
        <v>1</v>
      </c>
      <c r="L498" s="720"/>
      <c r="M498" s="24">
        <f t="shared" si="83"/>
        <v>1</v>
      </c>
      <c r="N498" s="720"/>
      <c r="O498" s="24">
        <f t="shared" si="84"/>
        <v>1</v>
      </c>
      <c r="P498" s="720"/>
      <c r="Q498" s="24">
        <f t="shared" si="85"/>
        <v>1</v>
      </c>
      <c r="R498" s="716">
        <f t="shared" si="86"/>
        <v>0</v>
      </c>
      <c r="S498" s="361">
        <f t="shared" si="77"/>
        <v>0</v>
      </c>
    </row>
    <row r="499" spans="1:19">
      <c r="A499" s="159"/>
      <c r="B499" s="59"/>
      <c r="C499" s="24">
        <f t="shared" si="78"/>
        <v>1</v>
      </c>
      <c r="D499" s="720"/>
      <c r="E499" s="24">
        <f t="shared" si="79"/>
        <v>1</v>
      </c>
      <c r="F499" s="720"/>
      <c r="G499" s="24">
        <f t="shared" si="80"/>
        <v>1</v>
      </c>
      <c r="H499" s="720"/>
      <c r="I499" s="24">
        <f t="shared" si="81"/>
        <v>1</v>
      </c>
      <c r="J499" s="720"/>
      <c r="K499" s="24">
        <f t="shared" si="82"/>
        <v>1</v>
      </c>
      <c r="L499" s="720"/>
      <c r="M499" s="24">
        <f t="shared" si="83"/>
        <v>1</v>
      </c>
      <c r="N499" s="720"/>
      <c r="O499" s="24">
        <f t="shared" si="84"/>
        <v>1</v>
      </c>
      <c r="P499" s="720"/>
      <c r="Q499" s="24">
        <f t="shared" si="85"/>
        <v>1</v>
      </c>
      <c r="R499" s="716">
        <f t="shared" si="86"/>
        <v>0</v>
      </c>
      <c r="S499" s="361">
        <f t="shared" si="77"/>
        <v>0</v>
      </c>
    </row>
    <row r="500" spans="1:19">
      <c r="A500" s="159"/>
      <c r="B500" s="59"/>
      <c r="C500" s="24">
        <f t="shared" si="78"/>
        <v>1</v>
      </c>
      <c r="D500" s="720"/>
      <c r="E500" s="24">
        <f t="shared" si="79"/>
        <v>1</v>
      </c>
      <c r="F500" s="720"/>
      <c r="G500" s="24">
        <f t="shared" si="80"/>
        <v>1</v>
      </c>
      <c r="H500" s="720"/>
      <c r="I500" s="24">
        <f t="shared" si="81"/>
        <v>1</v>
      </c>
      <c r="J500" s="720"/>
      <c r="K500" s="24">
        <f t="shared" si="82"/>
        <v>1</v>
      </c>
      <c r="L500" s="720"/>
      <c r="M500" s="24">
        <f t="shared" si="83"/>
        <v>1</v>
      </c>
      <c r="N500" s="720"/>
      <c r="O500" s="24">
        <f t="shared" si="84"/>
        <v>1</v>
      </c>
      <c r="P500" s="720"/>
      <c r="Q500" s="24">
        <f t="shared" si="85"/>
        <v>1</v>
      </c>
      <c r="R500" s="716">
        <f t="shared" si="86"/>
        <v>0</v>
      </c>
      <c r="S500" s="361">
        <f t="shared" si="77"/>
        <v>0</v>
      </c>
    </row>
    <row r="501" spans="1:19">
      <c r="A501" s="159"/>
      <c r="B501" s="59"/>
      <c r="C501" s="24">
        <f t="shared" si="78"/>
        <v>1</v>
      </c>
      <c r="D501" s="720"/>
      <c r="E501" s="24">
        <f t="shared" si="79"/>
        <v>1</v>
      </c>
      <c r="F501" s="720"/>
      <c r="G501" s="24">
        <f t="shared" si="80"/>
        <v>1</v>
      </c>
      <c r="H501" s="720"/>
      <c r="I501" s="24">
        <f t="shared" si="81"/>
        <v>1</v>
      </c>
      <c r="J501" s="720"/>
      <c r="K501" s="24">
        <f t="shared" si="82"/>
        <v>1</v>
      </c>
      <c r="L501" s="720"/>
      <c r="M501" s="24">
        <f t="shared" si="83"/>
        <v>1</v>
      </c>
      <c r="N501" s="720"/>
      <c r="O501" s="24">
        <f t="shared" si="84"/>
        <v>1</v>
      </c>
      <c r="P501" s="720"/>
      <c r="Q501" s="24">
        <f t="shared" si="85"/>
        <v>1</v>
      </c>
      <c r="R501" s="716">
        <f t="shared" si="86"/>
        <v>0</v>
      </c>
      <c r="S501" s="361">
        <f t="shared" si="77"/>
        <v>0</v>
      </c>
    </row>
    <row r="502" spans="1:19">
      <c r="A502" s="159"/>
      <c r="B502" s="59"/>
      <c r="C502" s="24">
        <f t="shared" si="78"/>
        <v>1</v>
      </c>
      <c r="D502" s="720"/>
      <c r="E502" s="24">
        <f t="shared" si="79"/>
        <v>1</v>
      </c>
      <c r="F502" s="720"/>
      <c r="G502" s="24">
        <f t="shared" si="80"/>
        <v>1</v>
      </c>
      <c r="H502" s="720"/>
      <c r="I502" s="24">
        <f t="shared" si="81"/>
        <v>1</v>
      </c>
      <c r="J502" s="720"/>
      <c r="K502" s="24">
        <f t="shared" si="82"/>
        <v>1</v>
      </c>
      <c r="L502" s="720"/>
      <c r="M502" s="24">
        <f t="shared" si="83"/>
        <v>1</v>
      </c>
      <c r="N502" s="720"/>
      <c r="O502" s="24">
        <f t="shared" si="84"/>
        <v>1</v>
      </c>
      <c r="P502" s="720"/>
      <c r="Q502" s="24">
        <f t="shared" si="85"/>
        <v>1</v>
      </c>
      <c r="R502" s="716">
        <f t="shared" si="86"/>
        <v>0</v>
      </c>
      <c r="S502" s="361">
        <f t="shared" si="77"/>
        <v>0</v>
      </c>
    </row>
    <row r="503" spans="1:19">
      <c r="A503" s="159"/>
      <c r="B503" s="59"/>
      <c r="C503" s="24">
        <f t="shared" si="78"/>
        <v>1</v>
      </c>
      <c r="D503" s="720"/>
      <c r="E503" s="24">
        <f t="shared" si="79"/>
        <v>1</v>
      </c>
      <c r="F503" s="720"/>
      <c r="G503" s="24">
        <f t="shared" si="80"/>
        <v>1</v>
      </c>
      <c r="H503" s="720"/>
      <c r="I503" s="24">
        <f t="shared" si="81"/>
        <v>1</v>
      </c>
      <c r="J503" s="720"/>
      <c r="K503" s="24">
        <f t="shared" si="82"/>
        <v>1</v>
      </c>
      <c r="L503" s="720"/>
      <c r="M503" s="24">
        <f t="shared" si="83"/>
        <v>1</v>
      </c>
      <c r="N503" s="720"/>
      <c r="O503" s="24">
        <f t="shared" si="84"/>
        <v>1</v>
      </c>
      <c r="P503" s="720"/>
      <c r="Q503" s="24">
        <f t="shared" si="85"/>
        <v>1</v>
      </c>
      <c r="R503" s="716">
        <f t="shared" si="86"/>
        <v>0</v>
      </c>
      <c r="S503" s="361">
        <f t="shared" si="77"/>
        <v>0</v>
      </c>
    </row>
    <row r="504" spans="1:19">
      <c r="A504" s="159"/>
      <c r="B504" s="59"/>
      <c r="C504" s="24">
        <f t="shared" si="78"/>
        <v>1</v>
      </c>
      <c r="D504" s="720"/>
      <c r="E504" s="24">
        <f t="shared" si="79"/>
        <v>1</v>
      </c>
      <c r="F504" s="720"/>
      <c r="G504" s="24">
        <f t="shared" si="80"/>
        <v>1</v>
      </c>
      <c r="H504" s="720"/>
      <c r="I504" s="24">
        <f t="shared" si="81"/>
        <v>1</v>
      </c>
      <c r="J504" s="720"/>
      <c r="K504" s="24">
        <f t="shared" si="82"/>
        <v>1</v>
      </c>
      <c r="L504" s="720"/>
      <c r="M504" s="24">
        <f t="shared" si="83"/>
        <v>1</v>
      </c>
      <c r="N504" s="720"/>
      <c r="O504" s="24">
        <f t="shared" si="84"/>
        <v>1</v>
      </c>
      <c r="P504" s="720"/>
      <c r="Q504" s="24">
        <f t="shared" si="85"/>
        <v>1</v>
      </c>
      <c r="R504" s="716">
        <f t="shared" si="86"/>
        <v>0</v>
      </c>
      <c r="S504" s="361">
        <f t="shared" si="77"/>
        <v>0</v>
      </c>
    </row>
    <row r="505" spans="1:19">
      <c r="A505" s="159"/>
      <c r="B505" s="59"/>
      <c r="C505" s="24">
        <f t="shared" si="78"/>
        <v>1</v>
      </c>
      <c r="D505" s="720"/>
      <c r="E505" s="24">
        <f t="shared" si="79"/>
        <v>1</v>
      </c>
      <c r="F505" s="720"/>
      <c r="G505" s="24">
        <f t="shared" si="80"/>
        <v>1</v>
      </c>
      <c r="H505" s="720"/>
      <c r="I505" s="24">
        <f t="shared" si="81"/>
        <v>1</v>
      </c>
      <c r="J505" s="720"/>
      <c r="K505" s="24">
        <f t="shared" si="82"/>
        <v>1</v>
      </c>
      <c r="L505" s="720"/>
      <c r="M505" s="24">
        <f t="shared" si="83"/>
        <v>1</v>
      </c>
      <c r="N505" s="720"/>
      <c r="O505" s="24">
        <f t="shared" si="84"/>
        <v>1</v>
      </c>
      <c r="P505" s="720"/>
      <c r="Q505" s="24">
        <f t="shared" si="85"/>
        <v>1</v>
      </c>
      <c r="R505" s="716">
        <f t="shared" si="86"/>
        <v>0</v>
      </c>
      <c r="S505" s="361">
        <f t="shared" si="77"/>
        <v>0</v>
      </c>
    </row>
    <row r="506" spans="1:19">
      <c r="A506" s="159"/>
      <c r="B506" s="59"/>
      <c r="C506" s="24">
        <f t="shared" si="78"/>
        <v>1</v>
      </c>
      <c r="D506" s="720"/>
      <c r="E506" s="24">
        <f t="shared" si="79"/>
        <v>1</v>
      </c>
      <c r="F506" s="720"/>
      <c r="G506" s="24">
        <f t="shared" si="80"/>
        <v>1</v>
      </c>
      <c r="H506" s="720"/>
      <c r="I506" s="24">
        <f t="shared" si="81"/>
        <v>1</v>
      </c>
      <c r="J506" s="720"/>
      <c r="K506" s="24">
        <f t="shared" si="82"/>
        <v>1</v>
      </c>
      <c r="L506" s="720"/>
      <c r="M506" s="24">
        <f t="shared" si="83"/>
        <v>1</v>
      </c>
      <c r="N506" s="720"/>
      <c r="O506" s="24">
        <f t="shared" si="84"/>
        <v>1</v>
      </c>
      <c r="P506" s="720"/>
      <c r="Q506" s="24">
        <f t="shared" si="85"/>
        <v>1</v>
      </c>
      <c r="R506" s="716">
        <f t="shared" si="86"/>
        <v>0</v>
      </c>
      <c r="S506" s="361">
        <f t="shared" si="77"/>
        <v>0</v>
      </c>
    </row>
    <row r="507" spans="1:19">
      <c r="A507" s="159"/>
      <c r="B507" s="59"/>
      <c r="C507" s="24">
        <f t="shared" si="78"/>
        <v>1</v>
      </c>
      <c r="D507" s="720"/>
      <c r="E507" s="24">
        <f t="shared" si="79"/>
        <v>1</v>
      </c>
      <c r="F507" s="720"/>
      <c r="G507" s="24">
        <f t="shared" si="80"/>
        <v>1</v>
      </c>
      <c r="H507" s="720"/>
      <c r="I507" s="24">
        <f t="shared" si="81"/>
        <v>1</v>
      </c>
      <c r="J507" s="720"/>
      <c r="K507" s="24">
        <f t="shared" si="82"/>
        <v>1</v>
      </c>
      <c r="L507" s="720"/>
      <c r="M507" s="24">
        <f t="shared" si="83"/>
        <v>1</v>
      </c>
      <c r="N507" s="720"/>
      <c r="O507" s="24">
        <f t="shared" si="84"/>
        <v>1</v>
      </c>
      <c r="P507" s="720"/>
      <c r="Q507" s="24">
        <f t="shared" si="85"/>
        <v>1</v>
      </c>
      <c r="R507" s="716">
        <f t="shared" si="86"/>
        <v>0</v>
      </c>
      <c r="S507" s="361">
        <f t="shared" si="77"/>
        <v>0</v>
      </c>
    </row>
    <row r="508" spans="1:19">
      <c r="A508" s="159"/>
      <c r="B508" s="59"/>
      <c r="C508" s="24">
        <f t="shared" si="78"/>
        <v>1</v>
      </c>
      <c r="D508" s="720"/>
      <c r="E508" s="24">
        <f t="shared" si="79"/>
        <v>1</v>
      </c>
      <c r="F508" s="720"/>
      <c r="G508" s="24">
        <f t="shared" si="80"/>
        <v>1</v>
      </c>
      <c r="H508" s="720"/>
      <c r="I508" s="24">
        <f t="shared" si="81"/>
        <v>1</v>
      </c>
      <c r="J508" s="720"/>
      <c r="K508" s="24">
        <f t="shared" si="82"/>
        <v>1</v>
      </c>
      <c r="L508" s="720"/>
      <c r="M508" s="24">
        <f t="shared" si="83"/>
        <v>1</v>
      </c>
      <c r="N508" s="720"/>
      <c r="O508" s="24">
        <f t="shared" si="84"/>
        <v>1</v>
      </c>
      <c r="P508" s="720"/>
      <c r="Q508" s="24">
        <f t="shared" si="85"/>
        <v>1</v>
      </c>
      <c r="R508" s="716">
        <f t="shared" si="86"/>
        <v>0</v>
      </c>
      <c r="S508" s="361">
        <f t="shared" si="77"/>
        <v>0</v>
      </c>
    </row>
    <row r="509" spans="1:19">
      <c r="A509" s="159"/>
      <c r="B509" s="59"/>
      <c r="C509" s="24">
        <f t="shared" si="78"/>
        <v>1</v>
      </c>
      <c r="D509" s="720"/>
      <c r="E509" s="24">
        <f t="shared" si="79"/>
        <v>1</v>
      </c>
      <c r="F509" s="720"/>
      <c r="G509" s="24">
        <f t="shared" si="80"/>
        <v>1</v>
      </c>
      <c r="H509" s="720"/>
      <c r="I509" s="24">
        <f t="shared" si="81"/>
        <v>1</v>
      </c>
      <c r="J509" s="720"/>
      <c r="K509" s="24">
        <f t="shared" si="82"/>
        <v>1</v>
      </c>
      <c r="L509" s="720"/>
      <c r="M509" s="24">
        <f t="shared" si="83"/>
        <v>1</v>
      </c>
      <c r="N509" s="720"/>
      <c r="O509" s="24">
        <f t="shared" si="84"/>
        <v>1</v>
      </c>
      <c r="P509" s="720"/>
      <c r="Q509" s="24">
        <f t="shared" si="85"/>
        <v>1</v>
      </c>
      <c r="R509" s="716">
        <f t="shared" si="86"/>
        <v>0</v>
      </c>
      <c r="S509" s="361">
        <f t="shared" si="77"/>
        <v>0</v>
      </c>
    </row>
    <row r="510" spans="1:19">
      <c r="A510" s="159"/>
      <c r="B510" s="59"/>
      <c r="C510" s="24">
        <f t="shared" si="78"/>
        <v>1</v>
      </c>
      <c r="D510" s="720"/>
      <c r="E510" s="24">
        <f t="shared" si="79"/>
        <v>1</v>
      </c>
      <c r="F510" s="720"/>
      <c r="G510" s="24">
        <f t="shared" si="80"/>
        <v>1</v>
      </c>
      <c r="H510" s="720"/>
      <c r="I510" s="24">
        <f t="shared" si="81"/>
        <v>1</v>
      </c>
      <c r="J510" s="720"/>
      <c r="K510" s="24">
        <f t="shared" si="82"/>
        <v>1</v>
      </c>
      <c r="L510" s="720"/>
      <c r="M510" s="24">
        <f t="shared" si="83"/>
        <v>1</v>
      </c>
      <c r="N510" s="720"/>
      <c r="O510" s="24">
        <f t="shared" si="84"/>
        <v>1</v>
      </c>
      <c r="P510" s="720"/>
      <c r="Q510" s="24">
        <f t="shared" si="85"/>
        <v>1</v>
      </c>
      <c r="R510" s="716">
        <f t="shared" si="86"/>
        <v>0</v>
      </c>
      <c r="S510" s="361">
        <f t="shared" si="77"/>
        <v>0</v>
      </c>
    </row>
    <row r="511" spans="1:19">
      <c r="A511" s="159"/>
      <c r="B511" s="59"/>
      <c r="C511" s="24">
        <f t="shared" si="78"/>
        <v>1</v>
      </c>
      <c r="D511" s="720"/>
      <c r="E511" s="24">
        <f t="shared" si="79"/>
        <v>1</v>
      </c>
      <c r="F511" s="720"/>
      <c r="G511" s="24">
        <f t="shared" si="80"/>
        <v>1</v>
      </c>
      <c r="H511" s="720"/>
      <c r="I511" s="24">
        <f t="shared" si="81"/>
        <v>1</v>
      </c>
      <c r="J511" s="720"/>
      <c r="K511" s="24">
        <f t="shared" si="82"/>
        <v>1</v>
      </c>
      <c r="L511" s="720"/>
      <c r="M511" s="24">
        <f t="shared" si="83"/>
        <v>1</v>
      </c>
      <c r="N511" s="720"/>
      <c r="O511" s="24">
        <f t="shared" si="84"/>
        <v>1</v>
      </c>
      <c r="P511" s="720"/>
      <c r="Q511" s="24">
        <f t="shared" si="85"/>
        <v>1</v>
      </c>
      <c r="R511" s="716">
        <f t="shared" si="86"/>
        <v>0</v>
      </c>
      <c r="S511" s="361">
        <f t="shared" si="77"/>
        <v>0</v>
      </c>
    </row>
    <row r="512" spans="1:19">
      <c r="A512" s="159"/>
      <c r="B512" s="59"/>
      <c r="C512" s="24">
        <f t="shared" si="78"/>
        <v>1</v>
      </c>
      <c r="D512" s="720"/>
      <c r="E512" s="24">
        <f t="shared" si="79"/>
        <v>1</v>
      </c>
      <c r="F512" s="720"/>
      <c r="G512" s="24">
        <f t="shared" si="80"/>
        <v>1</v>
      </c>
      <c r="H512" s="720"/>
      <c r="I512" s="24">
        <f t="shared" si="81"/>
        <v>1</v>
      </c>
      <c r="J512" s="720"/>
      <c r="K512" s="24">
        <f t="shared" si="82"/>
        <v>1</v>
      </c>
      <c r="L512" s="720"/>
      <c r="M512" s="24">
        <f t="shared" si="83"/>
        <v>1</v>
      </c>
      <c r="N512" s="720"/>
      <c r="O512" s="24">
        <f t="shared" si="84"/>
        <v>1</v>
      </c>
      <c r="P512" s="720"/>
      <c r="Q512" s="24">
        <f t="shared" si="85"/>
        <v>1</v>
      </c>
      <c r="R512" s="716">
        <f t="shared" si="86"/>
        <v>0</v>
      </c>
      <c r="S512" s="361">
        <f t="shared" si="77"/>
        <v>0</v>
      </c>
    </row>
    <row r="513" spans="1:19">
      <c r="A513" s="159"/>
      <c r="B513" s="59"/>
      <c r="C513" s="24">
        <f t="shared" si="78"/>
        <v>1</v>
      </c>
      <c r="D513" s="720"/>
      <c r="E513" s="24">
        <f t="shared" si="79"/>
        <v>1</v>
      </c>
      <c r="F513" s="720"/>
      <c r="G513" s="24">
        <f t="shared" si="80"/>
        <v>1</v>
      </c>
      <c r="H513" s="720"/>
      <c r="I513" s="24">
        <f t="shared" si="81"/>
        <v>1</v>
      </c>
      <c r="J513" s="720"/>
      <c r="K513" s="24">
        <f t="shared" si="82"/>
        <v>1</v>
      </c>
      <c r="L513" s="720"/>
      <c r="M513" s="24">
        <f t="shared" si="83"/>
        <v>1</v>
      </c>
      <c r="N513" s="720"/>
      <c r="O513" s="24">
        <f t="shared" si="84"/>
        <v>1</v>
      </c>
      <c r="P513" s="720"/>
      <c r="Q513" s="24">
        <f t="shared" si="85"/>
        <v>1</v>
      </c>
      <c r="R513" s="716">
        <f t="shared" si="86"/>
        <v>0</v>
      </c>
      <c r="S513" s="361">
        <f t="shared" si="77"/>
        <v>0</v>
      </c>
    </row>
    <row r="514" spans="1:19">
      <c r="A514" s="159"/>
      <c r="B514" s="59"/>
      <c r="C514" s="24">
        <f t="shared" si="78"/>
        <v>1</v>
      </c>
      <c r="D514" s="720"/>
      <c r="E514" s="24">
        <f t="shared" si="79"/>
        <v>1</v>
      </c>
      <c r="F514" s="720"/>
      <c r="G514" s="24">
        <f t="shared" si="80"/>
        <v>1</v>
      </c>
      <c r="H514" s="720"/>
      <c r="I514" s="24">
        <f t="shared" si="81"/>
        <v>1</v>
      </c>
      <c r="J514" s="720"/>
      <c r="K514" s="24">
        <f t="shared" si="82"/>
        <v>1</v>
      </c>
      <c r="L514" s="720"/>
      <c r="M514" s="24">
        <f t="shared" si="83"/>
        <v>1</v>
      </c>
      <c r="N514" s="720"/>
      <c r="O514" s="24">
        <f t="shared" si="84"/>
        <v>1</v>
      </c>
      <c r="P514" s="720"/>
      <c r="Q514" s="24">
        <f t="shared" si="85"/>
        <v>1</v>
      </c>
      <c r="R514" s="716">
        <f t="shared" si="86"/>
        <v>0</v>
      </c>
      <c r="S514" s="361">
        <f t="shared" si="77"/>
        <v>0</v>
      </c>
    </row>
    <row r="515" spans="1:19">
      <c r="A515" s="159"/>
      <c r="B515" s="59"/>
      <c r="C515" s="24">
        <f t="shared" si="78"/>
        <v>1</v>
      </c>
      <c r="D515" s="720"/>
      <c r="E515" s="24">
        <f t="shared" si="79"/>
        <v>1</v>
      </c>
      <c r="F515" s="720"/>
      <c r="G515" s="24">
        <f t="shared" si="80"/>
        <v>1</v>
      </c>
      <c r="H515" s="720"/>
      <c r="I515" s="24">
        <f t="shared" si="81"/>
        <v>1</v>
      </c>
      <c r="J515" s="720"/>
      <c r="K515" s="24">
        <f t="shared" si="82"/>
        <v>1</v>
      </c>
      <c r="L515" s="720"/>
      <c r="M515" s="24">
        <f t="shared" si="83"/>
        <v>1</v>
      </c>
      <c r="N515" s="720"/>
      <c r="O515" s="24">
        <f t="shared" si="84"/>
        <v>1</v>
      </c>
      <c r="P515" s="720"/>
      <c r="Q515" s="24">
        <f t="shared" si="85"/>
        <v>1</v>
      </c>
      <c r="R515" s="716">
        <f t="shared" si="86"/>
        <v>0</v>
      </c>
      <c r="S515" s="361">
        <f t="shared" si="77"/>
        <v>0</v>
      </c>
    </row>
    <row r="516" spans="1:19">
      <c r="A516" s="159"/>
      <c r="B516" s="59"/>
      <c r="C516" s="24">
        <f t="shared" si="78"/>
        <v>1</v>
      </c>
      <c r="D516" s="720"/>
      <c r="E516" s="24">
        <f t="shared" si="79"/>
        <v>1</v>
      </c>
      <c r="F516" s="720"/>
      <c r="G516" s="24">
        <f t="shared" si="80"/>
        <v>1</v>
      </c>
      <c r="H516" s="720"/>
      <c r="I516" s="24">
        <f t="shared" si="81"/>
        <v>1</v>
      </c>
      <c r="J516" s="720"/>
      <c r="K516" s="24">
        <f t="shared" si="82"/>
        <v>1</v>
      </c>
      <c r="L516" s="720"/>
      <c r="M516" s="24">
        <f t="shared" si="83"/>
        <v>1</v>
      </c>
      <c r="N516" s="720"/>
      <c r="O516" s="24">
        <f t="shared" si="84"/>
        <v>1</v>
      </c>
      <c r="P516" s="720"/>
      <c r="Q516" s="24">
        <f t="shared" si="85"/>
        <v>1</v>
      </c>
      <c r="R516" s="716">
        <f t="shared" si="86"/>
        <v>0</v>
      </c>
      <c r="S516" s="361">
        <f t="shared" si="77"/>
        <v>0</v>
      </c>
    </row>
    <row r="517" spans="1:19">
      <c r="A517" s="159"/>
      <c r="B517" s="59"/>
      <c r="C517" s="24">
        <f t="shared" si="78"/>
        <v>1</v>
      </c>
      <c r="D517" s="720"/>
      <c r="E517" s="24">
        <f t="shared" si="79"/>
        <v>1</v>
      </c>
      <c r="F517" s="720"/>
      <c r="G517" s="24">
        <f t="shared" si="80"/>
        <v>1</v>
      </c>
      <c r="H517" s="720"/>
      <c r="I517" s="24">
        <f t="shared" si="81"/>
        <v>1</v>
      </c>
      <c r="J517" s="720"/>
      <c r="K517" s="24">
        <f t="shared" si="82"/>
        <v>1</v>
      </c>
      <c r="L517" s="720"/>
      <c r="M517" s="24">
        <f t="shared" si="83"/>
        <v>1</v>
      </c>
      <c r="N517" s="720"/>
      <c r="O517" s="24">
        <f t="shared" si="84"/>
        <v>1</v>
      </c>
      <c r="P517" s="720"/>
      <c r="Q517" s="24">
        <f t="shared" si="85"/>
        <v>1</v>
      </c>
      <c r="R517" s="716">
        <f t="shared" si="86"/>
        <v>0</v>
      </c>
      <c r="S517" s="361">
        <f t="shared" si="77"/>
        <v>0</v>
      </c>
    </row>
    <row r="518" spans="1:19">
      <c r="A518" s="159"/>
      <c r="B518" s="59"/>
      <c r="C518" s="24">
        <f t="shared" si="78"/>
        <v>1</v>
      </c>
      <c r="D518" s="720"/>
      <c r="E518" s="24">
        <f t="shared" si="79"/>
        <v>1</v>
      </c>
      <c r="F518" s="720"/>
      <c r="G518" s="24">
        <f t="shared" si="80"/>
        <v>1</v>
      </c>
      <c r="H518" s="720"/>
      <c r="I518" s="24">
        <f t="shared" si="81"/>
        <v>1</v>
      </c>
      <c r="J518" s="720"/>
      <c r="K518" s="24">
        <f t="shared" si="82"/>
        <v>1</v>
      </c>
      <c r="L518" s="720"/>
      <c r="M518" s="24">
        <f t="shared" si="83"/>
        <v>1</v>
      </c>
      <c r="N518" s="720"/>
      <c r="O518" s="24">
        <f t="shared" si="84"/>
        <v>1</v>
      </c>
      <c r="P518" s="720"/>
      <c r="Q518" s="24">
        <f t="shared" si="85"/>
        <v>1</v>
      </c>
      <c r="R518" s="716">
        <f t="shared" si="86"/>
        <v>0</v>
      </c>
      <c r="S518" s="361">
        <f t="shared" si="77"/>
        <v>0</v>
      </c>
    </row>
    <row r="519" spans="1:19">
      <c r="A519" s="159"/>
      <c r="B519" s="59"/>
      <c r="C519" s="24">
        <f t="shared" si="78"/>
        <v>1</v>
      </c>
      <c r="D519" s="720"/>
      <c r="E519" s="24">
        <f t="shared" si="79"/>
        <v>1</v>
      </c>
      <c r="F519" s="720"/>
      <c r="G519" s="24">
        <f t="shared" si="80"/>
        <v>1</v>
      </c>
      <c r="H519" s="720"/>
      <c r="I519" s="24">
        <f t="shared" si="81"/>
        <v>1</v>
      </c>
      <c r="J519" s="720"/>
      <c r="K519" s="24">
        <f t="shared" si="82"/>
        <v>1</v>
      </c>
      <c r="L519" s="720"/>
      <c r="M519" s="24">
        <f t="shared" si="83"/>
        <v>1</v>
      </c>
      <c r="N519" s="720"/>
      <c r="O519" s="24">
        <f t="shared" si="84"/>
        <v>1</v>
      </c>
      <c r="P519" s="720"/>
      <c r="Q519" s="24">
        <f t="shared" si="85"/>
        <v>1</v>
      </c>
      <c r="R519" s="716">
        <f t="shared" si="86"/>
        <v>0</v>
      </c>
      <c r="S519" s="361">
        <f t="shared" si="77"/>
        <v>0</v>
      </c>
    </row>
    <row r="520" spans="1:19">
      <c r="A520" s="159"/>
      <c r="B520" s="59"/>
      <c r="C520" s="24">
        <f t="shared" si="78"/>
        <v>1</v>
      </c>
      <c r="D520" s="720"/>
      <c r="E520" s="24">
        <f t="shared" si="79"/>
        <v>1</v>
      </c>
      <c r="F520" s="720"/>
      <c r="G520" s="24">
        <f t="shared" si="80"/>
        <v>1</v>
      </c>
      <c r="H520" s="720"/>
      <c r="I520" s="24">
        <f t="shared" si="81"/>
        <v>1</v>
      </c>
      <c r="J520" s="720"/>
      <c r="K520" s="24">
        <f t="shared" si="82"/>
        <v>1</v>
      </c>
      <c r="L520" s="720"/>
      <c r="M520" s="24">
        <f t="shared" si="83"/>
        <v>1</v>
      </c>
      <c r="N520" s="720"/>
      <c r="O520" s="24">
        <f t="shared" si="84"/>
        <v>1</v>
      </c>
      <c r="P520" s="720"/>
      <c r="Q520" s="24">
        <f t="shared" si="85"/>
        <v>1</v>
      </c>
      <c r="R520" s="716">
        <f t="shared" si="86"/>
        <v>0</v>
      </c>
      <c r="S520" s="361">
        <f t="shared" si="77"/>
        <v>0</v>
      </c>
    </row>
    <row r="521" spans="1:19">
      <c r="A521" s="159"/>
      <c r="B521" s="59"/>
      <c r="C521" s="24">
        <f t="shared" si="78"/>
        <v>1</v>
      </c>
      <c r="D521" s="720"/>
      <c r="E521" s="24">
        <f t="shared" si="79"/>
        <v>1</v>
      </c>
      <c r="F521" s="720"/>
      <c r="G521" s="24">
        <f t="shared" si="80"/>
        <v>1</v>
      </c>
      <c r="H521" s="720"/>
      <c r="I521" s="24">
        <f t="shared" si="81"/>
        <v>1</v>
      </c>
      <c r="J521" s="720"/>
      <c r="K521" s="24">
        <f t="shared" si="82"/>
        <v>1</v>
      </c>
      <c r="L521" s="720"/>
      <c r="M521" s="24">
        <f t="shared" si="83"/>
        <v>1</v>
      </c>
      <c r="N521" s="720"/>
      <c r="O521" s="24">
        <f t="shared" si="84"/>
        <v>1</v>
      </c>
      <c r="P521" s="720"/>
      <c r="Q521" s="24">
        <f t="shared" si="85"/>
        <v>1</v>
      </c>
      <c r="R521" s="716">
        <f t="shared" si="86"/>
        <v>0</v>
      </c>
      <c r="S521" s="361">
        <f t="shared" si="77"/>
        <v>0</v>
      </c>
    </row>
    <row r="522" spans="1:19">
      <c r="A522" s="159"/>
      <c r="B522" s="59"/>
      <c r="C522" s="24">
        <f t="shared" si="78"/>
        <v>1</v>
      </c>
      <c r="D522" s="720"/>
      <c r="E522" s="24">
        <f t="shared" si="79"/>
        <v>1</v>
      </c>
      <c r="F522" s="720"/>
      <c r="G522" s="24">
        <f t="shared" si="80"/>
        <v>1</v>
      </c>
      <c r="H522" s="720"/>
      <c r="I522" s="24">
        <f t="shared" si="81"/>
        <v>1</v>
      </c>
      <c r="J522" s="720"/>
      <c r="K522" s="24">
        <f t="shared" si="82"/>
        <v>1</v>
      </c>
      <c r="L522" s="720"/>
      <c r="M522" s="24">
        <f t="shared" si="83"/>
        <v>1</v>
      </c>
      <c r="N522" s="720"/>
      <c r="O522" s="24">
        <f t="shared" si="84"/>
        <v>1</v>
      </c>
      <c r="P522" s="720"/>
      <c r="Q522" s="24">
        <f t="shared" si="85"/>
        <v>1</v>
      </c>
      <c r="R522" s="716">
        <f t="shared" si="86"/>
        <v>0</v>
      </c>
      <c r="S522" s="361">
        <f t="shared" si="77"/>
        <v>0</v>
      </c>
    </row>
    <row r="523" spans="1:19">
      <c r="A523" s="159"/>
      <c r="B523" s="59"/>
      <c r="C523" s="24">
        <f t="shared" si="78"/>
        <v>1</v>
      </c>
      <c r="D523" s="720"/>
      <c r="E523" s="24">
        <f t="shared" si="79"/>
        <v>1</v>
      </c>
      <c r="F523" s="720"/>
      <c r="G523" s="24">
        <f t="shared" si="80"/>
        <v>1</v>
      </c>
      <c r="H523" s="720"/>
      <c r="I523" s="24">
        <f t="shared" si="81"/>
        <v>1</v>
      </c>
      <c r="J523" s="720"/>
      <c r="K523" s="24">
        <f t="shared" si="82"/>
        <v>1</v>
      </c>
      <c r="L523" s="720"/>
      <c r="M523" s="24">
        <f t="shared" si="83"/>
        <v>1</v>
      </c>
      <c r="N523" s="720"/>
      <c r="O523" s="24">
        <f t="shared" si="84"/>
        <v>1</v>
      </c>
      <c r="P523" s="720"/>
      <c r="Q523" s="24">
        <f t="shared" si="85"/>
        <v>1</v>
      </c>
      <c r="R523" s="716">
        <f t="shared" si="86"/>
        <v>0</v>
      </c>
      <c r="S523" s="361">
        <f t="shared" si="77"/>
        <v>0</v>
      </c>
    </row>
    <row r="524" spans="1:19">
      <c r="A524" s="159"/>
      <c r="B524" s="59"/>
      <c r="C524" s="24">
        <f t="shared" si="78"/>
        <v>1</v>
      </c>
      <c r="D524" s="720"/>
      <c r="E524" s="24">
        <f t="shared" si="79"/>
        <v>1</v>
      </c>
      <c r="F524" s="720"/>
      <c r="G524" s="24">
        <f t="shared" si="80"/>
        <v>1</v>
      </c>
      <c r="H524" s="720"/>
      <c r="I524" s="24">
        <f t="shared" si="81"/>
        <v>1</v>
      </c>
      <c r="J524" s="720"/>
      <c r="K524" s="24">
        <f t="shared" si="82"/>
        <v>1</v>
      </c>
      <c r="L524" s="720"/>
      <c r="M524" s="24">
        <f t="shared" si="83"/>
        <v>1</v>
      </c>
      <c r="N524" s="720"/>
      <c r="O524" s="24">
        <f t="shared" si="84"/>
        <v>1</v>
      </c>
      <c r="P524" s="720"/>
      <c r="Q524" s="24">
        <f t="shared" si="85"/>
        <v>1</v>
      </c>
      <c r="R524" s="716">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H33" sqref="H33"/>
    </sheetView>
  </sheetViews>
  <sheetFormatPr defaultRowHeight="13.5"/>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176" t="s">
        <v>2649</v>
      </c>
      <c r="AC4" s="3235" t="s">
        <v>2650</v>
      </c>
    </row>
    <row r="5" spans="1:29" ht="15">
      <c r="A5" s="404"/>
      <c r="B5" s="405"/>
      <c r="C5" s="3186" t="s">
        <v>2543</v>
      </c>
      <c r="D5" s="3187"/>
      <c r="E5" s="3269" t="s">
        <v>2544</v>
      </c>
      <c r="F5" s="3185"/>
      <c r="G5" s="3186" t="s">
        <v>2545</v>
      </c>
      <c r="H5" s="3187"/>
      <c r="I5" s="3186" t="s">
        <v>2546</v>
      </c>
      <c r="J5" s="3187"/>
      <c r="K5" s="610"/>
      <c r="L5" s="1133"/>
      <c r="M5" s="1134"/>
      <c r="N5" s="1134"/>
      <c r="O5" s="1134"/>
      <c r="P5" s="3241"/>
      <c r="Q5" s="3203"/>
      <c r="R5" s="3182"/>
      <c r="S5" s="3183"/>
      <c r="T5" s="3182"/>
      <c r="U5" s="3183"/>
      <c r="V5" s="3209"/>
      <c r="W5" s="3209"/>
      <c r="X5" s="1815"/>
      <c r="Y5" s="3182"/>
      <c r="Z5" s="3183"/>
      <c r="AA5" s="3176"/>
      <c r="AB5" s="3176"/>
      <c r="AC5" s="3176"/>
    </row>
    <row r="6" spans="1:29" ht="15.75" thickBot="1">
      <c r="A6" s="406"/>
      <c r="B6" s="407"/>
      <c r="C6" s="3188" t="s">
        <v>2547</v>
      </c>
      <c r="D6" s="3189"/>
      <c r="E6" s="3190" t="s">
        <v>2547</v>
      </c>
      <c r="F6" s="3191"/>
      <c r="G6" s="3188" t="s">
        <v>2547</v>
      </c>
      <c r="H6" s="3189"/>
      <c r="I6" s="3188" t="s">
        <v>2547</v>
      </c>
      <c r="J6" s="3189"/>
      <c r="K6" s="610" t="s">
        <v>2548</v>
      </c>
      <c r="L6" s="1133"/>
      <c r="M6" s="1134"/>
      <c r="N6" s="1134"/>
      <c r="O6" s="1134"/>
      <c r="P6" s="3242"/>
      <c r="Q6" s="3205"/>
      <c r="R6" s="3182"/>
      <c r="S6" s="3183"/>
      <c r="T6" s="3206"/>
      <c r="U6" s="3207"/>
      <c r="V6" s="3209"/>
      <c r="W6" s="3209"/>
      <c r="X6" s="1815"/>
      <c r="Y6" s="3206"/>
      <c r="Z6" s="3207"/>
      <c r="AA6" s="3177"/>
      <c r="AB6" s="3177"/>
      <c r="AC6" s="3177"/>
    </row>
    <row r="7" spans="1:29" s="117" customFormat="1" ht="15.75" thickBot="1">
      <c r="A7" s="408" t="s">
        <v>2549</v>
      </c>
      <c r="B7" s="409"/>
      <c r="C7" s="410">
        <f>'数据-取费表'!B2</f>
        <v>43270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8" t="s">
        <v>2550</v>
      </c>
      <c r="Q7" s="3211"/>
      <c r="R7" s="770" t="s">
        <v>17</v>
      </c>
      <c r="S7" s="771">
        <f t="shared" ref="S7:S14" si="0">F7</f>
        <v>0</v>
      </c>
      <c r="T7" s="770" t="s">
        <v>17</v>
      </c>
      <c r="U7" s="771">
        <f t="shared" ref="U7:U14" si="1">H7</f>
        <v>0</v>
      </c>
      <c r="V7" s="770" t="s">
        <v>17</v>
      </c>
      <c r="W7" s="771">
        <f t="shared" ref="W7:W14"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2556</v>
      </c>
      <c r="Q9" s="1797" t="str">
        <f t="shared" ref="Q9:Q14" si="6">B9</f>
        <v>用途</v>
      </c>
      <c r="R9" s="770" t="s">
        <v>17</v>
      </c>
      <c r="S9" s="771">
        <f t="shared" si="0"/>
        <v>100</v>
      </c>
      <c r="T9" s="770" t="s">
        <v>17</v>
      </c>
      <c r="U9" s="771">
        <f t="shared" si="1"/>
        <v>100</v>
      </c>
      <c r="V9" s="770" t="s">
        <v>17</v>
      </c>
      <c r="W9" s="771">
        <f t="shared" si="2"/>
        <v>100</v>
      </c>
      <c r="X9" s="772"/>
      <c r="Y9" s="305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7">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4" t="s">
        <v>2561</v>
      </c>
      <c r="Q14" s="1812" t="str">
        <f t="shared" si="6"/>
        <v>交通便捷度</v>
      </c>
      <c r="R14" s="774" t="s">
        <v>17</v>
      </c>
      <c r="S14" s="775">
        <f t="shared" si="0"/>
        <v>100</v>
      </c>
      <c r="T14" s="774" t="s">
        <v>17</v>
      </c>
      <c r="U14" s="775">
        <f t="shared" si="1"/>
        <v>100</v>
      </c>
      <c r="V14" s="774" t="s">
        <v>17</v>
      </c>
      <c r="W14" s="775">
        <f t="shared" si="2"/>
        <v>100</v>
      </c>
      <c r="X14" s="1815"/>
      <c r="Y14" s="3214"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5"/>
      <c r="Q15" s="1812"/>
      <c r="R15" s="774"/>
      <c r="S15" s="775"/>
      <c r="T15" s="774"/>
      <c r="U15" s="775"/>
      <c r="V15" s="774"/>
      <c r="W15" s="775"/>
      <c r="X15" s="1815"/>
      <c r="Y15" s="3215"/>
      <c r="Z15" s="1816"/>
      <c r="AA15" s="1813">
        <v>1</v>
      </c>
      <c r="AB15" s="1813">
        <v>1</v>
      </c>
      <c r="AC15" s="1813">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5"/>
      <c r="Q16" s="1812" t="str">
        <f>B16</f>
        <v>公共配套设施</v>
      </c>
      <c r="R16" s="774" t="s">
        <v>17</v>
      </c>
      <c r="S16" s="775">
        <f>F16</f>
        <v>100</v>
      </c>
      <c r="T16" s="774" t="s">
        <v>17</v>
      </c>
      <c r="U16" s="775">
        <f>H16</f>
        <v>100</v>
      </c>
      <c r="V16" s="774" t="s">
        <v>17</v>
      </c>
      <c r="W16" s="775">
        <f>J16</f>
        <v>100</v>
      </c>
      <c r="X16" s="1815"/>
      <c r="Y16" s="3215"/>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15"/>
      <c r="Q17" s="1812"/>
      <c r="R17" s="774"/>
      <c r="S17" s="775"/>
      <c r="T17" s="774"/>
      <c r="U17" s="775"/>
      <c r="V17" s="774"/>
      <c r="W17" s="775"/>
      <c r="X17" s="1815"/>
      <c r="Y17" s="3215"/>
      <c r="Z17" s="1816"/>
      <c r="AA17" s="1813">
        <v>1</v>
      </c>
      <c r="AB17" s="1813">
        <v>1</v>
      </c>
      <c r="AC17" s="1813">
        <v>1</v>
      </c>
    </row>
    <row r="18" spans="1:29" ht="28.5">
      <c r="A18" s="428"/>
      <c r="B18" s="1386"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5"/>
      <c r="Q18" s="1812" t="str">
        <f>B18</f>
        <v>基础设施水平</v>
      </c>
      <c r="R18" s="774" t="s">
        <v>17</v>
      </c>
      <c r="S18" s="775">
        <f>F18</f>
        <v>100</v>
      </c>
      <c r="T18" s="774" t="s">
        <v>17</v>
      </c>
      <c r="U18" s="775">
        <f>H18</f>
        <v>100</v>
      </c>
      <c r="V18" s="774" t="s">
        <v>17</v>
      </c>
      <c r="W18" s="775">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3"/>
      <c r="M19" s="1134"/>
      <c r="N19" s="1134"/>
      <c r="O19" s="1142"/>
      <c r="P19" s="3215"/>
      <c r="Q19" s="1812"/>
      <c r="R19" s="774"/>
      <c r="S19" s="775"/>
      <c r="T19" s="774"/>
      <c r="U19" s="775"/>
      <c r="V19" s="774"/>
      <c r="W19" s="775"/>
      <c r="X19" s="1815"/>
      <c r="Y19" s="3215"/>
      <c r="Z19" s="1816"/>
      <c r="AA19" s="1813">
        <v>1</v>
      </c>
      <c r="AB19" s="1813">
        <v>1</v>
      </c>
      <c r="AC19" s="1813">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5"/>
      <c r="Q20" s="1812" t="str">
        <f>B20</f>
        <v>自然及人文环境</v>
      </c>
      <c r="R20" s="774" t="s">
        <v>17</v>
      </c>
      <c r="S20" s="775">
        <f>F20</f>
        <v>100</v>
      </c>
      <c r="T20" s="774" t="s">
        <v>17</v>
      </c>
      <c r="U20" s="775">
        <f>H20</f>
        <v>100</v>
      </c>
      <c r="V20" s="774" t="s">
        <v>17</v>
      </c>
      <c r="W20" s="775">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5"/>
      <c r="Q21" s="1812"/>
      <c r="R21" s="774"/>
      <c r="S21" s="775"/>
      <c r="T21" s="774"/>
      <c r="U21" s="775"/>
      <c r="V21" s="774"/>
      <c r="W21" s="775"/>
      <c r="X21" s="1815"/>
      <c r="Y21" s="3215"/>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5"/>
      <c r="Q22" s="1812" t="str">
        <f>B22</f>
        <v>楼层</v>
      </c>
      <c r="R22" s="774" t="s">
        <v>17</v>
      </c>
      <c r="S22" s="775">
        <f>F22</f>
        <v>100</v>
      </c>
      <c r="T22" s="774" t="s">
        <v>17</v>
      </c>
      <c r="U22" s="775">
        <f>H22</f>
        <v>100</v>
      </c>
      <c r="V22" s="774" t="s">
        <v>17</v>
      </c>
      <c r="W22" s="775">
        <f>J22</f>
        <v>100</v>
      </c>
      <c r="X22" s="1815"/>
      <c r="Y22" s="3215"/>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5"/>
      <c r="Q23" s="1812">
        <f>B23</f>
        <v>111</v>
      </c>
      <c r="R23" s="774" t="s">
        <v>17</v>
      </c>
      <c r="S23" s="775">
        <f>F23</f>
        <v>100</v>
      </c>
      <c r="T23" s="774" t="s">
        <v>17</v>
      </c>
      <c r="U23" s="775">
        <f>H23</f>
        <v>100</v>
      </c>
      <c r="V23" s="774" t="s">
        <v>17</v>
      </c>
      <c r="W23" s="775">
        <f>J23</f>
        <v>100</v>
      </c>
      <c r="X23" s="1815"/>
      <c r="Y23" s="3215"/>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5"/>
      <c r="Q24" s="1812">
        <f t="shared" ref="Q24:Q34" si="11">B24</f>
        <v>111</v>
      </c>
      <c r="R24" s="774" t="s">
        <v>17</v>
      </c>
      <c r="S24" s="775">
        <f>F24</f>
        <v>100</v>
      </c>
      <c r="T24" s="774" t="s">
        <v>17</v>
      </c>
      <c r="U24" s="775">
        <f>H24</f>
        <v>100</v>
      </c>
      <c r="V24" s="774" t="s">
        <v>17</v>
      </c>
      <c r="W24" s="775">
        <f>J24</f>
        <v>100</v>
      </c>
      <c r="X24" s="1815"/>
      <c r="Y24" s="3215"/>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15"/>
      <c r="Q25" s="1797">
        <f t="shared" si="11"/>
        <v>111</v>
      </c>
      <c r="R25" s="770" t="s">
        <v>17</v>
      </c>
      <c r="S25" s="771">
        <f>F25</f>
        <v>100</v>
      </c>
      <c r="T25" s="770" t="s">
        <v>17</v>
      </c>
      <c r="U25" s="771">
        <f>H25</f>
        <v>100</v>
      </c>
      <c r="V25" s="770" t="s">
        <v>17</v>
      </c>
      <c r="W25" s="771">
        <f>J25</f>
        <v>100</v>
      </c>
      <c r="X25" s="772"/>
      <c r="Y25" s="3215"/>
      <c r="Z25" s="55">
        <f>Q25</f>
        <v>111</v>
      </c>
      <c r="AA25" s="1813">
        <f>D25/F25</f>
        <v>1</v>
      </c>
      <c r="AB25" s="1813">
        <f>D25/H25</f>
        <v>1</v>
      </c>
      <c r="AC25" s="1813">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3"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9"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2" t="str">
        <f t="shared" si="11"/>
        <v>物业等级</v>
      </c>
      <c r="R28" s="774" t="s">
        <v>17</v>
      </c>
      <c r="S28" s="775">
        <f t="shared" si="12"/>
        <v>100</v>
      </c>
      <c r="T28" s="774" t="s">
        <v>17</v>
      </c>
      <c r="U28" s="775">
        <f t="shared" si="13"/>
        <v>100</v>
      </c>
      <c r="V28" s="774" t="s">
        <v>17</v>
      </c>
      <c r="W28" s="775">
        <f t="shared" si="14"/>
        <v>100</v>
      </c>
      <c r="X28" s="1815"/>
      <c r="Y28" s="3219"/>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2" t="str">
        <f t="shared" si="11"/>
        <v>有无电梯</v>
      </c>
      <c r="R29" s="774" t="s">
        <v>17</v>
      </c>
      <c r="S29" s="775">
        <f t="shared" si="12"/>
        <v>100</v>
      </c>
      <c r="T29" s="774" t="s">
        <v>17</v>
      </c>
      <c r="U29" s="775">
        <f t="shared" si="13"/>
        <v>100</v>
      </c>
      <c r="V29" s="774" t="s">
        <v>17</v>
      </c>
      <c r="W29" s="775">
        <f t="shared" si="14"/>
        <v>100</v>
      </c>
      <c r="X29" s="1815"/>
      <c r="Y29" s="3219"/>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2" t="str">
        <f t="shared" si="11"/>
        <v>建筑面积</v>
      </c>
      <c r="R30" s="774" t="s">
        <v>17</v>
      </c>
      <c r="S30" s="775" t="e">
        <f t="shared" si="12"/>
        <v>#N/A</v>
      </c>
      <c r="T30" s="774" t="s">
        <v>17</v>
      </c>
      <c r="U30" s="775" t="e">
        <f t="shared" si="13"/>
        <v>#N/A</v>
      </c>
      <c r="V30" s="774" t="s">
        <v>17</v>
      </c>
      <c r="W30" s="775"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7"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2566</v>
      </c>
      <c r="Q32" s="1812">
        <f t="shared" si="11"/>
        <v>111</v>
      </c>
      <c r="R32" s="774" t="s">
        <v>17</v>
      </c>
      <c r="S32" s="775">
        <f t="shared" si="12"/>
        <v>100</v>
      </c>
      <c r="T32" s="774" t="s">
        <v>17</v>
      </c>
      <c r="U32" s="775">
        <f t="shared" si="13"/>
        <v>100</v>
      </c>
      <c r="V32" s="774" t="s">
        <v>17</v>
      </c>
      <c r="W32" s="775">
        <f t="shared" si="14"/>
        <v>100</v>
      </c>
      <c r="X32" s="1815"/>
      <c r="Y32" s="3219" t="s">
        <v>2566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2">
        <f t="shared" si="11"/>
        <v>111</v>
      </c>
      <c r="R33" s="774" t="s">
        <v>17</v>
      </c>
      <c r="S33" s="775">
        <f t="shared" si="12"/>
        <v>100</v>
      </c>
      <c r="T33" s="774" t="s">
        <v>17</v>
      </c>
      <c r="U33" s="775">
        <f t="shared" si="13"/>
        <v>100</v>
      </c>
      <c r="V33" s="774" t="s">
        <v>17</v>
      </c>
      <c r="W33" s="775">
        <f t="shared" si="14"/>
        <v>100</v>
      </c>
      <c r="X33" s="1815"/>
      <c r="Y33" s="3219"/>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19"/>
      <c r="Q34" s="1812">
        <f t="shared" si="11"/>
        <v>111</v>
      </c>
      <c r="R34" s="774" t="s">
        <v>17</v>
      </c>
      <c r="S34" s="775">
        <f t="shared" si="12"/>
        <v>100</v>
      </c>
      <c r="T34" s="774" t="s">
        <v>17</v>
      </c>
      <c r="U34" s="775">
        <f t="shared" si="13"/>
        <v>100</v>
      </c>
      <c r="V34" s="774" t="s">
        <v>17</v>
      </c>
      <c r="W34" s="775">
        <f t="shared" si="14"/>
        <v>100</v>
      </c>
      <c r="X34" s="1815"/>
      <c r="Y34" s="3219"/>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176" t="s">
        <v>2649</v>
      </c>
      <c r="AC4" s="3235" t="s">
        <v>2650</v>
      </c>
    </row>
    <row r="5" spans="1:30" ht="15">
      <c r="A5" s="404"/>
      <c r="B5" s="405"/>
      <c r="C5" s="3186" t="s">
        <v>2543</v>
      </c>
      <c r="D5" s="3187"/>
      <c r="E5" s="3269" t="s">
        <v>2544</v>
      </c>
      <c r="F5" s="3185"/>
      <c r="G5" s="3186" t="s">
        <v>2545</v>
      </c>
      <c r="H5" s="3187"/>
      <c r="I5" s="3186" t="s">
        <v>2546</v>
      </c>
      <c r="J5" s="3187"/>
      <c r="K5" s="610"/>
      <c r="L5" s="1133"/>
      <c r="M5" s="1134"/>
      <c r="N5" s="1134"/>
      <c r="O5" s="1134"/>
      <c r="P5" s="3241"/>
      <c r="Q5" s="3203"/>
      <c r="R5" s="3182"/>
      <c r="S5" s="3183"/>
      <c r="T5" s="3182"/>
      <c r="U5" s="3183"/>
      <c r="V5" s="3209"/>
      <c r="W5" s="3209"/>
      <c r="X5" s="1815"/>
      <c r="Y5" s="3182"/>
      <c r="Z5" s="3183"/>
      <c r="AA5" s="3176"/>
      <c r="AB5" s="3176"/>
      <c r="AC5" s="3176"/>
    </row>
    <row r="6" spans="1:30" ht="15.75" thickBot="1">
      <c r="A6" s="406"/>
      <c r="B6" s="407"/>
      <c r="C6" s="3188" t="s">
        <v>2547</v>
      </c>
      <c r="D6" s="3189"/>
      <c r="E6" s="3190" t="s">
        <v>2547</v>
      </c>
      <c r="F6" s="3191"/>
      <c r="G6" s="3188" t="s">
        <v>2547</v>
      </c>
      <c r="H6" s="3189"/>
      <c r="I6" s="3188" t="s">
        <v>2547</v>
      </c>
      <c r="J6" s="3189"/>
      <c r="K6" s="610" t="s">
        <v>2548</v>
      </c>
      <c r="L6" s="1133"/>
      <c r="M6" s="1134"/>
      <c r="N6" s="1134"/>
      <c r="O6" s="1134"/>
      <c r="P6" s="3242"/>
      <c r="Q6" s="3205"/>
      <c r="R6" s="3182"/>
      <c r="S6" s="3183"/>
      <c r="T6" s="3206"/>
      <c r="U6" s="3207"/>
      <c r="V6" s="3209"/>
      <c r="W6" s="3209"/>
      <c r="X6" s="1815"/>
      <c r="Y6" s="3206"/>
      <c r="Z6" s="3207"/>
      <c r="AA6" s="3177"/>
      <c r="AB6" s="3177"/>
      <c r="AC6" s="3177"/>
    </row>
    <row r="7" spans="1:30" s="117" customFormat="1" ht="15.75" thickBot="1">
      <c r="A7" s="408" t="s">
        <v>2549</v>
      </c>
      <c r="B7" s="409"/>
      <c r="C7" s="410">
        <f>'数据-取费表'!B2</f>
        <v>43270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78" t="s">
        <v>2550</v>
      </c>
      <c r="Q7" s="3211"/>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21"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130</v>
      </c>
      <c r="G10" s="463"/>
      <c r="H10" s="136">
        <f>ROUND(100/'数据-取费表'!G16,0)</f>
        <v>130</v>
      </c>
      <c r="I10" s="463"/>
      <c r="J10" s="136">
        <f>ROUND(100/'数据-取费表'!G16,0)</f>
        <v>130</v>
      </c>
      <c r="K10" s="672"/>
      <c r="L10" s="1138"/>
      <c r="M10" s="1139"/>
      <c r="N10" s="1139"/>
      <c r="O10" s="1140"/>
      <c r="P10" s="3221"/>
      <c r="Q10" s="1797" t="str">
        <f t="shared" si="6"/>
        <v>土地使用年限（年）</v>
      </c>
      <c r="R10" s="770" t="s">
        <v>17</v>
      </c>
      <c r="S10" s="771">
        <f t="shared" si="0"/>
        <v>130</v>
      </c>
      <c r="T10" s="770" t="s">
        <v>17</v>
      </c>
      <c r="U10" s="771">
        <f t="shared" si="1"/>
        <v>130</v>
      </c>
      <c r="V10" s="770" t="s">
        <v>17</v>
      </c>
      <c r="W10" s="771">
        <f t="shared" si="2"/>
        <v>130</v>
      </c>
      <c r="X10" s="772"/>
      <c r="Y10" s="3052"/>
      <c r="Z10" s="55" t="str">
        <f t="shared" si="7"/>
        <v>土地使用年限（年）</v>
      </c>
      <c r="AA10" s="773">
        <f t="shared" si="3"/>
        <v>0.76923076923076927</v>
      </c>
      <c r="AB10" s="773">
        <f t="shared" si="4"/>
        <v>0.76923076923076927</v>
      </c>
      <c r="AC10" s="773">
        <f t="shared" si="5"/>
        <v>0.76923076923076927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7"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2560</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4" t="s">
        <v>2561</v>
      </c>
      <c r="Q15" s="1812" t="str">
        <f t="shared" si="6"/>
        <v>居住社区成熟度</v>
      </c>
      <c r="R15" s="774" t="s">
        <v>17</v>
      </c>
      <c r="S15" s="775">
        <f t="shared" si="0"/>
        <v>100</v>
      </c>
      <c r="T15" s="774" t="s">
        <v>17</v>
      </c>
      <c r="U15" s="775">
        <f t="shared" si="1"/>
        <v>100</v>
      </c>
      <c r="V15" s="774" t="s">
        <v>17</v>
      </c>
      <c r="W15" s="775">
        <f t="shared" si="2"/>
        <v>100</v>
      </c>
      <c r="X15" s="1815"/>
      <c r="Y15" s="3214" t="s">
        <v>2561</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5"/>
      <c r="Q17" s="1812" t="str">
        <f>B17</f>
        <v>商业繁华度</v>
      </c>
      <c r="R17" s="774" t="s">
        <v>17</v>
      </c>
      <c r="S17" s="775">
        <f>F17</f>
        <v>100</v>
      </c>
      <c r="T17" s="774" t="s">
        <v>17</v>
      </c>
      <c r="U17" s="775">
        <f>H17</f>
        <v>100</v>
      </c>
      <c r="V17" s="774" t="s">
        <v>17</v>
      </c>
      <c r="W17" s="775">
        <f>J17</f>
        <v>100</v>
      </c>
      <c r="X17" s="1815"/>
      <c r="Y17" s="3215"/>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5"/>
      <c r="Q19" s="1812" t="str">
        <f>B19</f>
        <v>办公集聚程度</v>
      </c>
      <c r="R19" s="774" t="s">
        <v>17</v>
      </c>
      <c r="S19" s="775">
        <f>F19</f>
        <v>100</v>
      </c>
      <c r="T19" s="774" t="s">
        <v>17</v>
      </c>
      <c r="U19" s="775">
        <f>H19</f>
        <v>100</v>
      </c>
      <c r="V19" s="774" t="s">
        <v>17</v>
      </c>
      <c r="W19" s="775">
        <f>J19</f>
        <v>100</v>
      </c>
      <c r="X19" s="1815"/>
      <c r="Y19" s="3215"/>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215"/>
      <c r="Q20" s="1812"/>
      <c r="R20" s="774"/>
      <c r="S20" s="775"/>
      <c r="T20" s="774"/>
      <c r="U20" s="775"/>
      <c r="V20" s="774"/>
      <c r="W20" s="775"/>
      <c r="X20" s="1815"/>
      <c r="Y20" s="3215"/>
      <c r="Z20" s="1816"/>
      <c r="AA20" s="1813">
        <v>1</v>
      </c>
      <c r="AB20" s="1813">
        <v>1</v>
      </c>
      <c r="AC20" s="1813">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5"/>
      <c r="Q21" s="1812" t="str">
        <f>B21</f>
        <v>交通便捷度</v>
      </c>
      <c r="R21" s="774" t="s">
        <v>17</v>
      </c>
      <c r="S21" s="775">
        <f>F21</f>
        <v>100</v>
      </c>
      <c r="T21" s="774" t="s">
        <v>17</v>
      </c>
      <c r="U21" s="775">
        <f>H21</f>
        <v>100</v>
      </c>
      <c r="V21" s="774" t="s">
        <v>17</v>
      </c>
      <c r="W21" s="775">
        <f>J21</f>
        <v>100</v>
      </c>
      <c r="X21" s="1815"/>
      <c r="Y21" s="3215"/>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5"/>
      <c r="Q23" s="1812" t="str">
        <f t="shared" ref="Q23:Q37" si="8">B23</f>
        <v>区域土地利用方向</v>
      </c>
      <c r="R23" s="774" t="s">
        <v>17</v>
      </c>
      <c r="S23" s="775">
        <f>F23</f>
        <v>100</v>
      </c>
      <c r="T23" s="774" t="s">
        <v>17</v>
      </c>
      <c r="U23" s="775">
        <f>H23</f>
        <v>100</v>
      </c>
      <c r="V23" s="774" t="s">
        <v>17</v>
      </c>
      <c r="W23" s="775">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215"/>
      <c r="Q24" s="1812"/>
      <c r="R24" s="774"/>
      <c r="S24" s="775"/>
      <c r="T24" s="774"/>
      <c r="U24" s="775"/>
      <c r="V24" s="774"/>
      <c r="W24" s="775"/>
      <c r="X24" s="1815"/>
      <c r="Y24" s="3215"/>
      <c r="Z24" s="1816"/>
      <c r="AA24" s="1813"/>
      <c r="AB24" s="1813"/>
      <c r="AC24" s="1813"/>
    </row>
    <row r="25" spans="1:29" ht="57">
      <c r="A25" s="404"/>
      <c r="B25" s="1386"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5"/>
      <c r="Q25" s="1812" t="str">
        <f t="shared" si="8"/>
        <v>自然及人文环境状况</v>
      </c>
      <c r="R25" s="774" t="s">
        <v>17</v>
      </c>
      <c r="S25" s="775">
        <f>F25</f>
        <v>100</v>
      </c>
      <c r="T25" s="774" t="s">
        <v>17</v>
      </c>
      <c r="U25" s="775">
        <f>H25</f>
        <v>100</v>
      </c>
      <c r="V25" s="774" t="s">
        <v>17</v>
      </c>
      <c r="W25" s="775">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215"/>
      <c r="Q26" s="1812"/>
      <c r="R26" s="774"/>
      <c r="S26" s="775"/>
      <c r="T26" s="774"/>
      <c r="U26" s="775"/>
      <c r="V26" s="774"/>
      <c r="W26" s="775"/>
      <c r="X26" s="1815"/>
      <c r="Y26" s="3215"/>
      <c r="Z26" s="1816"/>
      <c r="AA26" s="1813">
        <v>1</v>
      </c>
      <c r="AB26" s="1813">
        <v>1</v>
      </c>
      <c r="AC26" s="1813">
        <v>1</v>
      </c>
    </row>
    <row r="27" spans="1:29" s="117" customFormat="1" ht="42.75">
      <c r="A27" s="649"/>
      <c r="B27" s="1386"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5"/>
      <c r="Q27" s="1797" t="str">
        <f t="shared" si="8"/>
        <v>公共配套设施</v>
      </c>
      <c r="R27" s="770" t="s">
        <v>17</v>
      </c>
      <c r="S27" s="771">
        <f>F27</f>
        <v>100</v>
      </c>
      <c r="T27" s="770" t="s">
        <v>17</v>
      </c>
      <c r="U27" s="771">
        <f>H27</f>
        <v>100</v>
      </c>
      <c r="V27" s="770" t="s">
        <v>17</v>
      </c>
      <c r="W27" s="771">
        <f>J27</f>
        <v>100</v>
      </c>
      <c r="X27" s="772"/>
      <c r="Y27" s="3215"/>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215"/>
      <c r="Q28" s="1797"/>
      <c r="R28" s="770"/>
      <c r="S28" s="771"/>
      <c r="T28" s="770"/>
      <c r="U28" s="771"/>
      <c r="V28" s="770"/>
      <c r="W28" s="771"/>
      <c r="X28" s="772"/>
      <c r="Y28" s="3215"/>
      <c r="Z28" s="55"/>
      <c r="AA28" s="1813">
        <v>1</v>
      </c>
      <c r="AB28" s="1813">
        <v>1</v>
      </c>
      <c r="AC28" s="1813">
        <v>1</v>
      </c>
    </row>
    <row r="29" spans="1:29" s="117" customFormat="1" ht="28.5">
      <c r="A29" s="649"/>
      <c r="B29" s="1386"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5"/>
      <c r="Q29" s="1797"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15"/>
      <c r="Q30" s="1797"/>
      <c r="R30" s="770"/>
      <c r="S30" s="771"/>
      <c r="T30" s="770"/>
      <c r="U30" s="771"/>
      <c r="V30" s="770"/>
      <c r="W30" s="771"/>
      <c r="X30" s="772"/>
      <c r="Y30" s="3215"/>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5"/>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5"/>
      <c r="Q32" s="1812" t="str">
        <f t="shared" si="8"/>
        <v>毗邻道路的类型与等级</v>
      </c>
      <c r="R32" s="774" t="s">
        <v>17</v>
      </c>
      <c r="S32" s="775">
        <f t="shared" si="10"/>
        <v>100</v>
      </c>
      <c r="T32" s="774" t="s">
        <v>17</v>
      </c>
      <c r="U32" s="775">
        <f t="shared" si="11"/>
        <v>100</v>
      </c>
      <c r="V32" s="774" t="s">
        <v>17</v>
      </c>
      <c r="W32" s="775">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215"/>
      <c r="Q33" s="1812"/>
      <c r="R33" s="774"/>
      <c r="S33" s="775"/>
      <c r="T33" s="774"/>
      <c r="U33" s="775"/>
      <c r="V33" s="774"/>
      <c r="W33" s="775"/>
      <c r="X33" s="1815"/>
      <c r="Y33" s="3215"/>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5"/>
      <c r="Q34" s="1812" t="str">
        <f t="shared" si="8"/>
        <v>土地级别</v>
      </c>
      <c r="R34" s="774" t="s">
        <v>17</v>
      </c>
      <c r="S34" s="775">
        <f t="shared" si="10"/>
        <v>100</v>
      </c>
      <c r="T34" s="774" t="s">
        <v>17</v>
      </c>
      <c r="U34" s="775">
        <f t="shared" si="11"/>
        <v>100</v>
      </c>
      <c r="V34" s="774" t="s">
        <v>17</v>
      </c>
      <c r="W34" s="775">
        <f t="shared" si="12"/>
        <v>100</v>
      </c>
      <c r="X34" s="1815"/>
      <c r="Y34" s="321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5"/>
      <c r="Q35" s="1812">
        <f t="shared" si="8"/>
        <v>111</v>
      </c>
      <c r="R35" s="774" t="s">
        <v>17</v>
      </c>
      <c r="S35" s="775">
        <f t="shared" si="10"/>
        <v>100</v>
      </c>
      <c r="T35" s="774" t="s">
        <v>17</v>
      </c>
      <c r="U35" s="775">
        <f t="shared" si="11"/>
        <v>100</v>
      </c>
      <c r="V35" s="774" t="s">
        <v>17</v>
      </c>
      <c r="W35" s="775">
        <f t="shared" si="12"/>
        <v>100</v>
      </c>
      <c r="X35" s="1815"/>
      <c r="Y35" s="321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3" t="s">
        <v>2566</v>
      </c>
      <c r="Q36" s="1812">
        <f t="shared" si="8"/>
        <v>111</v>
      </c>
      <c r="R36" s="774" t="s">
        <v>17</v>
      </c>
      <c r="S36" s="775">
        <f t="shared" si="10"/>
        <v>100</v>
      </c>
      <c r="T36" s="774" t="s">
        <v>17</v>
      </c>
      <c r="U36" s="775">
        <f t="shared" si="11"/>
        <v>100</v>
      </c>
      <c r="V36" s="774" t="s">
        <v>17</v>
      </c>
      <c r="W36" s="775">
        <f t="shared" si="12"/>
        <v>100</v>
      </c>
      <c r="X36" s="1815"/>
      <c r="Y36" s="3219"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2">
        <f t="shared" si="8"/>
        <v>111</v>
      </c>
      <c r="R37" s="777" t="s">
        <v>17</v>
      </c>
      <c r="S37" s="778">
        <f t="shared" si="10"/>
        <v>100</v>
      </c>
      <c r="T37" s="777" t="s">
        <v>17</v>
      </c>
      <c r="U37" s="778">
        <f t="shared" si="11"/>
        <v>100</v>
      </c>
      <c r="V37" s="777" t="s">
        <v>17</v>
      </c>
      <c r="W37" s="778">
        <f t="shared" si="12"/>
        <v>100</v>
      </c>
      <c r="X37" s="779"/>
      <c r="Y37" s="3219"/>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2" t="str">
        <f>B38</f>
        <v>宗地面积</v>
      </c>
      <c r="R38" s="774" t="s">
        <v>17</v>
      </c>
      <c r="S38" s="775" t="e">
        <f t="shared" si="10"/>
        <v>#N/A</v>
      </c>
      <c r="T38" s="774" t="s">
        <v>17</v>
      </c>
      <c r="U38" s="775" t="e">
        <f t="shared" si="11"/>
        <v>#N/A</v>
      </c>
      <c r="V38" s="774" t="s">
        <v>17</v>
      </c>
      <c r="W38" s="775" t="e">
        <f t="shared" si="12"/>
        <v>#N/A</v>
      </c>
      <c r="X38" s="1815"/>
      <c r="Y38" s="3219"/>
      <c r="Z38" s="1816" t="str">
        <f t="shared" si="13"/>
        <v>宗地面积</v>
      </c>
      <c r="AA38" s="1813" t="e">
        <f t="shared" si="3"/>
        <v>#N/A</v>
      </c>
      <c r="AB38" s="1813" t="e">
        <f t="shared" si="4"/>
        <v>#N/A</v>
      </c>
      <c r="AC38" s="1813"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19"/>
      <c r="Q39" s="1812" t="str">
        <f t="shared" ref="Q39:Q45" si="14">B39</f>
        <v>宗地形状</v>
      </c>
      <c r="R39" s="774" t="s">
        <v>17</v>
      </c>
      <c r="S39" s="775">
        <f t="shared" si="10"/>
        <v>100</v>
      </c>
      <c r="T39" s="774" t="s">
        <v>17</v>
      </c>
      <c r="U39" s="775">
        <f t="shared" si="11"/>
        <v>100</v>
      </c>
      <c r="V39" s="774" t="s">
        <v>17</v>
      </c>
      <c r="W39" s="775">
        <f t="shared" si="12"/>
        <v>100</v>
      </c>
      <c r="X39" s="1815"/>
      <c r="Y39" s="3219"/>
      <c r="Z39" s="1816" t="str">
        <f t="shared" si="13"/>
        <v>宗地形状</v>
      </c>
      <c r="AA39" s="1813">
        <f t="shared" si="3"/>
        <v>1</v>
      </c>
      <c r="AB39" s="1813">
        <f t="shared" si="4"/>
        <v>1</v>
      </c>
      <c r="AC39" s="1813">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19"/>
      <c r="Q40" s="1812" t="str">
        <f t="shared" si="14"/>
        <v>临街宽度及深度</v>
      </c>
      <c r="R40" s="774" t="s">
        <v>17</v>
      </c>
      <c r="S40" s="775">
        <f t="shared" si="10"/>
        <v>100</v>
      </c>
      <c r="T40" s="774" t="s">
        <v>17</v>
      </c>
      <c r="U40" s="775">
        <f t="shared" si="11"/>
        <v>100</v>
      </c>
      <c r="V40" s="774" t="s">
        <v>17</v>
      </c>
      <c r="W40" s="775">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19"/>
      <c r="Q41" s="1812"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19" t="s">
        <v>2566</v>
      </c>
      <c r="Q42" s="1812" t="str">
        <f t="shared" si="14"/>
        <v>工程地质条件</v>
      </c>
      <c r="R42" s="774" t="s">
        <v>17</v>
      </c>
      <c r="S42" s="775">
        <f t="shared" si="10"/>
        <v>100</v>
      </c>
      <c r="T42" s="774" t="s">
        <v>17</v>
      </c>
      <c r="U42" s="775">
        <f t="shared" si="11"/>
        <v>100</v>
      </c>
      <c r="V42" s="774" t="s">
        <v>17</v>
      </c>
      <c r="W42" s="775">
        <f t="shared" si="12"/>
        <v>100</v>
      </c>
      <c r="X42" s="1815"/>
      <c r="Y42" s="3219"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2">
        <f t="shared" si="14"/>
        <v>111</v>
      </c>
      <c r="R43" s="774" t="s">
        <v>17</v>
      </c>
      <c r="S43" s="775">
        <f t="shared" si="10"/>
        <v>100</v>
      </c>
      <c r="T43" s="774" t="s">
        <v>17</v>
      </c>
      <c r="U43" s="775">
        <f t="shared" si="11"/>
        <v>100</v>
      </c>
      <c r="V43" s="774" t="s">
        <v>17</v>
      </c>
      <c r="W43" s="775">
        <f t="shared" si="12"/>
        <v>100</v>
      </c>
      <c r="X43" s="1815"/>
      <c r="Y43" s="321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2">
        <f t="shared" si="14"/>
        <v>111</v>
      </c>
      <c r="R44" s="774" t="s">
        <v>17</v>
      </c>
      <c r="S44" s="775">
        <f t="shared" si="10"/>
        <v>100</v>
      </c>
      <c r="T44" s="774" t="s">
        <v>17</v>
      </c>
      <c r="U44" s="775">
        <f t="shared" si="11"/>
        <v>100</v>
      </c>
      <c r="V44" s="774" t="s">
        <v>17</v>
      </c>
      <c r="W44" s="775">
        <f t="shared" si="12"/>
        <v>100</v>
      </c>
      <c r="X44" s="1815"/>
      <c r="Y44" s="3219"/>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2">
        <f t="shared" si="14"/>
        <v>111</v>
      </c>
      <c r="R45" s="777" t="s">
        <v>17</v>
      </c>
      <c r="S45" s="778">
        <f t="shared" si="10"/>
        <v>100</v>
      </c>
      <c r="T45" s="777" t="s">
        <v>17</v>
      </c>
      <c r="U45" s="778">
        <f t="shared" si="11"/>
        <v>100</v>
      </c>
      <c r="V45" s="777" t="s">
        <v>17</v>
      </c>
      <c r="W45" s="778">
        <f t="shared" si="12"/>
        <v>100</v>
      </c>
      <c r="X45" s="779"/>
      <c r="Y45" s="3219"/>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221" t="str">
        <f>A46</f>
        <v>成交单价</v>
      </c>
      <c r="Q46" s="3221"/>
      <c r="R46" s="3209">
        <f>E46</f>
        <v>0</v>
      </c>
      <c r="S46" s="3209"/>
      <c r="T46" s="3209">
        <f>G46</f>
        <v>0</v>
      </c>
      <c r="U46" s="3209"/>
      <c r="V46" s="3209">
        <f>I46</f>
        <v>0</v>
      </c>
      <c r="W46" s="3209"/>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44" t="str">
        <f>A48</f>
        <v>估价对象XX用房的比较价值（楼面单价，元/平方米）</v>
      </c>
      <c r="Q48" s="3245"/>
      <c r="R48" s="3271" t="e">
        <f>ROUND(AVERAGE(R47:V47),0)</f>
        <v>#DIV/0!</v>
      </c>
      <c r="S48" s="3271"/>
      <c r="T48" s="3271"/>
      <c r="U48" s="3271"/>
      <c r="V48" s="3271"/>
      <c r="W48" s="32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96" t="s">
        <v>2765</v>
      </c>
      <c r="H55" s="3272"/>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208.21</v>
      </c>
      <c r="F56" s="1106" t="e">
        <f t="shared" ref="F56:F65" si="15">ROUND(B56*E56/10000,0)</f>
        <v>#DIV/0!</v>
      </c>
      <c r="G56" s="3192"/>
      <c r="H56" s="322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62.3</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270.51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7"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6" t="s">
        <v>2647</v>
      </c>
      <c r="D4" s="3197"/>
      <c r="E4" s="3198" t="s">
        <v>2648</v>
      </c>
      <c r="F4" s="3199"/>
      <c r="G4" s="3196" t="s">
        <v>2649</v>
      </c>
      <c r="H4" s="3197"/>
      <c r="I4" s="3196" t="s">
        <v>2650</v>
      </c>
      <c r="J4" s="3197"/>
      <c r="K4" s="610" t="s">
        <v>2651</v>
      </c>
      <c r="L4" s="1133"/>
      <c r="M4" s="1134"/>
      <c r="N4" s="1134"/>
      <c r="O4" s="1134"/>
      <c r="P4" s="3239" t="s">
        <v>2652</v>
      </c>
      <c r="Q4" s="3240"/>
      <c r="R4" s="3236" t="s">
        <v>2648</v>
      </c>
      <c r="S4" s="3237"/>
      <c r="T4" s="3236" t="s">
        <v>2649</v>
      </c>
      <c r="U4" s="3237"/>
      <c r="V4" s="3209" t="s">
        <v>2650</v>
      </c>
      <c r="W4" s="3209"/>
      <c r="X4" s="1815"/>
      <c r="Y4" s="3236" t="s">
        <v>2652</v>
      </c>
      <c r="Z4" s="3237"/>
      <c r="AA4" s="3235" t="s">
        <v>2648</v>
      </c>
      <c r="AB4" s="3176" t="s">
        <v>2649</v>
      </c>
      <c r="AC4" s="3235" t="s">
        <v>2650</v>
      </c>
    </row>
    <row r="5" spans="1:29" ht="15">
      <c r="A5" s="404"/>
      <c r="B5" s="405"/>
      <c r="C5" s="3186" t="s">
        <v>2543</v>
      </c>
      <c r="D5" s="3187"/>
      <c r="E5" s="3269" t="s">
        <v>2544</v>
      </c>
      <c r="F5" s="3185"/>
      <c r="G5" s="3186" t="s">
        <v>2545</v>
      </c>
      <c r="H5" s="3187"/>
      <c r="I5" s="3186" t="s">
        <v>2546</v>
      </c>
      <c r="J5" s="3187"/>
      <c r="K5" s="610"/>
      <c r="L5" s="1133"/>
      <c r="M5" s="1134"/>
      <c r="N5" s="1134"/>
      <c r="O5" s="1134"/>
      <c r="P5" s="3241"/>
      <c r="Q5" s="3203"/>
      <c r="R5" s="3182"/>
      <c r="S5" s="3183"/>
      <c r="T5" s="3182"/>
      <c r="U5" s="3183"/>
      <c r="V5" s="3209"/>
      <c r="W5" s="3209"/>
      <c r="X5" s="1815"/>
      <c r="Y5" s="3182"/>
      <c r="Z5" s="3183"/>
      <c r="AA5" s="3176"/>
      <c r="AB5" s="3176"/>
      <c r="AC5" s="3176"/>
    </row>
    <row r="6" spans="1:29" ht="15.75" thickBot="1">
      <c r="A6" s="406"/>
      <c r="B6" s="407"/>
      <c r="C6" s="3274" t="s">
        <v>2798</v>
      </c>
      <c r="D6" s="3275"/>
      <c r="E6" s="3276" t="s">
        <v>2798</v>
      </c>
      <c r="F6" s="3277"/>
      <c r="G6" s="3274" t="s">
        <v>2798</v>
      </c>
      <c r="H6" s="3275"/>
      <c r="I6" s="3274" t="s">
        <v>2798</v>
      </c>
      <c r="J6" s="3275"/>
      <c r="K6" s="610" t="s">
        <v>2548</v>
      </c>
      <c r="L6" s="1133"/>
      <c r="M6" s="1134"/>
      <c r="N6" s="1134"/>
      <c r="O6" s="1134"/>
      <c r="P6" s="3242"/>
      <c r="Q6" s="3205"/>
      <c r="R6" s="3182"/>
      <c r="S6" s="3183"/>
      <c r="T6" s="3206"/>
      <c r="U6" s="3207"/>
      <c r="V6" s="3209"/>
      <c r="W6" s="3209"/>
      <c r="X6" s="1815"/>
      <c r="Y6" s="3206"/>
      <c r="Z6" s="3207"/>
      <c r="AA6" s="3177"/>
      <c r="AB6" s="3177"/>
      <c r="AC6" s="3177"/>
    </row>
    <row r="7" spans="1:29" s="117" customFormat="1" ht="15.75" thickBot="1">
      <c r="A7" s="408" t="s">
        <v>2549</v>
      </c>
      <c r="B7" s="409"/>
      <c r="C7" s="410">
        <f>'数据-取费表'!B2</f>
        <v>43270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8" t="s">
        <v>2550</v>
      </c>
      <c r="Q7" s="3211"/>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1" t="s">
        <v>2556</v>
      </c>
      <c r="Q9" s="1797" t="str">
        <f t="shared" ref="Q9:Q15" si="6">B9</f>
        <v>用途</v>
      </c>
      <c r="R9" s="770" t="s">
        <v>17</v>
      </c>
      <c r="S9" s="771">
        <f t="shared" si="0"/>
        <v>100</v>
      </c>
      <c r="T9" s="770" t="s">
        <v>17</v>
      </c>
      <c r="U9" s="771">
        <f t="shared" si="1"/>
        <v>100</v>
      </c>
      <c r="V9" s="770" t="s">
        <v>17</v>
      </c>
      <c r="W9" s="771">
        <f t="shared" si="2"/>
        <v>100</v>
      </c>
      <c r="X9" s="772"/>
      <c r="Y9" s="305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130</v>
      </c>
      <c r="G10" s="432"/>
      <c r="H10" s="136">
        <f>ROUND(100/'数据-取费表'!G16,0)</f>
        <v>130</v>
      </c>
      <c r="I10" s="432"/>
      <c r="J10" s="136">
        <f>ROUND(100/'数据-取费表'!G16,0)</f>
        <v>130</v>
      </c>
      <c r="K10" s="672"/>
      <c r="L10" s="1138"/>
      <c r="M10" s="1139"/>
      <c r="N10" s="1139"/>
      <c r="O10" s="1140"/>
      <c r="P10" s="3221"/>
      <c r="Q10" s="1797" t="str">
        <f t="shared" si="6"/>
        <v>土地使用年限（年）</v>
      </c>
      <c r="R10" s="770" t="s">
        <v>17</v>
      </c>
      <c r="S10" s="771">
        <f t="shared" si="0"/>
        <v>130</v>
      </c>
      <c r="T10" s="770" t="s">
        <v>17</v>
      </c>
      <c r="U10" s="771">
        <f t="shared" si="1"/>
        <v>130</v>
      </c>
      <c r="V10" s="770" t="s">
        <v>17</v>
      </c>
      <c r="W10" s="771">
        <f t="shared" si="2"/>
        <v>130</v>
      </c>
      <c r="X10" s="772"/>
      <c r="Y10" s="3052"/>
      <c r="Z10" s="55" t="str">
        <f t="shared" si="7"/>
        <v>土地使用年限（年）</v>
      </c>
      <c r="AA10" s="773">
        <f t="shared" si="3"/>
        <v>0.76923076923076927</v>
      </c>
      <c r="AB10" s="773">
        <f t="shared" si="4"/>
        <v>0.76923076923076927</v>
      </c>
      <c r="AC10" s="773">
        <f t="shared" si="5"/>
        <v>0.76923076923076927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4" t="s">
        <v>2561</v>
      </c>
      <c r="Q15" s="1812" t="str">
        <f t="shared" si="6"/>
        <v>产业集聚程度</v>
      </c>
      <c r="R15" s="774" t="s">
        <v>17</v>
      </c>
      <c r="S15" s="775">
        <f t="shared" si="0"/>
        <v>100</v>
      </c>
      <c r="T15" s="774" t="s">
        <v>17</v>
      </c>
      <c r="U15" s="775">
        <f t="shared" si="1"/>
        <v>100</v>
      </c>
      <c r="V15" s="774" t="s">
        <v>17</v>
      </c>
      <c r="W15" s="775">
        <f t="shared" si="2"/>
        <v>100</v>
      </c>
      <c r="X15" s="1815"/>
      <c r="Y15" s="3214" t="s">
        <v>2561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15"/>
      <c r="Q16" s="1812"/>
      <c r="R16" s="774"/>
      <c r="S16" s="775"/>
      <c r="T16" s="774"/>
      <c r="U16" s="775"/>
      <c r="V16" s="774"/>
      <c r="W16" s="775"/>
      <c r="X16" s="1815"/>
      <c r="Y16" s="3215"/>
      <c r="Z16" s="1816"/>
      <c r="AA16" s="1813">
        <v>1</v>
      </c>
      <c r="AB16" s="1813">
        <v>1</v>
      </c>
      <c r="AC16" s="1813">
        <v>1</v>
      </c>
    </row>
    <row r="17" spans="1:29" ht="85.5">
      <c r="A17" s="428"/>
      <c r="B17" s="631" t="s">
        <v>2710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5"/>
      <c r="Q17" s="1812" t="str">
        <f>B17</f>
        <v>交通便捷度</v>
      </c>
      <c r="R17" s="774" t="s">
        <v>17</v>
      </c>
      <c r="S17" s="775">
        <f>F17</f>
        <v>100</v>
      </c>
      <c r="T17" s="774" t="s">
        <v>17</v>
      </c>
      <c r="U17" s="775">
        <f>H17</f>
        <v>100</v>
      </c>
      <c r="V17" s="774" t="s">
        <v>17</v>
      </c>
      <c r="W17" s="775">
        <f>J17</f>
        <v>100</v>
      </c>
      <c r="X17" s="1815"/>
      <c r="Y17" s="3215"/>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15"/>
      <c r="Q18" s="1812"/>
      <c r="R18" s="774"/>
      <c r="S18" s="775"/>
      <c r="T18" s="774"/>
      <c r="U18" s="775"/>
      <c r="V18" s="774"/>
      <c r="W18" s="775"/>
      <c r="X18" s="1815"/>
      <c r="Y18" s="3215"/>
      <c r="Z18" s="1816"/>
      <c r="AA18" s="1813">
        <v>1</v>
      </c>
      <c r="AB18" s="1813">
        <v>1</v>
      </c>
      <c r="AC18" s="1813">
        <v>1</v>
      </c>
    </row>
    <row r="19" spans="1:29" ht="15">
      <c r="A19" s="428"/>
      <c r="B19" s="631" t="s">
        <v>2749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5"/>
      <c r="Q19" s="1812" t="str">
        <f t="shared" ref="Q19:Q33" si="8">B19</f>
        <v>区域土地利用方向</v>
      </c>
      <c r="R19" s="774" t="s">
        <v>17</v>
      </c>
      <c r="S19" s="775">
        <f>F19</f>
        <v>100</v>
      </c>
      <c r="T19" s="774" t="s">
        <v>17</v>
      </c>
      <c r="U19" s="775">
        <f>H19</f>
        <v>100</v>
      </c>
      <c r="V19" s="774" t="s">
        <v>17</v>
      </c>
      <c r="W19" s="775">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15"/>
      <c r="Q20" s="1812"/>
      <c r="R20" s="774"/>
      <c r="S20" s="775"/>
      <c r="T20" s="774"/>
      <c r="U20" s="775"/>
      <c r="V20" s="774"/>
      <c r="W20" s="775"/>
      <c r="X20" s="1815"/>
      <c r="Y20" s="3215"/>
      <c r="Z20" s="1816"/>
      <c r="AA20" s="1813"/>
      <c r="AB20" s="1813"/>
      <c r="AC20" s="1813"/>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5"/>
      <c r="Q21" s="1812" t="str">
        <f t="shared" si="8"/>
        <v>环境状况</v>
      </c>
      <c r="R21" s="774" t="s">
        <v>17</v>
      </c>
      <c r="S21" s="775">
        <f>F21</f>
        <v>100</v>
      </c>
      <c r="T21" s="774" t="s">
        <v>17</v>
      </c>
      <c r="U21" s="775">
        <f>H21</f>
        <v>100</v>
      </c>
      <c r="V21" s="774" t="s">
        <v>17</v>
      </c>
      <c r="W21" s="775">
        <f>J21</f>
        <v>100</v>
      </c>
      <c r="X21" s="1815"/>
      <c r="Y21" s="3215"/>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15"/>
      <c r="Q22" s="1812"/>
      <c r="R22" s="774"/>
      <c r="S22" s="775"/>
      <c r="T22" s="774"/>
      <c r="U22" s="775"/>
      <c r="V22" s="774"/>
      <c r="W22" s="775"/>
      <c r="X22" s="1815"/>
      <c r="Y22" s="3215"/>
      <c r="Z22" s="1816"/>
      <c r="AA22" s="1813">
        <v>1</v>
      </c>
      <c r="AB22" s="1813">
        <v>1</v>
      </c>
      <c r="AC22" s="1813">
        <v>1</v>
      </c>
    </row>
    <row r="23" spans="1:29" s="117" customFormat="1" ht="42.75">
      <c r="A23" s="649"/>
      <c r="B23" s="633" t="s">
        <v>2655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5"/>
      <c r="Q23" s="1797" t="str">
        <f t="shared" si="8"/>
        <v>公共配套设施</v>
      </c>
      <c r="R23" s="770" t="s">
        <v>17</v>
      </c>
      <c r="S23" s="771">
        <f>F23</f>
        <v>100</v>
      </c>
      <c r="T23" s="770" t="s">
        <v>17</v>
      </c>
      <c r="U23" s="771">
        <f>H23</f>
        <v>100</v>
      </c>
      <c r="V23" s="770" t="s">
        <v>17</v>
      </c>
      <c r="W23" s="771">
        <f>J23</f>
        <v>100</v>
      </c>
      <c r="X23" s="772"/>
      <c r="Y23" s="3215"/>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15"/>
      <c r="Q24" s="1797"/>
      <c r="R24" s="770"/>
      <c r="S24" s="771"/>
      <c r="T24" s="770"/>
      <c r="U24" s="771"/>
      <c r="V24" s="770"/>
      <c r="W24" s="771"/>
      <c r="X24" s="772"/>
      <c r="Y24" s="3215"/>
      <c r="Z24" s="55"/>
      <c r="AA24" s="773">
        <v>1</v>
      </c>
      <c r="AB24" s="773">
        <v>1</v>
      </c>
      <c r="AC24" s="773">
        <v>1</v>
      </c>
    </row>
    <row r="25" spans="1:29" s="117" customFormat="1" ht="28.5">
      <c r="A25" s="649"/>
      <c r="B25" s="633" t="s">
        <v>2656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5"/>
      <c r="Q25" s="1797"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15"/>
      <c r="Q26" s="1797"/>
      <c r="R26" s="770"/>
      <c r="S26" s="771"/>
      <c r="T26" s="770"/>
      <c r="U26" s="771"/>
      <c r="V26" s="770"/>
      <c r="W26" s="771"/>
      <c r="X26" s="772"/>
      <c r="Y26" s="321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5"/>
      <c r="Q28" s="1812" t="str">
        <f t="shared" si="8"/>
        <v>毗邻道路的类型与等级</v>
      </c>
      <c r="R28" s="774" t="s">
        <v>17</v>
      </c>
      <c r="S28" s="775">
        <f t="shared" si="10"/>
        <v>100</v>
      </c>
      <c r="T28" s="774" t="s">
        <v>17</v>
      </c>
      <c r="U28" s="775">
        <f t="shared" si="11"/>
        <v>100</v>
      </c>
      <c r="V28" s="774" t="s">
        <v>17</v>
      </c>
      <c r="W28" s="775">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15"/>
      <c r="Q29" s="1812"/>
      <c r="R29" s="774"/>
      <c r="S29" s="775"/>
      <c r="T29" s="774"/>
      <c r="U29" s="775"/>
      <c r="V29" s="774"/>
      <c r="W29" s="775"/>
      <c r="X29" s="1815"/>
      <c r="Y29" s="3215"/>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5"/>
      <c r="Q30" s="1812" t="str">
        <f t="shared" si="8"/>
        <v>土地级别</v>
      </c>
      <c r="R30" s="774" t="s">
        <v>17</v>
      </c>
      <c r="S30" s="775">
        <f t="shared" si="10"/>
        <v>100</v>
      </c>
      <c r="T30" s="774" t="s">
        <v>17</v>
      </c>
      <c r="U30" s="775">
        <f t="shared" si="11"/>
        <v>100</v>
      </c>
      <c r="V30" s="774" t="s">
        <v>17</v>
      </c>
      <c r="W30" s="775">
        <f t="shared" si="12"/>
        <v>100</v>
      </c>
      <c r="X30" s="1815"/>
      <c r="Y30" s="3215"/>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5"/>
      <c r="Q31" s="1812">
        <f t="shared" si="8"/>
        <v>111</v>
      </c>
      <c r="R31" s="774" t="s">
        <v>17</v>
      </c>
      <c r="S31" s="775">
        <f t="shared" si="10"/>
        <v>100</v>
      </c>
      <c r="T31" s="774" t="s">
        <v>17</v>
      </c>
      <c r="U31" s="775">
        <f t="shared" si="11"/>
        <v>100</v>
      </c>
      <c r="V31" s="774" t="s">
        <v>17</v>
      </c>
      <c r="W31" s="775">
        <f t="shared" si="12"/>
        <v>100</v>
      </c>
      <c r="X31" s="1815"/>
      <c r="Y31" s="3215"/>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3" t="s">
        <v>2566</v>
      </c>
      <c r="Q32" s="1812">
        <f t="shared" si="8"/>
        <v>111</v>
      </c>
      <c r="R32" s="774" t="s">
        <v>17</v>
      </c>
      <c r="S32" s="775">
        <f t="shared" si="10"/>
        <v>100</v>
      </c>
      <c r="T32" s="774" t="s">
        <v>17</v>
      </c>
      <c r="U32" s="775">
        <f t="shared" si="11"/>
        <v>100</v>
      </c>
      <c r="V32" s="774" t="s">
        <v>17</v>
      </c>
      <c r="W32" s="775">
        <f t="shared" si="12"/>
        <v>100</v>
      </c>
      <c r="X32" s="1815"/>
      <c r="Y32" s="3219"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2">
        <f t="shared" si="8"/>
        <v>111</v>
      </c>
      <c r="R33" s="777" t="s">
        <v>17</v>
      </c>
      <c r="S33" s="778">
        <f t="shared" si="10"/>
        <v>100</v>
      </c>
      <c r="T33" s="777" t="s">
        <v>17</v>
      </c>
      <c r="U33" s="778">
        <f t="shared" si="11"/>
        <v>100</v>
      </c>
      <c r="V33" s="777" t="s">
        <v>17</v>
      </c>
      <c r="W33" s="778">
        <f t="shared" si="12"/>
        <v>100</v>
      </c>
      <c r="X33" s="779"/>
      <c r="Y33" s="3219"/>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9"/>
      <c r="Q34" s="1812" t="str">
        <f>B34</f>
        <v>宗地面积</v>
      </c>
      <c r="R34" s="774" t="s">
        <v>17</v>
      </c>
      <c r="S34" s="775" t="e">
        <f t="shared" si="10"/>
        <v>#N/A</v>
      </c>
      <c r="T34" s="774" t="s">
        <v>17</v>
      </c>
      <c r="U34" s="775" t="e">
        <f t="shared" si="11"/>
        <v>#N/A</v>
      </c>
      <c r="V34" s="774" t="s">
        <v>17</v>
      </c>
      <c r="W34" s="775" t="e">
        <f t="shared" si="12"/>
        <v>#N/A</v>
      </c>
      <c r="X34" s="1815"/>
      <c r="Y34" s="3219"/>
      <c r="Z34" s="1816" t="str">
        <f t="shared" si="13"/>
        <v>宗地面积</v>
      </c>
      <c r="AA34" s="1813" t="e">
        <f t="shared" si="3"/>
        <v>#N/A</v>
      </c>
      <c r="AB34" s="1813" t="e">
        <f t="shared" si="4"/>
        <v>#N/A</v>
      </c>
      <c r="AC34" s="1813"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19"/>
      <c r="Q35" s="1812" t="str">
        <f t="shared" ref="Q35:Q40" si="14">B35</f>
        <v>宗地形状</v>
      </c>
      <c r="R35" s="774" t="s">
        <v>17</v>
      </c>
      <c r="S35" s="775">
        <f t="shared" si="10"/>
        <v>100</v>
      </c>
      <c r="T35" s="774" t="s">
        <v>17</v>
      </c>
      <c r="U35" s="775">
        <f t="shared" si="11"/>
        <v>100</v>
      </c>
      <c r="V35" s="774" t="s">
        <v>17</v>
      </c>
      <c r="W35" s="775">
        <f t="shared" si="12"/>
        <v>100</v>
      </c>
      <c r="X35" s="1815"/>
      <c r="Y35" s="3219"/>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19"/>
      <c r="Q36" s="1812"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19" t="s">
        <v>2566</v>
      </c>
      <c r="Q37" s="1812" t="str">
        <f t="shared" si="14"/>
        <v>工程地质条件</v>
      </c>
      <c r="R37" s="774" t="s">
        <v>17</v>
      </c>
      <c r="S37" s="775">
        <f t="shared" si="10"/>
        <v>100</v>
      </c>
      <c r="T37" s="774" t="s">
        <v>17</v>
      </c>
      <c r="U37" s="775">
        <f t="shared" si="11"/>
        <v>100</v>
      </c>
      <c r="V37" s="774" t="s">
        <v>17</v>
      </c>
      <c r="W37" s="775">
        <f t="shared" si="12"/>
        <v>100</v>
      </c>
      <c r="X37" s="1815"/>
      <c r="Y37" s="3219"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2">
        <f t="shared" si="14"/>
        <v>111</v>
      </c>
      <c r="R38" s="774" t="s">
        <v>17</v>
      </c>
      <c r="S38" s="775">
        <f t="shared" si="10"/>
        <v>100</v>
      </c>
      <c r="T38" s="774" t="s">
        <v>17</v>
      </c>
      <c r="U38" s="775">
        <f t="shared" si="11"/>
        <v>100</v>
      </c>
      <c r="V38" s="774" t="s">
        <v>17</v>
      </c>
      <c r="W38" s="775">
        <f t="shared" si="12"/>
        <v>100</v>
      </c>
      <c r="X38" s="1815"/>
      <c r="Y38" s="321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2">
        <f t="shared" si="14"/>
        <v>111</v>
      </c>
      <c r="R39" s="774" t="s">
        <v>17</v>
      </c>
      <c r="S39" s="775">
        <f t="shared" si="10"/>
        <v>100</v>
      </c>
      <c r="T39" s="774" t="s">
        <v>17</v>
      </c>
      <c r="U39" s="775">
        <f t="shared" si="11"/>
        <v>100</v>
      </c>
      <c r="V39" s="774" t="s">
        <v>17</v>
      </c>
      <c r="W39" s="775">
        <f t="shared" si="12"/>
        <v>100</v>
      </c>
      <c r="X39" s="1815"/>
      <c r="Y39" s="3219"/>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2">
        <f t="shared" si="14"/>
        <v>111</v>
      </c>
      <c r="R40" s="777" t="s">
        <v>17</v>
      </c>
      <c r="S40" s="778">
        <f t="shared" si="10"/>
        <v>100</v>
      </c>
      <c r="T40" s="777" t="s">
        <v>17</v>
      </c>
      <c r="U40" s="778">
        <f t="shared" si="11"/>
        <v>100</v>
      </c>
      <c r="V40" s="777" t="s">
        <v>17</v>
      </c>
      <c r="W40" s="778">
        <f t="shared" si="12"/>
        <v>100</v>
      </c>
      <c r="X40" s="779"/>
      <c r="Y40" s="3219"/>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221" t="str">
        <f>A41</f>
        <v>成交单价</v>
      </c>
      <c r="Q41" s="3221"/>
      <c r="R41" s="3209">
        <f>E41</f>
        <v>0</v>
      </c>
      <c r="S41" s="3209"/>
      <c r="T41" s="3209">
        <f>G41</f>
        <v>0</v>
      </c>
      <c r="U41" s="3209"/>
      <c r="V41" s="3209">
        <f>I41</f>
        <v>0</v>
      </c>
      <c r="W41" s="320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44" t="str">
        <f>A43</f>
        <v>估价对象XX用房的比较价值（楼面单价，元/平方米）</v>
      </c>
      <c r="Q43" s="3245"/>
      <c r="R43" s="3271" t="e">
        <f>ROUND(AVERAGE(R42:V42),0)</f>
        <v>#DIV/0!</v>
      </c>
      <c r="S43" s="3271"/>
      <c r="T43" s="3271"/>
      <c r="U43" s="3271"/>
      <c r="V43" s="3271"/>
      <c r="W43" s="32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96" t="s">
        <v>2765</v>
      </c>
      <c r="H50" s="3272"/>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208.21</v>
      </c>
      <c r="F51" s="691" t="e">
        <f t="shared" ref="F51:F60" si="15">ROUND(B51*E51/10000,0)</f>
        <v>#DIV/0!</v>
      </c>
      <c r="G51" s="3192"/>
      <c r="H51" s="322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62.3</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21"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1628</v>
      </c>
      <c r="C4" s="2990"/>
      <c r="D4" s="2990"/>
      <c r="E4" s="1963"/>
    </row>
    <row r="5" spans="1:5" ht="16.5" thickTop="1">
      <c r="A5" s="1961"/>
      <c r="B5" s="2988" t="s">
        <v>1620</v>
      </c>
      <c r="C5" s="1964" t="s">
        <v>1621</v>
      </c>
      <c r="D5" s="1043">
        <f ca="1">'结果表-办公'!H101</f>
        <v>665</v>
      </c>
      <c r="E5" s="1961"/>
    </row>
    <row r="6" spans="1:5" ht="15.75">
      <c r="A6" s="1961"/>
      <c r="B6" s="2988"/>
      <c r="C6" s="1964" t="s">
        <v>1622</v>
      </c>
      <c r="D6" s="1043" t="str">
        <f ca="1">NUMBERSTRING(INT(D5*10000),2)&amp;"元整"</f>
        <v>陆佰陆拾伍万元整</v>
      </c>
      <c r="E6" s="1961"/>
    </row>
    <row r="7" spans="1:5" ht="15.75">
      <c r="A7" s="1961"/>
      <c r="B7" s="2993"/>
      <c r="C7" s="1965" t="s">
        <v>1623</v>
      </c>
      <c r="D7" s="1044">
        <f ca="1">'结果表-办公'!H102</f>
        <v>31939</v>
      </c>
      <c r="E7" s="1961"/>
    </row>
    <row r="8" spans="1:5" ht="15.75">
      <c r="A8" s="1961"/>
      <c r="B8" s="2994" t="str">
        <f>'结果表-办公'!E103</f>
        <v>2.估价师知悉的法定优先受偿款</v>
      </c>
      <c r="C8" s="1966" t="s">
        <v>1624</v>
      </c>
      <c r="D8" s="1044">
        <f>'结果表-办公'!H103</f>
        <v>0</v>
      </c>
      <c r="E8" s="1961"/>
    </row>
    <row r="9" spans="1:5" ht="15.75">
      <c r="A9" s="1961"/>
      <c r="B9" s="2996"/>
      <c r="C9" s="1964" t="s">
        <v>1622</v>
      </c>
      <c r="D9" s="1043" t="str">
        <f>NUMBERSTRING(INT(D8*10000),2)&amp;"元整"</f>
        <v>零元整</v>
      </c>
      <c r="E9" s="1961"/>
    </row>
    <row r="10" spans="1:5" ht="15">
      <c r="A10" s="1961"/>
      <c r="B10" s="1967" t="s">
        <v>1627</v>
      </c>
      <c r="C10" s="1968" t="s">
        <v>1625</v>
      </c>
      <c r="D10" s="1045">
        <f>'结果表-办公'!H104</f>
        <v>0</v>
      </c>
      <c r="E10" s="1961"/>
    </row>
    <row r="11" spans="1:5" ht="15">
      <c r="A11" s="1961"/>
      <c r="B11" s="1967" t="s">
        <v>1629</v>
      </c>
      <c r="C11" s="1968" t="s">
        <v>1630</v>
      </c>
      <c r="D11" s="1045">
        <f>'结果表-办公'!H105</f>
        <v>0</v>
      </c>
      <c r="E11" s="1961"/>
    </row>
    <row r="12" spans="1:5" ht="15">
      <c r="A12" s="1961"/>
      <c r="B12" s="1967" t="s">
        <v>1631</v>
      </c>
      <c r="C12" s="1968" t="s">
        <v>1630</v>
      </c>
      <c r="D12" s="1045">
        <f>'结果表-办公'!H106</f>
        <v>0</v>
      </c>
      <c r="E12" s="1961"/>
    </row>
    <row r="13" spans="1:5" ht="15.75">
      <c r="A13" s="1961"/>
      <c r="B13" s="2987" t="str">
        <f>'结果表-办公'!E107</f>
        <v>3.房地产抵押价值</v>
      </c>
      <c r="C13" s="1969" t="s">
        <v>1621</v>
      </c>
      <c r="D13" s="1046">
        <f ca="1">'结果表-办公'!H107</f>
        <v>665</v>
      </c>
      <c r="E13" s="1961"/>
    </row>
    <row r="14" spans="1:5" ht="15.75">
      <c r="A14" s="1961"/>
      <c r="B14" s="2988"/>
      <c r="C14" s="1964" t="s">
        <v>1622</v>
      </c>
      <c r="D14" s="1043" t="str">
        <f ca="1">NUMBERSTRING(INT(D13*10000),2)&amp;"元整"</f>
        <v>陆佰陆拾伍万元整</v>
      </c>
      <c r="E14" s="1961"/>
    </row>
    <row r="15" spans="1:5" ht="15">
      <c r="A15" s="1961"/>
      <c r="B15" s="2993"/>
      <c r="C15" s="1965" t="s">
        <v>1632</v>
      </c>
      <c r="D15" s="1055">
        <f ca="1">'结果表-办公'!H108</f>
        <v>24583</v>
      </c>
      <c r="E15" s="1961"/>
    </row>
    <row r="16" spans="1:5" ht="15">
      <c r="A16" s="1961"/>
      <c r="B16" s="2994" t="str">
        <f>'结果表-办公'!E109</f>
        <v>——</v>
      </c>
      <c r="C16" s="1969" t="s">
        <v>1633</v>
      </c>
      <c r="D16" s="1970" t="str">
        <f>'结果表-办公'!H109</f>
        <v>——</v>
      </c>
      <c r="E16" s="1961"/>
    </row>
    <row r="17" spans="1:5" ht="15.75">
      <c r="A17" s="1961"/>
      <c r="B17" s="2995"/>
      <c r="C17" s="1964" t="s">
        <v>1634</v>
      </c>
      <c r="D17" s="1043" t="e">
        <f>NUMBERSTRING(INT(D16*10000),2)&amp;"元整"</f>
        <v>#VALUE!</v>
      </c>
      <c r="E17" s="1961"/>
    </row>
    <row r="18" spans="1:5" ht="15">
      <c r="A18" s="1961"/>
      <c r="B18" s="2996"/>
      <c r="C18" s="1965" t="s">
        <v>1623</v>
      </c>
      <c r="D18" s="1055" t="str">
        <f>'结果表-办公'!H110</f>
        <v>——</v>
      </c>
      <c r="E18" s="1961"/>
    </row>
    <row r="19" spans="1:5" ht="15.75">
      <c r="A19" s="1961"/>
      <c r="B19" s="2987" t="str">
        <f>'结果表-办公'!E111</f>
        <v>——</v>
      </c>
      <c r="C19" s="1969" t="s">
        <v>1621</v>
      </c>
      <c r="D19" s="1044" t="str">
        <f>'结果表-办公'!H111</f>
        <v>——</v>
      </c>
      <c r="E19" s="1961"/>
    </row>
    <row r="20" spans="1:5" ht="15.75">
      <c r="A20" s="1961"/>
      <c r="B20" s="2988"/>
      <c r="C20" s="1964" t="s">
        <v>1634</v>
      </c>
      <c r="D20" s="1043" t="e">
        <f>NUMBERSTRING(INT(D19*10000),2)&amp;"元整"</f>
        <v>#VALUE!</v>
      </c>
      <c r="E20" s="1961"/>
    </row>
    <row r="21" spans="1:5" ht="15.75" thickBot="1">
      <c r="A21" s="1961"/>
      <c r="B21" s="2989"/>
      <c r="C21" s="1971" t="s">
        <v>1632</v>
      </c>
      <c r="D21" s="1056" t="str">
        <f>'结果表-办公'!H112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t="e">
        <f>IF(F3="宗地容积率",'数据-汇总表'!I4,IF(F3="估价对象容积率",'数据-汇总表'!I6,'数据-汇总表'!I7))</f>
        <v>#DIV/0!</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78"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2836</v>
      </c>
      <c r="X7" s="1606">
        <f>G2</f>
        <v>0</v>
      </c>
      <c r="Y7" s="1606" t="s">
        <v>2837</v>
      </c>
      <c r="Z7" s="1607" t="e">
        <f>G3</f>
        <v>#DIV/0!</v>
      </c>
      <c r="AA7" s="1608"/>
      <c r="AB7" s="1608"/>
      <c r="AC7" s="1609"/>
      <c r="AD7" s="1610"/>
      <c r="AE7" s="1610"/>
      <c r="AF7" s="1610"/>
      <c r="AG7" s="1610"/>
      <c r="AH7" s="1610"/>
      <c r="AI7" s="1610"/>
      <c r="AJ7" s="1611"/>
    </row>
    <row r="8" spans="1:36" ht="15">
      <c r="A8" s="3279"/>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89" t="s">
        <v>2841</v>
      </c>
      <c r="X8" s="3290"/>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79"/>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91"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91" t="s">
        <v>2865</v>
      </c>
      <c r="X11" s="1616" t="s">
        <v>2866</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78"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91"/>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91"/>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96"/>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ROUND(IF(H19="按公示增长率计算",SUMPRODUCT((地价!A3:A22=YEAR(G19)&amp;"-"&amp;ROUNDUP(MONTH(G19)/3,0))*(地价!X2:AB2=E2)*(地价!X3:AB22)),IF(H19="地价指数",M20/M19,(1+I19)^O19)),4)</f>
        <v>#DIV/0!</v>
      </c>
      <c r="D19" s="2802" t="s">
        <v>2894</v>
      </c>
      <c r="E19" s="928">
        <v>41640</v>
      </c>
      <c r="F19" s="2802" t="s">
        <v>2895</v>
      </c>
      <c r="G19" s="929">
        <f>'数据-取费表'!B2</f>
        <v>43270</v>
      </c>
      <c r="H19" s="2803" t="s">
        <v>2896</v>
      </c>
      <c r="I19" s="930" t="str">
        <f>IF(H19="季度增幅（自定义）",SUMIF(N21:N24,E2,O21:O24),"")</f>
        <v/>
      </c>
      <c r="J19" s="2800"/>
      <c r="K19" s="1379"/>
      <c r="L19" s="2804" t="s">
        <v>2897</v>
      </c>
      <c r="M19" s="1736">
        <f>ROUND(SUMIF(地价!B2:F2,E2,地价!B22:F22),0)</f>
        <v>0</v>
      </c>
      <c r="N19" s="2805" t="s">
        <v>2898</v>
      </c>
      <c r="O19" s="931">
        <f>ROUNDDOWN(DATEDIF(E19,G19,"M")/3,0)</f>
        <v>17</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ROUND(SUMPRODUCT((地价!A4:A22=YEAR(G19)&amp;"-"&amp;ROUNDUP(MONTH(G19)/3,0))*(地价!B2:F2=E2)*(地价!B4:F22)),0)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t="e">
        <f>IF(B21="容积率修正",IF(G3&lt;=10,D22,J22),C23)</f>
        <v>#DIV/0!</v>
      </c>
      <c r="D21" s="2818"/>
      <c r="E21" s="2818"/>
      <c r="F21" s="2818"/>
      <c r="G21" s="2818"/>
      <c r="H21" s="2818"/>
      <c r="I21" s="2818"/>
      <c r="J21" s="2819"/>
      <c r="K21" s="1379"/>
      <c r="N21" s="2820" t="s">
        <v>2907</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3" customFormat="1" ht="14.25">
      <c r="A22" s="2669" t="s">
        <v>2908</v>
      </c>
      <c r="B22" s="2821" t="s">
        <v>2909</v>
      </c>
      <c r="C22" s="1812" t="s">
        <v>2910</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20" t="s">
        <v>2911</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9" t="s">
        <v>2912</v>
      </c>
      <c r="B23" s="2822" t="s">
        <v>2913</v>
      </c>
      <c r="C23" s="1016" t="e">
        <f>ROUND(IF(G3&gt;1,IF(I3&lt;7,SUMPRODUCT((B93:B98=I3)*(C92:N92=G2)*(C93:N98)),SUMIF(C92:N92,G2,C100:N100)),IF(I3&lt;7,SUMPRODUCT((B102:B107=I3)*(C92:N92=G2)*(C102:N107)),SUMIF(C92:N92,G2,C109:N109))),4)</f>
        <v>#DIV/0!</v>
      </c>
      <c r="D23" s="2778"/>
      <c r="E23" s="2778"/>
      <c r="F23" s="2823"/>
      <c r="G23" s="2824"/>
      <c r="H23" s="2825"/>
      <c r="I23" s="2826"/>
      <c r="J23" s="2827"/>
      <c r="K23" s="1372"/>
      <c r="N23" s="2820" t="s">
        <v>2914</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86" t="s">
        <v>2933</v>
      </c>
      <c r="B33" s="2866" t="s">
        <v>2934</v>
      </c>
      <c r="C33" s="206" t="e">
        <f>ROUND(D5*C19*C20*C24*F33,0)</f>
        <v>#DIV/0!</v>
      </c>
      <c r="D33" s="2850"/>
      <c r="E33" s="200" t="e">
        <f>ROUND(C33*D33/10000,0)</f>
        <v>#DIV/0!</v>
      </c>
      <c r="F33" s="200">
        <f>SUMIF(修正!A45:A56,G2,修正!B45:B56)</f>
        <v>0</v>
      </c>
      <c r="G33" s="200" t="e">
        <f t="shared" ref="G33:G39"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7"/>
      <c r="B34" s="2770" t="s">
        <v>2935</v>
      </c>
      <c r="C34" s="206" t="e">
        <f>ROUND(D5*C19*C20*C24*F34,0)</f>
        <v>#DIV/0!</v>
      </c>
      <c r="D34" s="285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7"/>
      <c r="B35" s="2770" t="s">
        <v>2936</v>
      </c>
      <c r="C35" s="206" t="e">
        <f>ROUND(D5*C19*C20*C24*F35,0)</f>
        <v>#DIV/0!</v>
      </c>
      <c r="D35" s="2850"/>
      <c r="E35" s="200" t="e">
        <f t="shared" si="7"/>
        <v>#DIV/0!</v>
      </c>
      <c r="F35" s="200">
        <f>SUMIF(修正!A45:A56,G2,修正!D45:D56)</f>
        <v>0</v>
      </c>
      <c r="G35" s="200" t="e">
        <f t="shared" si="6"/>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88"/>
      <c r="B36" s="2770" t="s">
        <v>2937</v>
      </c>
      <c r="C36" s="206" t="e">
        <f>ROUND(D5*C19*C20*C24*F36,0)</f>
        <v>#DIV/0!</v>
      </c>
      <c r="D36" s="2850"/>
      <c r="E36" s="200" t="e">
        <f t="shared" si="7"/>
        <v>#DIV/0!</v>
      </c>
      <c r="F36" s="200">
        <f>SUMIF(修正!A45:A56,G2,修正!E45:E56)</f>
        <v>0</v>
      </c>
      <c r="G36" s="200" t="e">
        <f t="shared" si="6"/>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ROUND(C5*C19*C20*C24*F37,0)</f>
        <v>#DIV/0!</v>
      </c>
      <c r="D37" s="2850"/>
      <c r="E37" s="200" t="e">
        <f t="shared" si="7"/>
        <v>#DIV/0!</v>
      </c>
      <c r="F37" s="206">
        <f>SUMIF(修正!A45:A56,G2,修正!F45:F56)</f>
        <v>0</v>
      </c>
      <c r="G37" s="200" t="e">
        <f t="shared" si="6"/>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ROUND(C5*C19*C20*C24*F38,0)</f>
        <v>#DIV/0!</v>
      </c>
      <c r="D38" s="2850"/>
      <c r="E38" s="200" t="e">
        <f t="shared" si="7"/>
        <v>#DIV/0!</v>
      </c>
      <c r="F38" s="206">
        <f>SUMIF(修正!A45:A56,G2,修正!G45:G56)</f>
        <v>0</v>
      </c>
      <c r="G38" s="200" t="e">
        <f t="shared" si="6"/>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ROUND(C5*C19*C20*C24*F39,0)</f>
        <v>#DIV/0!</v>
      </c>
      <c r="D39" s="2856"/>
      <c r="E39" s="229" t="e">
        <f t="shared" si="7"/>
        <v>#DIV/0!</v>
      </c>
      <c r="F39" s="935">
        <f>SUMIF(修正!A45:A56,G2,修正!H45:H56)</f>
        <v>0</v>
      </c>
      <c r="G39" s="229" t="e">
        <f t="shared" si="6"/>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6"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6"/>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6"/>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6"/>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6"/>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6"/>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6"/>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6"/>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6"/>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80" t="s">
        <v>2975</v>
      </c>
      <c r="B90" s="3280"/>
      <c r="C90" s="3280"/>
      <c r="D90" s="3280"/>
      <c r="E90" s="3280"/>
      <c r="F90" s="3280"/>
      <c r="G90" s="3280"/>
      <c r="H90" s="3280"/>
      <c r="I90" s="3280"/>
      <c r="J90" s="3280"/>
      <c r="K90" s="2897"/>
      <c r="L90" s="2897"/>
      <c r="M90" s="2897"/>
      <c r="N90" s="2897"/>
    </row>
    <row r="91" spans="1:37">
      <c r="A91" s="3282" t="s">
        <v>2976</v>
      </c>
      <c r="B91" s="3282" t="s">
        <v>2977</v>
      </c>
      <c r="C91" s="2851" t="s">
        <v>2978</v>
      </c>
      <c r="D91" s="2852"/>
      <c r="E91" s="2852"/>
      <c r="F91" s="2852"/>
      <c r="G91" s="2852"/>
      <c r="H91" s="2852"/>
      <c r="I91" s="2852"/>
      <c r="J91" s="2898"/>
      <c r="K91" s="2899"/>
      <c r="L91" s="2899"/>
      <c r="M91" s="2899"/>
      <c r="N91" s="2899"/>
    </row>
    <row r="92" spans="1:37">
      <c r="A92" s="3282"/>
      <c r="B92" s="3282"/>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83"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4"/>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3" t="s">
        <v>2980</v>
      </c>
      <c r="B101" s="2904" t="s">
        <v>2981</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84"/>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84"/>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84"/>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84"/>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84"/>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84"/>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84"/>
      <c r="B108" s="3106"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5"/>
      <c r="B109" s="3107"/>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81" t="s">
        <v>2983</v>
      </c>
      <c r="B110" s="3281"/>
      <c r="C110" s="3281"/>
      <c r="D110" s="3281"/>
      <c r="E110" s="3281"/>
      <c r="F110" s="3281"/>
      <c r="G110" s="3281"/>
      <c r="H110" s="3281"/>
      <c r="I110" s="3281"/>
      <c r="J110" s="3281"/>
      <c r="K110" s="2906"/>
      <c r="L110" s="2906"/>
      <c r="M110" s="2906"/>
      <c r="N110" s="2906"/>
    </row>
    <row r="112" spans="1:14" ht="13.5" thickBot="1"/>
    <row r="113" spans="1:13" ht="25.5" thickBot="1">
      <c r="A113" s="903" t="s">
        <v>2984</v>
      </c>
      <c r="B113" s="1289" t="e">
        <f>G3</f>
        <v>#DIV/0!</v>
      </c>
      <c r="C113" s="904" t="s">
        <v>2985</v>
      </c>
      <c r="D113" s="905" t="e">
        <f>SUMPRODUCT((A115:A118=F113)*(B114:M114=H113)*B115:M118)</f>
        <v>#DIV/0!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0">
        <f ca="1">SUMIF(INDIRECT("'"&amp;A6&amp;"'"&amp;"!C:C"),"建筑面积",INDIRECT("'"&amp;A6&amp;"'"&amp;"!D:D"))</f>
        <v>0</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1150</v>
      </c>
      <c r="C1" s="3304"/>
      <c r="D1" s="3304"/>
      <c r="E1" s="3304"/>
      <c r="F1" s="3304"/>
      <c r="G1" s="3300" t="s">
        <v>1151</v>
      </c>
      <c r="H1" s="3300"/>
      <c r="I1" s="3300"/>
      <c r="J1" s="3300"/>
      <c r="K1" s="3300"/>
      <c r="L1" s="3300"/>
      <c r="N1" s="3300" t="s">
        <v>1152</v>
      </c>
      <c r="O1" s="3300"/>
      <c r="P1" s="3300"/>
      <c r="Q1" s="3300"/>
      <c r="R1" s="1448"/>
      <c r="S1" s="3300" t="s">
        <v>1153</v>
      </c>
      <c r="T1" s="3300"/>
      <c r="U1" s="3300"/>
      <c r="V1" s="3300"/>
      <c r="X1" s="3299" t="s">
        <v>1154</v>
      </c>
      <c r="Y1" s="3300"/>
      <c r="Z1" s="3300"/>
      <c r="AA1" s="3300"/>
      <c r="AB1" s="3300"/>
      <c r="AD1" s="3299" t="s">
        <v>1155</v>
      </c>
      <c r="AE1" s="3300"/>
      <c r="AF1" s="3300"/>
      <c r="AG1" s="3300"/>
      <c r="AH1" s="3300"/>
    </row>
    <row r="2" spans="1:34" s="1449" customFormat="1" ht="14.25" thickBot="1">
      <c r="B2" s="1450" t="s">
        <v>1156</v>
      </c>
      <c r="C2" s="1450" t="s">
        <v>1157</v>
      </c>
      <c r="D2" s="1451" t="s">
        <v>1158</v>
      </c>
      <c r="E2" s="1451" t="s">
        <v>1159</v>
      </c>
      <c r="F2" s="1450" t="s">
        <v>1160</v>
      </c>
      <c r="G2" s="1452"/>
      <c r="H2" s="1453"/>
      <c r="I2" s="1450" t="s">
        <v>1156</v>
      </c>
      <c r="J2" s="1451" t="s">
        <v>1383</v>
      </c>
      <c r="K2" s="1451" t="s">
        <v>751</v>
      </c>
      <c r="L2" s="1450" t="s">
        <v>1160</v>
      </c>
      <c r="N2" s="1450" t="s">
        <v>1156</v>
      </c>
      <c r="O2" s="1451" t="s">
        <v>1383</v>
      </c>
      <c r="P2" s="1451" t="s">
        <v>751</v>
      </c>
      <c r="Q2" s="1450" t="s">
        <v>1160</v>
      </c>
      <c r="R2" s="1454"/>
      <c r="S2" s="1450" t="s">
        <v>1156</v>
      </c>
      <c r="T2" s="1451" t="s">
        <v>1383</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4">
        <v>2018</v>
      </c>
      <c r="H5" s="1732">
        <v>2</v>
      </c>
      <c r="I5" s="2929">
        <v>0</v>
      </c>
      <c r="J5" s="2929">
        <v>0</v>
      </c>
      <c r="K5" s="2929">
        <v>0</v>
      </c>
      <c r="L5" s="2929">
        <v>0</v>
      </c>
      <c r="N5" s="1469">
        <f t="shared" ref="N5" si="7">I5/100</f>
        <v>0</v>
      </c>
      <c r="O5" s="1469">
        <f t="shared" ref="O5" si="8">J5/100</f>
        <v>0</v>
      </c>
      <c r="P5" s="1469">
        <f t="shared" ref="P5" si="9">K5/100</f>
        <v>0</v>
      </c>
      <c r="Q5" s="1469">
        <f t="shared" ref="Q5" si="10">L5/100</f>
        <v>0</v>
      </c>
      <c r="R5" s="1734"/>
      <c r="S5" s="1735"/>
      <c r="T5" s="1734"/>
      <c r="U5" s="1734"/>
      <c r="V5" s="1734"/>
      <c r="W5" s="2933" t="s">
        <v>3041</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3039</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5">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3036</v>
      </c>
      <c r="B7" s="1471">
        <v>439</v>
      </c>
      <c r="C7" s="1471">
        <v>327</v>
      </c>
      <c r="D7" s="1471">
        <f>C7</f>
        <v>327</v>
      </c>
      <c r="E7" s="1471">
        <v>627</v>
      </c>
      <c r="F7" s="1472">
        <v>283</v>
      </c>
      <c r="G7" s="2931">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3037</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7"/>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1384</v>
      </c>
      <c r="B9" s="1479">
        <f t="shared" si="30"/>
        <v>419.31181600000002</v>
      </c>
      <c r="C9" s="1479">
        <f t="shared" si="31"/>
        <v>313.95436800000004</v>
      </c>
      <c r="D9" s="1479">
        <f t="shared" si="32"/>
        <v>313.95436800000004</v>
      </c>
      <c r="E9" s="1479">
        <f t="shared" si="33"/>
        <v>596.63028431999999</v>
      </c>
      <c r="F9" s="1479">
        <f t="shared" si="34"/>
        <v>274.74220703999998</v>
      </c>
      <c r="G9" s="2926"/>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7"/>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05">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02"/>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02"/>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03"/>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01">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02"/>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02"/>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03"/>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01">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02"/>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02"/>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03"/>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06">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07"/>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07"/>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08"/>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01">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02"/>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02"/>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03"/>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01">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02">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02">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03">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01">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02">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02">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03">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01">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02">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02">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03">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01">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02">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02">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03">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01">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02">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02">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03">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01">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02">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02">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03">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01">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02">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02">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03">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01">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02">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02">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03">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01">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02">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02">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03">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01">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02">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02">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03">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26423</v>
      </c>
      <c r="C2" s="2" t="s">
        <v>133</v>
      </c>
      <c r="D2" s="243"/>
      <c r="E2" s="243"/>
      <c r="F2" s="243"/>
      <c r="G2" s="243"/>
    </row>
    <row r="3" spans="1:7" s="244" customFormat="1" ht="18" customHeight="1" thickBot="1">
      <c r="A3" s="247" t="s">
        <v>85</v>
      </c>
      <c r="B3" s="248">
        <f ca="1">ROUND(B2*10000/'数据-汇总表'!E3,0)</f>
        <v>976785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430</v>
      </c>
      <c r="F9" s="265"/>
      <c r="G9" s="270"/>
    </row>
    <row r="10" spans="1:7" s="258" customFormat="1" ht="13.5" customHeight="1">
      <c r="A10" s="953" t="s">
        <v>801</v>
      </c>
      <c r="B10" s="268" t="s">
        <v>94</v>
      </c>
      <c r="C10" s="269">
        <f>ROUND(D10*E10/10000,0)</f>
        <v>12</v>
      </c>
      <c r="D10" s="1035">
        <f>'数据-汇总表'!E6</f>
        <v>270.51</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v>
      </c>
      <c r="D19" s="1039">
        <f>'数据-汇总表'!E3</f>
        <v>270.51</v>
      </c>
      <c r="E19" s="255">
        <f>'数据-取费表'!B31</f>
        <v>200</v>
      </c>
      <c r="F19" s="275"/>
      <c r="G19" s="1" t="s">
        <v>1074</v>
      </c>
    </row>
    <row r="20" spans="1:7" s="258" customFormat="1" ht="13.5" customHeight="1">
      <c r="A20" s="951" t="s">
        <v>1057</v>
      </c>
      <c r="B20" s="254" t="s">
        <v>104</v>
      </c>
      <c r="C20" s="276">
        <f>ROUND((C5+C19)*F20,0)</f>
        <v>309</v>
      </c>
      <c r="D20" s="276"/>
      <c r="E20" s="276"/>
      <c r="F20" s="277">
        <f>'数据-取费表'!B37</f>
        <v>1.4999999999999999E-2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904</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2511</v>
      </c>
      <c r="D27" s="279">
        <f>C29</f>
        <v>2.3999999999999998E-3</v>
      </c>
      <c r="E27" s="280" t="s">
        <v>126</v>
      </c>
      <c r="F27" s="290">
        <f>'数据-取费表'!Q16</f>
        <v>0.12</v>
      </c>
      <c r="G27" s="291" t="s">
        <v>1069</v>
      </c>
    </row>
    <row r="28" spans="1:7" s="258" customFormat="1" ht="13.5" customHeight="1">
      <c r="A28" s="954" t="s">
        <v>794</v>
      </c>
      <c r="B28" s="292" t="s">
        <v>1062</v>
      </c>
      <c r="C28" s="293">
        <f>ROUND((C5+C19+C20)*F27*'数据-取费表'!B21/'数据-取费表'!B20,0)</f>
        <v>2511</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4" t="s">
        <v>796</v>
      </c>
      <c r="B35" s="259" t="s">
        <v>60</v>
      </c>
      <c r="C35" s="264">
        <f>ROUND(C34*F35,0)</f>
        <v>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v>
      </c>
      <c r="D37" s="261">
        <f>'数据-汇总表'!E3</f>
        <v>270.51</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2</v>
      </c>
      <c r="D42" s="282"/>
      <c r="E42" s="282"/>
      <c r="F42" s="283"/>
      <c r="G42" s="3172" t="s">
        <v>121</v>
      </c>
    </row>
    <row r="43" spans="1:7" ht="13.5" customHeight="1">
      <c r="A43" s="954" t="s">
        <v>792</v>
      </c>
      <c r="B43" s="259" t="s">
        <v>1064</v>
      </c>
      <c r="C43" s="282">
        <f ca="1">ROUND(IF('数据-取费表'!B22&lt;=1,C39*F22*'数据-取费表'!B21/2,C39*(POWER((1+F22),'数据-取费表'!B21/2)-1)),0)</f>
        <v>0</v>
      </c>
      <c r="D43" s="282"/>
      <c r="E43" s="282"/>
      <c r="F43" s="283"/>
      <c r="G43" s="3173"/>
    </row>
    <row r="44" spans="1:7" ht="13.5" customHeight="1">
      <c r="A44" s="954" t="s">
        <v>793</v>
      </c>
      <c r="B44" s="259" t="s">
        <v>1066</v>
      </c>
      <c r="C44" s="282">
        <f ca="1">ROUND(IF('数据-取费表'!B22&lt;=1,C40*F22*'数据-取费表'!B21/2,C40*(POWER((1+F22),'数据-取费表'!B21/2)-1)),4)</f>
        <v>4.0000000000000002E-4</v>
      </c>
      <c r="D44" s="282"/>
      <c r="E44" s="282"/>
      <c r="F44" s="283"/>
      <c r="G44" s="3174"/>
    </row>
    <row r="45" spans="1:7" s="258" customFormat="1" ht="13.5" customHeight="1">
      <c r="A45" s="951" t="s">
        <v>786</v>
      </c>
      <c r="B45" s="288" t="s">
        <v>112</v>
      </c>
      <c r="C45" s="289">
        <f>C46</f>
        <v>10</v>
      </c>
      <c r="D45" s="279">
        <f>C47</f>
        <v>2.3999999999999998E-3</v>
      </c>
      <c r="E45" s="280" t="s">
        <v>129</v>
      </c>
      <c r="F45" s="290"/>
      <c r="G45" s="291" t="s">
        <v>1072</v>
      </c>
    </row>
    <row r="46" spans="1:7" s="258" customFormat="1" ht="13.5" customHeight="1">
      <c r="A46" s="954" t="s">
        <v>794</v>
      </c>
      <c r="B46" s="292" t="s">
        <v>1065</v>
      </c>
      <c r="C46" s="293">
        <f>ROUND((C33+C39)*F27,0)</f>
        <v>10</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101</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78</v>
      </c>
      <c r="D51" s="276"/>
      <c r="E51" s="276"/>
      <c r="F51" s="308"/>
      <c r="G51" s="278" t="s">
        <v>64</v>
      </c>
    </row>
    <row r="52" spans="1:7" s="252" customFormat="1" ht="16.5" thickBot="1">
      <c r="A52" s="309" t="s">
        <v>65</v>
      </c>
      <c r="B52" s="310"/>
      <c r="C52" s="311">
        <f ca="1">C31+C51</f>
        <v>26423</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871</v>
      </c>
      <c r="B1" s="330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1370</v>
      </c>
      <c r="E1" s="1778" t="s">
        <v>1374</v>
      </c>
      <c r="F1" s="1779" t="s">
        <v>1378</v>
      </c>
    </row>
    <row r="2" spans="1:13" ht="20.25">
      <c r="A2" s="1785" t="s">
        <v>1371</v>
      </c>
    </row>
    <row r="3" spans="1:13" ht="16.5">
      <c r="A3" s="1786" t="s">
        <v>1372</v>
      </c>
    </row>
    <row r="4" spans="1:13" ht="14.25">
      <c r="A4" s="1776" t="s">
        <v>1373</v>
      </c>
      <c r="B4" s="1781" t="s">
        <v>1375</v>
      </c>
      <c r="C4" s="1782"/>
      <c r="D4" s="1783"/>
      <c r="E4" s="1781" t="s">
        <v>27</v>
      </c>
      <c r="F4" s="1782"/>
      <c r="G4" s="1783"/>
      <c r="H4" s="1781" t="s">
        <v>1376</v>
      </c>
      <c r="I4" s="1782"/>
      <c r="J4" s="1783"/>
      <c r="K4" s="1781" t="s">
        <v>6</v>
      </c>
      <c r="L4" s="1782"/>
      <c r="M4" s="1783"/>
    </row>
    <row r="5" spans="1:13" ht="14.25">
      <c r="A5" s="1777" t="s">
        <v>1377</v>
      </c>
      <c r="B5" s="1776" t="s">
        <v>1379</v>
      </c>
      <c r="C5" s="1776" t="s">
        <v>1380</v>
      </c>
      <c r="D5" s="1776" t="s">
        <v>1381</v>
      </c>
      <c r="E5" s="1776" t="s">
        <v>1379</v>
      </c>
      <c r="F5" s="1776" t="s">
        <v>1380</v>
      </c>
      <c r="G5" s="1776" t="s">
        <v>1381</v>
      </c>
      <c r="H5" s="1776" t="s">
        <v>1379</v>
      </c>
      <c r="I5" s="1776" t="s">
        <v>1380</v>
      </c>
      <c r="J5" s="1776" t="s">
        <v>1381</v>
      </c>
      <c r="K5" s="1776" t="s">
        <v>1379</v>
      </c>
      <c r="L5" s="1776" t="s">
        <v>1380</v>
      </c>
      <c r="M5" s="1776" t="s">
        <v>1381</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1639</v>
      </c>
      <c r="B2" s="2998" t="s">
        <v>1640</v>
      </c>
      <c r="C2" s="2998" t="s">
        <v>1641</v>
      </c>
      <c r="D2" s="2998" t="str">
        <f>'结果表-办公'!D116</f>
        <v>出让国有建设用地使用权价值</v>
      </c>
      <c r="E2" s="2998"/>
      <c r="F2" s="2998" t="str">
        <f>'结果表-办公'!F116</f>
        <v>在建建筑物价值</v>
      </c>
      <c r="G2" s="2998"/>
      <c r="H2" s="2998" t="str">
        <f>IF(项目基本情况!B9="房地产市场价值","房地产市场价值","房地产价值")</f>
        <v>房地产价值</v>
      </c>
      <c r="I2" s="2998"/>
    </row>
    <row r="3" spans="1:9" ht="15">
      <c r="A3" s="2999"/>
      <c r="B3" s="2999"/>
      <c r="C3" s="2999"/>
      <c r="D3" s="1047" t="s">
        <v>1636</v>
      </c>
      <c r="E3" s="1047" t="s">
        <v>1642</v>
      </c>
      <c r="F3" s="1047" t="s">
        <v>1636</v>
      </c>
      <c r="G3" s="1047" t="s">
        <v>1637</v>
      </c>
      <c r="H3" s="1047" t="s">
        <v>1636</v>
      </c>
      <c r="I3" s="1047" t="s">
        <v>1637</v>
      </c>
    </row>
    <row r="4" spans="1:9" ht="15">
      <c r="A4" s="1975" t="str">
        <f>项目基本情况!S2</f>
        <v>房地产</v>
      </c>
      <c r="B4" s="1047">
        <f>项目基本情况!C17</f>
        <v>270.51</v>
      </c>
      <c r="C4" s="1047">
        <f>项目基本情况!C18</f>
        <v>0</v>
      </c>
      <c r="D4" s="1047" t="e">
        <f ca="1">'结果表-办公'!D118</f>
        <v>#REF!</v>
      </c>
      <c r="E4" s="1047" t="e">
        <f ca="1">'结果表-办公'!E118</f>
        <v>#REF!</v>
      </c>
      <c r="F4" s="1047" t="e">
        <f ca="1">'结果表-办公'!F118</f>
        <v>#REF!</v>
      </c>
      <c r="G4" s="1047" t="e">
        <f ca="1">'结果表-办公'!G118</f>
        <v>#REF!</v>
      </c>
      <c r="H4" s="1047">
        <f ca="1">'结果表-办公'!H118</f>
        <v>665</v>
      </c>
      <c r="I4" s="1047">
        <f ca="1">'结果表-办公'!I118</f>
        <v>31939</v>
      </c>
    </row>
    <row r="5" spans="1:9" ht="30" customHeight="1">
      <c r="A5" s="2999" t="s">
        <v>1638</v>
      </c>
      <c r="B5" s="2999"/>
      <c r="C5" s="2999"/>
      <c r="D5" s="3000" t="e">
        <f ca="1">'结果表-办公'!D119</f>
        <v>#REF!</v>
      </c>
      <c r="E5" s="3000"/>
      <c r="F5" s="3000" t="e">
        <f ca="1">'结果表-办公'!F119</f>
        <v>#REF!</v>
      </c>
      <c r="G5" s="3000"/>
      <c r="H5" s="3000" t="str">
        <f ca="1">'结果表-办公'!H119</f>
        <v>陆佰陆拾伍万元整</v>
      </c>
      <c r="I5" s="3000"/>
    </row>
    <row r="6" spans="1:9" ht="15.75">
      <c r="A6" s="3001" t="str">
        <f>'结果表-办公'!A120</f>
        <v>估价师知悉的法定优先受偿款</v>
      </c>
      <c r="B6" s="3001"/>
      <c r="C6" s="3001"/>
      <c r="D6" s="3001">
        <f>'结果表-办公'!D120</f>
        <v>0</v>
      </c>
      <c r="E6" s="3001"/>
      <c r="F6" s="3001"/>
      <c r="G6" s="3001"/>
      <c r="H6" s="3001"/>
      <c r="I6" s="3001"/>
    </row>
    <row r="7" spans="1:9" ht="15">
      <c r="A7" s="2999" t="s">
        <v>1638</v>
      </c>
      <c r="B7" s="2999"/>
      <c r="C7" s="2999"/>
      <c r="D7" s="3002" t="str">
        <f>'结果表-办公'!D121</f>
        <v>零元整</v>
      </c>
      <c r="E7" s="3003"/>
      <c r="F7" s="3003"/>
      <c r="G7" s="3003"/>
      <c r="H7" s="3003"/>
      <c r="I7" s="3004"/>
    </row>
    <row r="8" spans="1:9" ht="15.75">
      <c r="A8" s="3001" t="str">
        <f>'结果表-办公'!A122</f>
        <v>房地产抵押价值</v>
      </c>
      <c r="B8" s="3001"/>
      <c r="C8" s="3001"/>
      <c r="D8" s="3001">
        <f ca="1">'结果表-办公'!D122</f>
        <v>665</v>
      </c>
      <c r="E8" s="3001"/>
      <c r="F8" s="3001"/>
      <c r="G8" s="3001"/>
      <c r="H8" s="3001"/>
      <c r="I8" s="3001"/>
    </row>
    <row r="9" spans="1:9" ht="15">
      <c r="A9" s="2999" t="s">
        <v>1638</v>
      </c>
      <c r="B9" s="2999"/>
      <c r="C9" s="2999"/>
      <c r="D9" s="3000" t="str">
        <f ca="1">'结果表-办公'!D123</f>
        <v>陆佰陆拾伍万元整</v>
      </c>
      <c r="E9" s="3000"/>
      <c r="F9" s="3000"/>
      <c r="G9" s="3000"/>
      <c r="H9" s="3000"/>
      <c r="I9" s="3000"/>
    </row>
    <row r="10" spans="1:9" ht="15.75">
      <c r="A10" s="3001" t="str">
        <f>'结果表-办公'!A124</f>
        <v/>
      </c>
      <c r="B10" s="3001"/>
      <c r="C10" s="3001"/>
      <c r="D10" s="3001" t="str">
        <f>'结果表-办公'!D124</f>
        <v>——</v>
      </c>
      <c r="E10" s="3001"/>
      <c r="F10" s="3001"/>
      <c r="G10" s="3001"/>
      <c r="H10" s="3001"/>
      <c r="I10" s="3001"/>
    </row>
    <row r="11" spans="1:9" ht="15">
      <c r="A11" s="2999" t="s">
        <v>1638</v>
      </c>
      <c r="B11" s="2999"/>
      <c r="C11" s="2999"/>
      <c r="D11" s="3000" t="e">
        <f>'结果表-办公'!D125</f>
        <v>#VALUE!</v>
      </c>
      <c r="E11" s="3000"/>
      <c r="F11" s="3000"/>
      <c r="G11" s="3000"/>
      <c r="H11" s="3000"/>
      <c r="I11" s="3000"/>
    </row>
    <row r="12" spans="1:9" ht="15.75">
      <c r="A12" s="3001" t="str">
        <f>'结果表-办公'!A126</f>
        <v/>
      </c>
      <c r="B12" s="3001"/>
      <c r="C12" s="3001"/>
      <c r="D12" s="3001" t="str">
        <f>'结果表-办公'!D126</f>
        <v>——</v>
      </c>
      <c r="E12" s="3001"/>
      <c r="F12" s="3001"/>
      <c r="G12" s="3001"/>
      <c r="H12" s="3001"/>
      <c r="I12" s="3001"/>
    </row>
    <row r="13" spans="1:9" ht="15.75" thickBot="1">
      <c r="A13" s="3005" t="s">
        <v>1638</v>
      </c>
      <c r="B13" s="3005"/>
      <c r="C13" s="3005"/>
      <c r="D13" s="3006" t="e">
        <f>'结果表-办公'!D127</f>
        <v>#VALUE!</v>
      </c>
      <c r="E13" s="3006"/>
      <c r="F13" s="3006"/>
      <c r="G13" s="3006"/>
      <c r="H13" s="3006"/>
      <c r="I13" s="3006"/>
    </row>
    <row r="14" spans="1:9" ht="15" thickTop="1">
      <c r="A14" s="3007" t="s">
        <v>1643</v>
      </c>
      <c r="B14" s="3007"/>
      <c r="C14" s="3007"/>
      <c r="D14" s="3007"/>
      <c r="E14" s="3007"/>
      <c r="F14" s="3007"/>
      <c r="G14" s="3007"/>
      <c r="H14" s="3007"/>
      <c r="I14" s="3007"/>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8" t="s">
        <v>1660</v>
      </c>
      <c r="B1" s="3008"/>
      <c r="C1" s="3008"/>
      <c r="D1" s="3008"/>
    </row>
    <row r="2" spans="1:4" ht="18">
      <c r="A2" s="3009" t="s">
        <v>1644</v>
      </c>
      <c r="B2" s="3009"/>
      <c r="C2" s="3009"/>
      <c r="D2" s="3009"/>
    </row>
    <row r="3" spans="1:4" ht="18.75">
      <c r="A3" s="1979" t="s">
        <v>1645</v>
      </c>
      <c r="B3" s="1979" t="s">
        <v>1646</v>
      </c>
      <c r="C3" s="1979" t="s">
        <v>1647</v>
      </c>
      <c r="D3" s="1979" t="s">
        <v>1648</v>
      </c>
    </row>
    <row r="4" spans="1:4" ht="56.25" customHeight="1">
      <c r="A4" s="1980">
        <f>项目基本情况!B4</f>
        <v>0</v>
      </c>
      <c r="B4" s="1981">
        <f>项目基本情况!C4</f>
        <v>0</v>
      </c>
      <c r="C4" s="1982"/>
      <c r="D4" s="1983" t="s">
        <v>1649</v>
      </c>
    </row>
    <row r="5" spans="1:4" ht="56.25" customHeight="1">
      <c r="A5" s="1980">
        <f>项目基本情况!D4</f>
        <v>0</v>
      </c>
      <c r="B5" s="1981">
        <f>项目基本情况!E4</f>
        <v>0</v>
      </c>
      <c r="C5" s="1984"/>
      <c r="D5" s="1983" t="s">
        <v>1649</v>
      </c>
    </row>
    <row r="6" spans="1:4" ht="18">
      <c r="A6" s="3009" t="s">
        <v>1650</v>
      </c>
      <c r="B6" s="3009"/>
      <c r="C6" s="3009"/>
      <c r="D6" s="3009"/>
    </row>
    <row r="7" spans="1:4" ht="18.75">
      <c r="A7" s="1979" t="s">
        <v>1645</v>
      </c>
      <c r="B7" s="1981" t="s">
        <v>1651</v>
      </c>
      <c r="C7" s="1979" t="s">
        <v>1647</v>
      </c>
      <c r="D7" s="1979" t="s">
        <v>1648</v>
      </c>
    </row>
    <row r="8" spans="1:4" ht="56.25" customHeight="1">
      <c r="A8" s="1985" t="s">
        <v>869</v>
      </c>
      <c r="B8" s="1985" t="s">
        <v>1</v>
      </c>
      <c r="C8" s="1982"/>
      <c r="D8" s="1983" t="s">
        <v>1649</v>
      </c>
    </row>
    <row r="9" spans="1:4">
      <c r="A9" s="728"/>
      <c r="B9" s="728"/>
      <c r="C9" s="728"/>
      <c r="D9" s="728"/>
    </row>
    <row r="10" spans="1:4" ht="18.75">
      <c r="A10" s="1986" t="s">
        <v>1652</v>
      </c>
      <c r="B10" s="728"/>
      <c r="C10" s="728"/>
      <c r="D10" s="728"/>
    </row>
    <row r="11" spans="1:4" ht="30" customHeight="1">
      <c r="A11" s="3010" t="s">
        <v>1653</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1654</v>
      </c>
      <c r="B16" s="3014"/>
      <c r="C16" s="3014"/>
      <c r="D16" s="3014"/>
    </row>
    <row r="17" spans="1:4" ht="144" customHeight="1">
      <c r="A17" s="3014" t="s">
        <v>1655</v>
      </c>
      <c r="B17" s="3014"/>
      <c r="C17" s="3014"/>
      <c r="D17" s="3014"/>
    </row>
    <row r="18" spans="1:4" ht="15.75" customHeight="1">
      <c r="A18" s="3011" t="str">
        <f>IF(项目基本情况!B8="抵押",'结果表-办公'!K120,"——")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1656</v>
      </c>
      <c r="B22" s="3016"/>
      <c r="C22" s="3016"/>
      <c r="D22" s="3016"/>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22" t="s">
        <v>1667</v>
      </c>
      <c r="B15" s="3017" t="s">
        <v>136</v>
      </c>
      <c r="C15" s="3018"/>
    </row>
    <row r="16" spans="1:7" ht="13.5">
      <c r="A16" s="3023"/>
      <c r="B16" s="3017" t="s">
        <v>69</v>
      </c>
      <c r="C16" s="3018"/>
    </row>
    <row r="17" spans="1:3" ht="13.5">
      <c r="A17" s="3023"/>
      <c r="B17" s="3020" t="s">
        <v>1668</v>
      </c>
      <c r="C17" s="2002" t="s">
        <v>1667</v>
      </c>
    </row>
    <row r="18" spans="1:3" ht="13.5">
      <c r="A18" s="3023"/>
      <c r="B18" s="3020"/>
      <c r="C18" s="2002" t="s">
        <v>1669</v>
      </c>
    </row>
    <row r="19" spans="1:3" ht="13.5">
      <c r="A19" s="3023"/>
      <c r="B19" s="3020"/>
      <c r="C19" s="2002" t="s">
        <v>1670</v>
      </c>
    </row>
    <row r="20" spans="1:3" ht="13.5">
      <c r="A20" s="3024"/>
      <c r="B20" s="3019" t="s">
        <v>1671</v>
      </c>
      <c r="C20" s="3018"/>
    </row>
    <row r="21" spans="1:3" ht="13.5">
      <c r="A21" s="2003" t="s">
        <v>1672</v>
      </c>
      <c r="B21" s="2004"/>
      <c r="C21" s="2005"/>
    </row>
    <row r="22" spans="1:3" ht="13.5">
      <c r="A22" s="3021" t="s">
        <v>1673</v>
      </c>
      <c r="B22" s="3019" t="s">
        <v>1674</v>
      </c>
      <c r="C22" s="3018"/>
    </row>
    <row r="23" spans="1:3" ht="13.5">
      <c r="A23" s="3021"/>
      <c r="B23" s="3019" t="s">
        <v>1675</v>
      </c>
      <c r="C23" s="3018"/>
    </row>
    <row r="24" spans="1:3" ht="13.5">
      <c r="A24" s="3021"/>
      <c r="B24" s="3019" t="s">
        <v>1676</v>
      </c>
      <c r="C24" s="3018"/>
    </row>
    <row r="25" spans="1:3" ht="13.5">
      <c r="A25" s="3021"/>
      <c r="B25" s="3020" t="s">
        <v>1677</v>
      </c>
      <c r="C25" s="2002" t="s">
        <v>1678</v>
      </c>
    </row>
    <row r="26" spans="1:3" ht="13.5">
      <c r="A26" s="3021"/>
      <c r="B26" s="3020"/>
      <c r="C26" s="2002" t="s">
        <v>1679</v>
      </c>
    </row>
    <row r="27" spans="1:3" ht="13.5">
      <c r="A27" s="3021"/>
      <c r="B27" s="3020"/>
      <c r="C27" s="2002" t="s">
        <v>1680</v>
      </c>
    </row>
    <row r="28" spans="1:3" ht="13.5">
      <c r="A28" s="3021"/>
      <c r="B28" s="3020"/>
      <c r="C28" s="2002" t="s">
        <v>1681</v>
      </c>
    </row>
    <row r="29" spans="1:3" ht="13.5">
      <c r="A29" s="3021"/>
      <c r="B29" s="3020"/>
      <c r="C29" s="2002" t="s">
        <v>1682</v>
      </c>
    </row>
    <row r="30" spans="1:3" ht="13.5">
      <c r="A30" s="3021"/>
      <c r="B30" s="3020"/>
      <c r="C30" s="2002" t="s">
        <v>1683</v>
      </c>
    </row>
    <row r="31" spans="1:3" ht="13.5">
      <c r="A31" s="3021"/>
      <c r="B31" s="3020"/>
      <c r="C31" s="2002" t="s">
        <v>1684</v>
      </c>
    </row>
    <row r="32" spans="1:3" ht="13.5">
      <c r="A32" s="3021"/>
      <c r="B32" s="3020"/>
      <c r="C32" s="2002" t="s">
        <v>1685</v>
      </c>
    </row>
    <row r="33" spans="1:3" ht="13.5">
      <c r="A33" s="3021"/>
      <c r="B33" s="302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43277</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43359</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f ca="1">IF(C10&lt;B2,"已过期",1120060040)</f>
        <v>1120060040</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t="s">
        <v>3047</v>
      </c>
      <c r="B12" s="1025">
        <v>1120110054</v>
      </c>
      <c r="C12" s="2946">
        <v>43937</v>
      </c>
      <c r="D12" s="1704" t="s">
        <v>3047</v>
      </c>
      <c r="E12" s="1025">
        <v>2008110060</v>
      </c>
      <c r="F12" s="1033">
        <v>47177</v>
      </c>
    </row>
    <row r="13" spans="1:6" ht="24" customHeight="1">
      <c r="A13" s="1704" t="s">
        <v>840</v>
      </c>
      <c r="B13" s="1025">
        <f ca="1">IF(C13&lt;B2,"已过期",1120070131)</f>
        <v>1120070131</v>
      </c>
      <c r="C13" s="2350">
        <v>43814</v>
      </c>
      <c r="D13" s="2353" t="s">
        <v>840</v>
      </c>
      <c r="E13" s="1025">
        <v>2014110011</v>
      </c>
      <c r="F13" s="1033">
        <v>49302</v>
      </c>
    </row>
    <row r="14" spans="1:6" ht="24" customHeight="1">
      <c r="A14" s="1704" t="s">
        <v>841</v>
      </c>
      <c r="B14" s="1025">
        <f ca="1">IF(C14&lt;B2,"已过期",1120130020)</f>
        <v>1120130020</v>
      </c>
      <c r="C14" s="2350">
        <v>43622</v>
      </c>
      <c r="D14" s="2353"/>
      <c r="E14" s="1025"/>
      <c r="F14" s="1025"/>
    </row>
    <row r="15" spans="1:6" ht="24" customHeight="1">
      <c r="A15" s="1705" t="s">
        <v>1149</v>
      </c>
      <c r="B15" s="1025">
        <v>1120070085</v>
      </c>
      <c r="C15" s="2350">
        <v>43814</v>
      </c>
      <c r="D15" s="2354" t="s">
        <v>1149</v>
      </c>
      <c r="E15" s="1025">
        <v>2004110128</v>
      </c>
      <c r="F15" s="1026">
        <v>47118</v>
      </c>
    </row>
    <row r="16" spans="1:6" ht="24" customHeight="1">
      <c r="A16" s="1704" t="s">
        <v>842</v>
      </c>
      <c r="B16" s="1025">
        <f ca="1">IF(C16&lt;B2,"已过期",1120140022)</f>
        <v>1120140022</v>
      </c>
      <c r="C16" s="2350">
        <v>44029</v>
      </c>
      <c r="D16" s="2353" t="s">
        <v>842</v>
      </c>
      <c r="E16" s="1025">
        <f ca="1">IF(F16&lt;B2,"已过期",2008110059)</f>
        <v>2008110059</v>
      </c>
      <c r="F16" s="1033">
        <v>47177</v>
      </c>
    </row>
    <row r="17" spans="1:7" ht="24" customHeight="1">
      <c r="A17" s="1704"/>
      <c r="B17" s="1025"/>
      <c r="C17" s="2350"/>
      <c r="D17" s="2353"/>
      <c r="E17" s="1025"/>
      <c r="F17" s="1033"/>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843</v>
      </c>
      <c r="E21" s="1025">
        <f ca="1">IF(F21&lt;B2,"已过期",2011110090)</f>
        <v>2011110090</v>
      </c>
      <c r="F21" s="1033">
        <v>48302</v>
      </c>
    </row>
    <row r="22" spans="1:7" ht="24" customHeight="1">
      <c r="A22" s="1704" t="s">
        <v>844</v>
      </c>
      <c r="B22" s="1025">
        <f ca="1">IF(C22&lt;B2,"已过期",1120020033)</f>
        <v>1120020033</v>
      </c>
      <c r="C22" s="2350">
        <v>43304</v>
      </c>
      <c r="D22" s="2353" t="s">
        <v>844</v>
      </c>
      <c r="E22" s="1025">
        <f ca="1">IF(F22&lt;B2,"已过期",2000110137)</f>
        <v>2000110137</v>
      </c>
      <c r="F22" s="1033">
        <v>46387</v>
      </c>
    </row>
    <row r="23" spans="1:7" ht="24" customHeight="1">
      <c r="A23" s="1704" t="s">
        <v>845</v>
      </c>
      <c r="B23" s="1025">
        <f ca="1">IF(C23&lt;B2,"已过期",1120130048)</f>
        <v>1120130048</v>
      </c>
      <c r="C23" s="2350">
        <v>43686</v>
      </c>
      <c r="D23" s="2353"/>
      <c r="E23" s="1025"/>
      <c r="F23" s="1025"/>
    </row>
    <row r="24" spans="1:7" s="1027" customFormat="1" ht="24" customHeight="1">
      <c r="A24" s="1705" t="s">
        <v>1333</v>
      </c>
      <c r="B24" s="1705" t="s">
        <v>1333</v>
      </c>
      <c r="C24" s="2351" t="s">
        <v>1333</v>
      </c>
      <c r="D24" s="2354" t="s">
        <v>1333</v>
      </c>
      <c r="E24" s="1705" t="s">
        <v>1333</v>
      </c>
      <c r="F24" s="1705" t="s">
        <v>1333</v>
      </c>
    </row>
    <row r="25" spans="1:7" ht="24" customHeight="1">
      <c r="A25" s="3025" t="s">
        <v>846</v>
      </c>
      <c r="B25" s="3025"/>
      <c r="C25" s="3025"/>
      <c r="D25" s="3025"/>
      <c r="E25" s="3025"/>
      <c r="F25" s="3025"/>
      <c r="G25" s="3025"/>
    </row>
    <row r="26" spans="1:7" s="1028" customFormat="1" ht="24" customHeight="1">
      <c r="A26" s="3026" t="s">
        <v>847</v>
      </c>
      <c r="B26" s="3026"/>
      <c r="C26" s="3027"/>
      <c r="D26" s="3028" t="s">
        <v>848</v>
      </c>
      <c r="E26" s="3026"/>
      <c r="F26" s="302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1382</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6" priority="62">
      <formula>AND($C28-TODAY()&lt;30,TODAY()&lt;$C28)</formula>
    </cfRule>
  </conditionalFormatting>
  <conditionalFormatting sqref="C28 F4">
    <cfRule type="cellIs" dxfId="215" priority="64" stopIfTrue="1" operator="lessThan">
      <formula>$B$2</formula>
    </cfRule>
  </conditionalFormatting>
  <conditionalFormatting sqref="C5">
    <cfRule type="expression" dxfId="214" priority="59">
      <formula>AND($C5-TODAY()&lt;30,TODAY()&lt;$C5)</formula>
    </cfRule>
  </conditionalFormatting>
  <conditionalFormatting sqref="C5 F5">
    <cfRule type="cellIs" dxfId="213" priority="60" stopIfTrue="1" operator="lessThan">
      <formula>$B$2</formula>
    </cfRule>
  </conditionalFormatting>
  <conditionalFormatting sqref="F6 F8 F10">
    <cfRule type="cellIs" dxfId="212" priority="58" stopIfTrue="1" operator="lessThan">
      <formula>$B$2</formula>
    </cfRule>
  </conditionalFormatting>
  <conditionalFormatting sqref="C4:C11 C13:C23">
    <cfRule type="expression" dxfId="211" priority="56">
      <formula>AND($C4-TODAY()&lt;30,TODAY()&lt;$C4)</formula>
    </cfRule>
  </conditionalFormatting>
  <conditionalFormatting sqref="F7 F9 F11 C4:C11 C13:C23">
    <cfRule type="cellIs" dxfId="210" priority="57" stopIfTrue="1" operator="lessThan">
      <formula>$B$2</formula>
    </cfRule>
  </conditionalFormatting>
  <conditionalFormatting sqref="C14">
    <cfRule type="expression" dxfId="209" priority="50">
      <formula>AND($C14-TODAY()&lt;30,TODAY()&lt;$C14)</formula>
    </cfRule>
  </conditionalFormatting>
  <conditionalFormatting sqref="C14">
    <cfRule type="cellIs" dxfId="208" priority="51" stopIfTrue="1" operator="lessThan">
      <formula>$B$2</formula>
    </cfRule>
  </conditionalFormatting>
  <conditionalFormatting sqref="C16">
    <cfRule type="expression" dxfId="207" priority="48">
      <formula>AND($C16-TODAY()&lt;30,TODAY()&lt;$C16)</formula>
    </cfRule>
  </conditionalFormatting>
  <conditionalFormatting sqref="C16">
    <cfRule type="cellIs" dxfId="206" priority="49" stopIfTrue="1" operator="lessThan">
      <formula>$B$2</formula>
    </cfRule>
  </conditionalFormatting>
  <conditionalFormatting sqref="C18">
    <cfRule type="expression" dxfId="205" priority="46">
      <formula>AND($C18-TODAY()&lt;30,TODAY()&lt;$C18)</formula>
    </cfRule>
  </conditionalFormatting>
  <conditionalFormatting sqref="C18">
    <cfRule type="cellIs" dxfId="204" priority="47" stopIfTrue="1" operator="lessThan">
      <formula>$B$2</formula>
    </cfRule>
  </conditionalFormatting>
  <conditionalFormatting sqref="C20">
    <cfRule type="expression" dxfId="203" priority="44">
      <formula>AND($C20-TODAY()&lt;30,TODAY()&lt;$C20)</formula>
    </cfRule>
  </conditionalFormatting>
  <conditionalFormatting sqref="C20">
    <cfRule type="cellIs" dxfId="202" priority="45" stopIfTrue="1" operator="lessThan">
      <formula>$B$2</formula>
    </cfRule>
  </conditionalFormatting>
  <conditionalFormatting sqref="C22">
    <cfRule type="expression" dxfId="201" priority="42">
      <formula>AND($C22-TODAY()&lt;30,TODAY()&lt;$C22)</formula>
    </cfRule>
  </conditionalFormatting>
  <conditionalFormatting sqref="C22">
    <cfRule type="cellIs" dxfId="200" priority="43" stopIfTrue="1" operator="lessThan">
      <formula>$B$2</formula>
    </cfRule>
  </conditionalFormatting>
  <conditionalFormatting sqref="C15">
    <cfRule type="expression" dxfId="199" priority="40">
      <formula>AND($C15-TODAY()&lt;30,TODAY()&lt;$C15)</formula>
    </cfRule>
  </conditionalFormatting>
  <conditionalFormatting sqref="C15">
    <cfRule type="cellIs" dxfId="198" priority="41" stopIfTrue="1" operator="lessThan">
      <formula>$B$2</formula>
    </cfRule>
  </conditionalFormatting>
  <conditionalFormatting sqref="C17">
    <cfRule type="expression" dxfId="197" priority="38">
      <formula>AND($C17-TODAY()&lt;30,TODAY()&lt;$C17)</formula>
    </cfRule>
  </conditionalFormatting>
  <conditionalFormatting sqref="C17">
    <cfRule type="cellIs" dxfId="196" priority="39" stopIfTrue="1" operator="lessThan">
      <formula>$B$2</formula>
    </cfRule>
  </conditionalFormatting>
  <conditionalFormatting sqref="C19">
    <cfRule type="expression" dxfId="195" priority="36">
      <formula>AND($C19-TODAY()&lt;30,TODAY()&lt;$C19)</formula>
    </cfRule>
  </conditionalFormatting>
  <conditionalFormatting sqref="C19">
    <cfRule type="cellIs" dxfId="194" priority="37" stopIfTrue="1" operator="lessThan">
      <formula>$B$2</formula>
    </cfRule>
  </conditionalFormatting>
  <conditionalFormatting sqref="C21">
    <cfRule type="expression" dxfId="193" priority="34">
      <formula>AND($C21-TODAY()&lt;30,TODAY()&lt;$C21)</formula>
    </cfRule>
  </conditionalFormatting>
  <conditionalFormatting sqref="C21">
    <cfRule type="cellIs" dxfId="192" priority="35" stopIfTrue="1" operator="lessThan">
      <formula>$B$2</formula>
    </cfRule>
  </conditionalFormatting>
  <conditionalFormatting sqref="C23">
    <cfRule type="expression" dxfId="191" priority="32">
      <formula>AND($C23-TODAY()&lt;30,TODAY()&lt;$C23)</formula>
    </cfRule>
  </conditionalFormatting>
  <conditionalFormatting sqref="C23">
    <cfRule type="cellIs" dxfId="190" priority="33" stopIfTrue="1" operator="lessThan">
      <formula>$B$2</formula>
    </cfRule>
  </conditionalFormatting>
  <conditionalFormatting sqref="F16">
    <cfRule type="cellIs" dxfId="189" priority="30" stopIfTrue="1" operator="lessThan">
      <formula>$B$2</formula>
    </cfRule>
  </conditionalFormatting>
  <conditionalFormatting sqref="F18">
    <cfRule type="cellIs" dxfId="188" priority="29" stopIfTrue="1" operator="lessThan">
      <formula>$B$2</formula>
    </cfRule>
  </conditionalFormatting>
  <conditionalFormatting sqref="F22">
    <cfRule type="cellIs" dxfId="187" priority="28" stopIfTrue="1" operator="lessThan">
      <formula>$B$2</formula>
    </cfRule>
  </conditionalFormatting>
  <conditionalFormatting sqref="F21">
    <cfRule type="cellIs" dxfId="186" priority="27" stopIfTrue="1" operator="lessThan">
      <formula>$B$2</formula>
    </cfRule>
  </conditionalFormatting>
  <conditionalFormatting sqref="F17">
    <cfRule type="cellIs" dxfId="185" priority="26" stopIfTrue="1" operator="lessThan">
      <formula>$B$2</formula>
    </cfRule>
  </conditionalFormatting>
  <conditionalFormatting sqref="B4:B11 E4:E11 B16:B23 E16:E23 B13:B14 E13:E14">
    <cfRule type="cellIs" dxfId="184" priority="25" stopIfTrue="1" operator="equal">
      <formula>"已过期"</formula>
    </cfRule>
  </conditionalFormatting>
  <conditionalFormatting sqref="A24:F24">
    <cfRule type="cellIs" dxfId="183" priority="21" stopIfTrue="1" operator="equal">
      <formula>"已过期"</formula>
    </cfRule>
  </conditionalFormatting>
  <conditionalFormatting sqref="F28">
    <cfRule type="expression" dxfId="182" priority="19">
      <formula>AND($E28-TODAY()&lt;30,TODAY()&lt;$E28)</formula>
    </cfRule>
  </conditionalFormatting>
  <conditionalFormatting sqref="F28">
    <cfRule type="cellIs" dxfId="181" priority="20" stopIfTrue="1" operator="lessThan">
      <formula>$B$2</formula>
    </cfRule>
  </conditionalFormatting>
  <conditionalFormatting sqref="F29">
    <cfRule type="expression" dxfId="180" priority="15" stopIfTrue="1">
      <formula>AND($E29-TODAY()&lt;30,TODAY()&lt;$E29)</formula>
    </cfRule>
  </conditionalFormatting>
  <conditionalFormatting sqref="F29">
    <cfRule type="cellIs" dxfId="179" priority="16" stopIfTrue="1" operator="lessThan">
      <formula>$B$2</formula>
    </cfRule>
  </conditionalFormatting>
  <conditionalFormatting sqref="B15">
    <cfRule type="cellIs" dxfId="178" priority="13" stopIfTrue="1" operator="equal">
      <formula>"已过期"</formula>
    </cfRule>
  </conditionalFormatting>
  <conditionalFormatting sqref="A15">
    <cfRule type="cellIs" dxfId="177" priority="12" stopIfTrue="1" operator="equal">
      <formula>"已过期"</formula>
    </cfRule>
  </conditionalFormatting>
  <conditionalFormatting sqref="C15">
    <cfRule type="expression" dxfId="176" priority="11">
      <formula>AND($C15-TODAY()&lt;30,TODAY()&lt;$C15)</formula>
    </cfRule>
  </conditionalFormatting>
  <conditionalFormatting sqref="E15">
    <cfRule type="cellIs" dxfId="175" priority="10" stopIfTrue="1" operator="equal">
      <formula>"已过期"</formula>
    </cfRule>
  </conditionalFormatting>
  <conditionalFormatting sqref="D15">
    <cfRule type="cellIs" dxfId="174" priority="9" stopIfTrue="1" operator="equal">
      <formula>"已过期"</formula>
    </cfRule>
  </conditionalFormatting>
  <conditionalFormatting sqref="F13">
    <cfRule type="cellIs" dxfId="173" priority="8" stopIfTrue="1" operator="lessThan">
      <formula>$B$2</formula>
    </cfRule>
  </conditionalFormatting>
  <conditionalFormatting sqref="C12">
    <cfRule type="expression" dxfId="172" priority="6">
      <formula>AND($C12-TODAY()&lt;30,TODAY()&lt;$C12)</formula>
    </cfRule>
  </conditionalFormatting>
  <conditionalFormatting sqref="C12">
    <cfRule type="cellIs" dxfId="171" priority="7" stopIfTrue="1" operator="lessThan">
      <formula>$B$2</formula>
    </cfRule>
  </conditionalFormatting>
  <conditionalFormatting sqref="C12">
    <cfRule type="expression" dxfId="170" priority="4">
      <formula>AND($C12-TODAY()&lt;30,TODAY()&lt;$C12)</formula>
    </cfRule>
  </conditionalFormatting>
  <conditionalFormatting sqref="C12">
    <cfRule type="cellIs" dxfId="169" priority="5" stopIfTrue="1" operator="lessThan">
      <formula>$B$2</formula>
    </cfRule>
  </conditionalFormatting>
  <conditionalFormatting sqref="B12">
    <cfRule type="cellIs" dxfId="168" priority="3" stopIfTrue="1" operator="equal">
      <formula>"已过期"</formula>
    </cfRule>
  </conditionalFormatting>
  <conditionalFormatting sqref="E12">
    <cfRule type="cellIs" dxfId="167" priority="2" stopIfTrue="1" operator="equal">
      <formula>"已过期"</formula>
    </cfRule>
  </conditionalFormatting>
  <conditionalFormatting sqref="F12">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143</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2018-06-26T10:03:42Z</dcterms:modified>
</cp:coreProperties>
</file>