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建安取值" sheetId="74" r:id="rId18"/>
    <sheet name="结果表汇总" sheetId="73" r:id="rId19"/>
    <sheet name="剩余法住宅" sheetId="12" r:id="rId20"/>
    <sheet name="剩余法-现房" sheetId="43" state="hidden" r:id="rId21"/>
    <sheet name="比较法-住宅、综合" sheetId="39" state="hidden" r:id="rId22"/>
    <sheet name="比较法-工业" sheetId="40" state="hidden" r:id="rId23"/>
    <sheet name="基准地价住宅" sheetId="46"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基准地价商业" sheetId="68" state="hidden" r:id="rId30"/>
    <sheet name="基准地价办公" sheetId="69" state="hidden" r:id="rId31"/>
    <sheet name="不动产比较法-办公" sheetId="34" state="hidden" r:id="rId32"/>
    <sheet name="不动产收益法办公" sheetId="70" state="hidden" r:id="rId33"/>
    <sheet name="收益还原法" sheetId="44" state="hidden" r:id="rId34"/>
    <sheet name="不动产比较法-商业" sheetId="33" state="hidden" r:id="rId35"/>
    <sheet name="不动产收益法商业" sheetId="15" state="hidden" r:id="rId36"/>
    <sheet name="地价" sheetId="59" r:id="rId37"/>
    <sheet name="酒店收入计算" sheetId="57" state="hidden" r:id="rId38"/>
    <sheet name="成本逼近法" sheetId="11" state="hidden" r:id="rId39"/>
    <sheet name="不动产比较法-住宅" sheetId="21"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1" sheetId="72" r:id="rId46"/>
    <sheet name="估价结果汇总表" sheetId="71"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21" hidden="1">'比较法-住宅、综合'!$A$1:$L$50</definedName>
    <definedName name="_xlnm._FilterDatabase" localSheetId="31"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5">'[1]不动产比较法-办公'!$B$119:$M$119</definedName>
    <definedName name="办公层高" localSheetId="18">'[2]不动产比较法-办公'!$B$119:$M$119</definedName>
    <definedName name="办公层高">'不动产比较法-办公'!$B$119:$M$119</definedName>
    <definedName name="办公朝向" localSheetId="45">'[1]不动产比较法-办公'!$B$91:$M$91</definedName>
    <definedName name="办公朝向" localSheetId="18">'[2]不动产比较法-办公'!$B$91:$M$91</definedName>
    <definedName name="办公朝向">'不动产比较法-办公'!$B$91:$M$91</definedName>
    <definedName name="办公道路级别" localSheetId="45">'[1]不动产比较法-办公'!$B$87:$M$87</definedName>
    <definedName name="办公道路级别" localSheetId="18">'[2]不动产比较法-办公'!$B$87:$M$87</definedName>
    <definedName name="办公道路级别">'不动产比较法-办公'!$B$87:$M$87</definedName>
    <definedName name="办公公共部分装修" localSheetId="45">'[1]不动产比较法-办公'!$B$108:$M$108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45">'[1]不动产比较法-办公'!$B$117:$M$117</definedName>
    <definedName name="办公基础设施水平" localSheetId="18">'[2]不动产比较法-办公'!$B$117:$M$117</definedName>
    <definedName name="办公基础设施水平">'不动产比较法-办公'!$B$117:$M$117</definedName>
    <definedName name="办公集聚程度" localSheetId="45">[1]定义!$M$1:$M$6</definedName>
    <definedName name="办公集聚程度" localSheetId="18">[2]定义!$M$1:$M$6</definedName>
    <definedName name="办公集聚程度">定义!$M$1:$M$6</definedName>
    <definedName name="办公建筑结构" localSheetId="45">'[1]不动产比较法-办公'!$B$106:$M$106</definedName>
    <definedName name="办公建筑结构" localSheetId="18">'[2]不动产比较法-办公'!$B$106:$M$106</definedName>
    <definedName name="办公建筑结构">'不动产比较法-办公'!$B$106:$M$106</definedName>
    <definedName name="办公建筑类型" localSheetId="45">'[1]不动产比较法-办公'!$B$101:$M$101</definedName>
    <definedName name="办公建筑类型" localSheetId="18">'[2]不动产比较法-办公'!$B$101:$M$101</definedName>
    <definedName name="办公建筑类型">'不动产比较法-办公'!$B$101:$M$101</definedName>
    <definedName name="办公交易情况" localSheetId="45">'[1]不动产比较法-办公'!$A$62:$M$62</definedName>
    <definedName name="办公交易情况" localSheetId="18">'[2]不动产比较法-办公'!$A$62:$M$62</definedName>
    <definedName name="办公交易情况">'不动产比较法-办公'!$A$62:$M$62</definedName>
    <definedName name="办公楼层" localSheetId="45">'[1]不动产比较法-办公'!$B$89:$M$89</definedName>
    <definedName name="办公楼层" localSheetId="18">'[2]不动产比较法-办公'!$B$89:$M$89</definedName>
    <definedName name="办公楼层">'不动产比较法-办公'!$B$89:$M$89</definedName>
    <definedName name="办公内部装修" localSheetId="45">'[1]不动产比较法-办公'!$B$123:$M$123</definedName>
    <definedName name="办公内部装修" localSheetId="18">'[2]不动产比较法-办公'!$B$123:$M$123</definedName>
    <definedName name="办公内部装修">'不动产比较法-办公'!$B$123:$M$123</definedName>
    <definedName name="办公物业管理" localSheetId="45">'[1]不动产比较法-办公'!$B$115:$M$115</definedName>
    <definedName name="办公物业管理" localSheetId="18">'[2]不动产比较法-办公'!$B$115:$M$115</definedName>
    <definedName name="办公物业管理">'不动产比较法-办公'!$B$115:$M$115</definedName>
    <definedName name="办公用途" localSheetId="45">'[1]不动产比较法-办公'!$B$64:$M$64</definedName>
    <definedName name="办公用途" localSheetId="18">'[2]不动产比较法-办公'!$B$64:$M$64</definedName>
    <definedName name="办公用途">'不动产比较法-办公'!$B$64:$M$64</definedName>
    <definedName name="仓储公共部分装修" localSheetId="45">'[1]不动产比较法-仓储'!$B$77:$M$77</definedName>
    <definedName name="仓储公共部分装修" localSheetId="18">'[2]不动产比较法-仓储'!$B$77:$M$77</definedName>
    <definedName name="仓储公共部分装修">'不动产比较法-仓储'!$B$77:$M$77</definedName>
    <definedName name="仓储交易情况" localSheetId="45">'[1]不动产比较法-仓储'!$A$49:$M$49</definedName>
    <definedName name="仓储交易情况" localSheetId="18">'[2]不动产比较法-仓储'!$A$49:$M$49</definedName>
    <definedName name="仓储交易情况">'不动产比较法-仓储'!$A$49:$M$49</definedName>
    <definedName name="仓储楼层" localSheetId="45">'[1]不动产比较法-仓储'!$B$69:$M$69</definedName>
    <definedName name="仓储楼层" localSheetId="18">'[2]不动产比较法-仓储'!$B$69:$M$69</definedName>
    <definedName name="仓储楼层">'不动产比较法-仓储'!$B$69:$M$69</definedName>
    <definedName name="仓储物业等级" localSheetId="45">'[1]不动产比较法-仓储'!$B$82:$M$82</definedName>
    <definedName name="仓储物业等级" localSheetId="18">'[2]不动产比较法-仓储'!$B$82:$M$82</definedName>
    <definedName name="仓储物业等级">'不动产比较法-仓储'!$B$82:$M$82</definedName>
    <definedName name="仓储用途" localSheetId="45">'[1]不动产比较法-仓储'!$B$51:$M$51</definedName>
    <definedName name="仓储用途" localSheetId="18">'[2]不动产比较法-仓储'!$B$51:$M$51</definedName>
    <definedName name="仓储用途">'不动产比较法-仓储'!$B$51:$M$51</definedName>
    <definedName name="产业集聚程度" localSheetId="45">[1]定义!$N$1:$N$6</definedName>
    <definedName name="产业集聚程度" localSheetId="18">[2]定义!$N$1:$N$6</definedName>
    <definedName name="产业集聚程度">定义!$N$1:$N$6</definedName>
    <definedName name="车位公共部分装修" localSheetId="45">'[1]不动产比较法-车位'!$B$83:$M$83</definedName>
    <definedName name="车位公共部分装修" localSheetId="18">'[2]不动产比较法-车位'!$B$83:$M$83</definedName>
    <definedName name="车位公共部分装修">'不动产比较法-车位'!$B$83:$M$83</definedName>
    <definedName name="车位交易情况" localSheetId="45">'[1]不动产比较法-车位'!$A$51:$M$51</definedName>
    <definedName name="车位交易情况" localSheetId="18">'[2]不动产比较法-车位'!$A$51:$M$51</definedName>
    <definedName name="车位交易情况">'不动产比较法-车位'!$A$51:$M$51</definedName>
    <definedName name="车位类型" localSheetId="45">'[1]不动产比较法-车位'!$B$93:$M$93</definedName>
    <definedName name="车位类型" localSheetId="18">'[2]不动产比较法-车位'!$B$93:$M$93</definedName>
    <definedName name="车位类型">'不动产比较法-车位'!$B$93:$M$93</definedName>
    <definedName name="车位楼层" localSheetId="45">'[1]不动产比较法-车位'!$B$71:$M$71</definedName>
    <definedName name="车位楼层" localSheetId="18">'[2]不动产比较法-车位'!$B$71:$M$71</definedName>
    <definedName name="车位楼层">'不动产比较法-车位'!$B$71:$M$71</definedName>
    <definedName name="车位配套类型" localSheetId="45">'[1]不动产比较法-车位'!$B$79:$M$79</definedName>
    <definedName name="车位配套类型" localSheetId="18">'[2]不动产比较法-车位'!$B$79:$M$79</definedName>
    <definedName name="车位配套类型">'不动产比较法-车位'!$B$79:$M$79</definedName>
    <definedName name="车位物业等级" localSheetId="45">'[1]不动产比较法-车位'!$B$88:$M$88</definedName>
    <definedName name="车位物业等级" localSheetId="18">'[2]不动产比较法-车位'!$B$88:$M$88</definedName>
    <definedName name="车位物业等级">'不动产比较法-车位'!$B$88:$M$88</definedName>
    <definedName name="车位用途" localSheetId="45">'[1]不动产比较法-车位'!$B$53:$M$53</definedName>
    <definedName name="车位用途" localSheetId="18">'[2]不动产比较法-车位'!$B$53:$M$53</definedName>
    <definedName name="车位用途">'不动产比较法-车位'!$B$53:$M$53</definedName>
    <definedName name="城镇土地纳税等级分级范围" localSheetId="45">'[1]数据-取费表'!$A$53:$A$63</definedName>
    <definedName name="城镇土地纳税等级分级范围" localSheetId="18">'[2]数据-取费表'!$A$53:$A$63</definedName>
    <definedName name="城镇土地纳税等级分级范围">'数据-取费表'!$A$53:$A$63</definedName>
    <definedName name="单价内涵" localSheetId="45">[1]定义!$V$1:$V$3</definedName>
    <definedName name="单价内涵" localSheetId="18">[2]定义!$V$1:$V$3</definedName>
    <definedName name="单价内涵">定义!$V$1:$V$3</definedName>
    <definedName name="地类判定" localSheetId="45">[1]定义!$H$1:$H$9</definedName>
    <definedName name="地类判定" localSheetId="18">[2]定义!$H$1:$H$9</definedName>
    <definedName name="地类判定">定义!$H$1:$H$9</definedName>
    <definedName name="二级">区片价!$J$1:$J$20</definedName>
    <definedName name="二级分类" localSheetId="45">[1]修正!$C$17:$C$39</definedName>
    <definedName name="二级分类" localSheetId="18">[2]修正!$C$17:$C$39</definedName>
    <definedName name="二级分类">修正!$C$17:$C$39</definedName>
    <definedName name="法定最高年限" localSheetId="45">[1]定义!$G$2:$G$4</definedName>
    <definedName name="法定最高年限" localSheetId="18">[2]定义!$G$2:$G$4</definedName>
    <definedName name="法定最高年限">定义!$G$2:$G$4</definedName>
    <definedName name="工业公共部分装修" localSheetId="45">'[1]不动产比较法-工业'!$B$95:$M$95</definedName>
    <definedName name="工业公共部分装修" localSheetId="18">'[2]不动产比较法-工业'!$B$95:$M$95</definedName>
    <definedName name="工业公共部分装修">'不动产比较法-工业'!$B$95:$M$95</definedName>
    <definedName name="工业基础设施水平" localSheetId="45">'[1]不动产比较法-工业'!$B$102:$M$102</definedName>
    <definedName name="工业基础设施水平" localSheetId="18">'[2]不动产比较法-工业'!$B$102:$M$102</definedName>
    <definedName name="工业基础设施水平">'不动产比较法-工业'!$B$102:$M$102</definedName>
    <definedName name="工业建筑结构" localSheetId="45">'[1]不动产比较法-工业'!$B$93:$M$93</definedName>
    <definedName name="工业建筑结构" localSheetId="18">'[2]不动产比较法-工业'!$B$93:$M$93</definedName>
    <definedName name="工业建筑结构">'不动产比较法-工业'!$B$93:$M$93</definedName>
    <definedName name="工业建筑类型" localSheetId="45">'[1]不动产比较法-工业'!$B$88:$M$88</definedName>
    <definedName name="工业建筑类型" localSheetId="18">'[2]不动产比较法-工业'!$B$88:$M$88</definedName>
    <definedName name="工业建筑类型">'不动产比较法-工业'!$B$88:$M$88</definedName>
    <definedName name="工业交易情况" localSheetId="45">'[1]不动产比较法-工业'!$A$55:$M$55</definedName>
    <definedName name="工业交易情况" localSheetId="18">'[2]不动产比较法-工业'!$A$55:$M$55</definedName>
    <definedName name="工业交易情况">'不动产比较法-工业'!$A$55:$M$55</definedName>
    <definedName name="工业内部装修" localSheetId="45">'[1]不动产比较法-工业'!$B$104:$M$104</definedName>
    <definedName name="工业内部装修" localSheetId="18">'[2]不动产比较法-工业'!$B$104:$M$104</definedName>
    <definedName name="工业内部装修">'不动产比较法-工业'!$B$104:$M$104</definedName>
    <definedName name="工业物业管理" localSheetId="45">'[1]不动产比较法-工业'!$B$100:$M$100</definedName>
    <definedName name="工业物业管理" localSheetId="18">'[2]不动产比较法-工业'!$B$100:$M$100</definedName>
    <definedName name="工业物业管理">'不动产比较法-工业'!$B$100:$M$100</definedName>
    <definedName name="工业用途" localSheetId="45">'[1]不动产比较法-工业'!$B$57:$M$57</definedName>
    <definedName name="工业用途" localSheetId="18">'[2]不动产比较法-工业'!$B$57:$M$57</definedName>
    <definedName name="工业用途">'不动产比较法-工业'!$B$57:$M$57</definedName>
    <definedName name="公共配套设施" localSheetId="45">[1]定义!$Q$1:$Q$6</definedName>
    <definedName name="公共配套设施" localSheetId="18">[2]定义!$Q$1:$Q$6</definedName>
    <definedName name="公共配套设施">定义!$Q$1:$Q$6</definedName>
    <definedName name="估价方法" localSheetId="45">[1]定义!$B$1:$B$50</definedName>
    <definedName name="估价方法" localSheetId="18">[2]定义!$B$1:$B$50</definedName>
    <definedName name="估价方法">定义!$B$1:$B$50</definedName>
    <definedName name="环境" localSheetId="45">[1]定义!$S$1:$S$6</definedName>
    <definedName name="环境" localSheetId="18">[2]定义!$S$1:$S$6</definedName>
    <definedName name="环境">定义!$S$1:$S$6</definedName>
    <definedName name="基础设施水平" localSheetId="45">[1]定义!$R$1:$R$6</definedName>
    <definedName name="基础设施水平" localSheetId="18">[2]定义!$R$1:$R$6</definedName>
    <definedName name="基础设施水平">定义!$R$1:$R$6</definedName>
    <definedName name="季度" localSheetId="30">基准地价办公!$N$19:$AG$19</definedName>
    <definedName name="季度" localSheetId="29">基准地价商业!$N$19:$AG$19</definedName>
    <definedName name="季度">基准地价住宅!$N$19:$AG$19</definedName>
    <definedName name="季度2014">地价!$A$2:$A$24</definedName>
    <definedName name="价值类型2" localSheetId="45">[1]定义!$B$54:$B$56</definedName>
    <definedName name="价值类型2" localSheetId="18">[2]定义!$B$54:$B$56</definedName>
    <definedName name="价值类型2">定义!$B$54:$B$56</definedName>
    <definedName name="交通便捷度" localSheetId="45">[1]定义!$O$1:$O$6</definedName>
    <definedName name="交通便捷度" localSheetId="18">[2]定义!$O$1:$O$6</definedName>
    <definedName name="交通便捷度">定义!$O$1:$O$6</definedName>
    <definedName name="九级">区片价!$Q$1:$Q$46</definedName>
    <definedName name="居住社区成熟度" localSheetId="45">[1]定义!$K$1:$K$6</definedName>
    <definedName name="居住社区成熟度" localSheetId="18">[2]定义!$K$1:$K$6</definedName>
    <definedName name="居住社区成熟度">定义!$K$1:$K$6</definedName>
    <definedName name="类别" localSheetId="45">[1]定义!$J$1:$J$3</definedName>
    <definedName name="类别" localSheetId="18">[2]定义!$J$1:$J$3</definedName>
    <definedName name="类别">定义!$J$1:$J$3</definedName>
    <definedName name="临街状况" localSheetId="45">[1]定义!$T$1:$T$5</definedName>
    <definedName name="临街状况" localSheetId="18">[2]定义!$T$1:$T$5</definedName>
    <definedName name="临街状况">定义!$T$1:$T$5</definedName>
    <definedName name="六级">区片价!$N$1:$N$49</definedName>
    <definedName name="内部装修维护情况" localSheetId="45">[1]定义!$U$1:$U$6</definedName>
    <definedName name="内部装修维护情况" localSheetId="18">[2]定义!$U$1:$U$6</definedName>
    <definedName name="内部装修维护情况">定义!$U$1:$U$6</definedName>
    <definedName name="判定" localSheetId="45">[1]定义!$D$1:$D$4</definedName>
    <definedName name="判定" localSheetId="18">[2]定义!$D$1:$D$4</definedName>
    <definedName name="判定">定义!$D$1:$D$4</definedName>
    <definedName name="七级">区片价!$O$1:$O$49</definedName>
    <definedName name="七通一平" localSheetId="45">[1]修正!$A$6:$A$14</definedName>
    <definedName name="七通一平" localSheetId="18">[2]修正!$A$6:$A$14</definedName>
    <definedName name="七通一平">修正!$A$6:$A$14</definedName>
    <definedName name="区域土地利用方向" localSheetId="45">[1]定义!$P$1:$P$6</definedName>
    <definedName name="区域土地利用方向" localSheetId="18">[2]定义!$P$1:$P$6</definedName>
    <definedName name="区域土地利用方向">定义!$P$1:$P$6</definedName>
    <definedName name="三级">区片价!$K$1:$K$21</definedName>
    <definedName name="商业层高" localSheetId="45">'[1]不动产比较法-商业'!$B$116:$M$116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 localSheetId="18">[2]定义!$L$1:$L$6</definedName>
    <definedName name="商业繁华度">定义!$L$1:$L$6</definedName>
    <definedName name="商业公共部分装修" localSheetId="45">'[1]不动产比较法-商业'!$B$107:$M$107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45">'[1]不动产比较法-商业'!$B$112:$M$112</definedName>
    <definedName name="商业基础设施水平" localSheetId="18">'[2]不动产比较法-商业'!$B$112:$M$112</definedName>
    <definedName name="商业基础设施水平">'不动产比较法-商业'!$B$112:$M$112</definedName>
    <definedName name="商业建筑结构" localSheetId="45">'[1]不动产比较法-商业'!$B$105:$M$105</definedName>
    <definedName name="商业建筑结构" localSheetId="18">'[2]不动产比较法-商业'!$B$105:$M$105</definedName>
    <definedName name="商业建筑结构">'不动产比较法-商业'!$B$105:$M$105</definedName>
    <definedName name="商业交易情况" localSheetId="45">'[1]不动产比较法-商业'!$A$61:$M$61</definedName>
    <definedName name="商业交易情况" localSheetId="18">'[2]不动产比较法-商业'!$A$61:$M$61</definedName>
    <definedName name="商业交易情况">'不动产比较法-商业'!$A$61:$M$61</definedName>
    <definedName name="商业街名称" localSheetId="45">[1]修正!$C$59:$C$119</definedName>
    <definedName name="商业街名称" localSheetId="18">[2]修正!$C$59:$C$119</definedName>
    <definedName name="商业街名称">修正!$C$59:$C$119</definedName>
    <definedName name="商业进深比" localSheetId="45">'[1]不动产比较法-商业'!$B$120:$M$120</definedName>
    <definedName name="商业进深比" localSheetId="18">'[2]不动产比较法-商业'!$B$120:$M$120</definedName>
    <definedName name="商业进深比">'不动产比较法-商业'!$B$120:$M$120</definedName>
    <definedName name="商业类型" localSheetId="45">'[1]不动产比较法-商业'!$B$100:$M$100</definedName>
    <definedName name="商业类型" localSheetId="18">'[2]不动产比较法-商业'!$B$100:$M$100</definedName>
    <definedName name="商业类型">'不动产比较法-商业'!$B$100:$M$100</definedName>
    <definedName name="商业临街状况" localSheetId="45">'[1]不动产比较法-商业'!$B$86:$M$86</definedName>
    <definedName name="商业临街状况" localSheetId="18">'[2]不动产比较法-商业'!$B$86:$M$86</definedName>
    <definedName name="商业临街状况">'不动产比较法-商业'!$B$86:$M$86</definedName>
    <definedName name="商业楼层" localSheetId="45">'[1]不动产比较法-商业'!$B$92:$M$92</definedName>
    <definedName name="商业楼层" localSheetId="18">'[2]不动产比较法-商业'!$B$92:$M$92</definedName>
    <definedName name="商业楼层">'不动产比较法-商业'!$B$92:$M$92</definedName>
    <definedName name="商业内部装修" localSheetId="45">'[1]不动产比较法-商业'!$B$122:$M$122</definedName>
    <definedName name="商业内部装修" localSheetId="18">'[2]不动产比较法-商业'!$B$122:$M$122</definedName>
    <definedName name="商业内部装修">'不动产比较法-商业'!$B$122:$M$122</definedName>
    <definedName name="商业人流量" localSheetId="45">'[1]不动产比较法-商业'!$B$90:$M$90</definedName>
    <definedName name="商业人流量" localSheetId="18">'[2]不动产比较法-商业'!$B$90:$M$90</definedName>
    <definedName name="商业人流量">'不动产比较法-商业'!$B$90:$M$90</definedName>
    <definedName name="商业业态" localSheetId="45">'[1]不动产比较法-商业'!$B$114:$M$114</definedName>
    <definedName name="商业业态" localSheetId="18">'[2]不动产比较法-商业'!$B$114:$M$114</definedName>
    <definedName name="商业业态">'不动产比较法-商业'!$B$114:$M$114</definedName>
    <definedName name="商业用途" localSheetId="45">'[1]不动产比较法-商业'!$B$63:$M$63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 localSheetId="18">'[2]不动产比较法-仓储'!$B$89:$M$89</definedName>
    <definedName name="是否封闭">'不动产比较法-仓储'!$B$89:$M$89</definedName>
    <definedName name="是否直接入户" localSheetId="45">'[1]不动产比较法-车位'!$B$95:$M$95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 localSheetId="18">'[2]比较法-工业'!$B$116:$M$116</definedName>
    <definedName name="套工工程地质条件">'比较法-工业'!$B$116:$M$116</definedName>
    <definedName name="套工交易情况" localSheetId="45">'[1]比较法-住宅、综合'!$A$75:$M$75</definedName>
    <definedName name="套工交易情况" localSheetId="18">'[2]比较法-住宅、综合'!$A$75:$M$75</definedName>
    <definedName name="套工交易情况">'比较法-住宅、综合'!$A$75:$M$75</definedName>
    <definedName name="套工开发程度" localSheetId="45">'[1]比较法-工业'!$B$114:$M$114</definedName>
    <definedName name="套工开发程度" localSheetId="18">'[2]比较法-工业'!$B$114:$M$114</definedName>
    <definedName name="套工开发程度">'比较法-工业'!$B$114:$M$114</definedName>
    <definedName name="套工临街等级" localSheetId="45">'[1]比较法-工业'!$B$99:$M$99</definedName>
    <definedName name="套工临街等级" localSheetId="18">'[2]比较法-工业'!$B$99:$M$99</definedName>
    <definedName name="套工临街等级">'比较法-工业'!$B$99:$M$99</definedName>
    <definedName name="套工土地级别" localSheetId="45">'[1]比较法-工业'!$B$101:$M$101</definedName>
    <definedName name="套工土地级别" localSheetId="18">'[2]比较法-工业'!$B$101:$M$101</definedName>
    <definedName name="套工土地级别">'比较法-工业'!$B$101:$M$101</definedName>
    <definedName name="套工用途" localSheetId="45">'[1]比较法-工业'!$B$72:$M$72</definedName>
    <definedName name="套工用途" localSheetId="18">'[2]比较法-工业'!$B$72:$M$72</definedName>
    <definedName name="套工用途">'比较法-工业'!$B$72:$M$72</definedName>
    <definedName name="套工宗地形状" localSheetId="45">'[1]比较法-工业'!$B$112:$M$112</definedName>
    <definedName name="套工宗地形状" localSheetId="18">'[2]比较法-工业'!$B$112:$M$112</definedName>
    <definedName name="套工宗地形状">'比较法-工业'!$B$112:$M$112</definedName>
    <definedName name="套综道路等级" localSheetId="45">'[1]比较法-住宅、综合'!$B$108:$M$108</definedName>
    <definedName name="套综道路等级" localSheetId="18">'[2]比较法-住宅、综合'!$B$108:$M$108</definedName>
    <definedName name="套综道路等级">'比较法-住宅、综合'!$B$108:$M$108</definedName>
    <definedName name="套综工程地质条件" localSheetId="45">'[1]比较法-住宅、综合'!$B$127:$M$127</definedName>
    <definedName name="套综工程地质条件" localSheetId="18">'[2]比较法-住宅、综合'!$B$127:$M$127</definedName>
    <definedName name="套综工程地质条件">'比较法-住宅、综合'!$B$127:$M$127</definedName>
    <definedName name="套综交易情况" localSheetId="45">'[1]比较法-住宅、综合'!$A$75:$M$75</definedName>
    <definedName name="套综交易情况" localSheetId="18">'[2]比较法-住宅、综合'!$A$75:$M$75</definedName>
    <definedName name="套综交易情况">'比较法-住宅、综合'!$A$75:$M$75</definedName>
    <definedName name="套综临街宽度及深度" localSheetId="45">'[1]比较法-住宅、综合'!$B$123:$M$123</definedName>
    <definedName name="套综临街宽度及深度" localSheetId="18">'[2]比较法-住宅、综合'!$B$123:$M$123</definedName>
    <definedName name="套综临街宽度及深度">'比较法-住宅、综合'!$B$123:$M$123</definedName>
    <definedName name="套综土地级别" localSheetId="45">'[1]比较法-住宅、综合'!$B$110:$M$110</definedName>
    <definedName name="套综土地级别" localSheetId="18">'[2]比较法-住宅、综合'!$B$110:$M$110</definedName>
    <definedName name="套综土地级别">'比较法-住宅、综合'!$B$110:$M$110</definedName>
    <definedName name="套综用途" localSheetId="45">'[1]比较法-住宅、综合'!$B$77:$M$77</definedName>
    <definedName name="套综用途" localSheetId="18">'[2]比较法-住宅、综合'!$B$77:$M$77</definedName>
    <definedName name="套综用途">'比较法-住宅、综合'!$B$77:$M$77</definedName>
    <definedName name="套综宗地内开发程度" localSheetId="45">'[1]比较法-住宅、综合'!$B$125:$M$125</definedName>
    <definedName name="套综宗地内开发程度" localSheetId="18">'[2]比较法-住宅、综合'!$B$125:$M$125</definedName>
    <definedName name="套综宗地内开发程度">'比较法-住宅、综合'!$B$125:$M$125</definedName>
    <definedName name="套综宗地形状" localSheetId="45">'[1]比较法-住宅、综合'!$B$121:$M$121</definedName>
    <definedName name="套综宗地形状" localSheetId="18">'[2]比较法-住宅、综合'!$B$121:$M$121</definedName>
    <definedName name="套综宗地形状">'比较法-住宅、综合'!$B$121:$M$121</definedName>
    <definedName name="土地估价师" localSheetId="45">[1]估价师及机构信息!$D$3:$D$24</definedName>
    <definedName name="土地估价师" localSheetId="18">[2]估价师及机构信息!$D$3:$D$24</definedName>
    <definedName name="土地估价师">估价师及机构信息!$D$3:$D$24</definedName>
    <definedName name="土地级别" localSheetId="45">[1]定义!$C$1:$C$14</definedName>
    <definedName name="土地级别" localSheetId="18">[2]定义!$C$1:$C$14</definedName>
    <definedName name="土地级别">定义!$C$1:$C$14</definedName>
    <definedName name="土地利用方向">定义!$P$1:$P$6</definedName>
    <definedName name="土地年限区间" localSheetId="45">[1]定义!$I$1:$I$8</definedName>
    <definedName name="土地年限区间" localSheetId="18">[2]定义!$I$1:$I$8</definedName>
    <definedName name="土地年限区间">定义!$I$1:$I$8</definedName>
    <definedName name="位置" localSheetId="45">[1]定义!$E$2:$E$4</definedName>
    <definedName name="位置" localSheetId="18">[2]定义!$E$2:$E$4</definedName>
    <definedName name="位置">定义!$E$2:$E$4</definedName>
    <definedName name="五等判定" localSheetId="45">[1]定义!$W$1:$W$6</definedName>
    <definedName name="五等判定" localSheetId="18">[2]定义!$W$1:$W$6</definedName>
    <definedName name="五等判定">定义!$W$1:$W$6</definedName>
    <definedName name="五级">区片价!$M$1:$M$35</definedName>
    <definedName name="项目类型" localSheetId="45">'[1]数据-汇总表'!$C$17:$C$26</definedName>
    <definedName name="项目类型" localSheetId="18">'[2]数据-汇总表'!$C$17:$C$26</definedName>
    <definedName name="项目类型">'数据-汇总表'!$C$17:$C$26</definedName>
    <definedName name="写字楼等级" localSheetId="45">'[1]不动产比较法-办公'!$B$113:$M$113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 localSheetId="18">[2]典型户型修正!$5:$5</definedName>
    <definedName name="一修多修正项2">典型户型修正!$5:$5</definedName>
    <definedName name="一修多修正项3" localSheetId="45">[1]典型户型修正!$7:$7</definedName>
    <definedName name="一修多修正项3" localSheetId="18">[2]典型户型修正!$7:$7</definedName>
    <definedName name="一修多修正项3">典型户型修正!$7:$7</definedName>
    <definedName name="一修多修正项4" localSheetId="45">[1]典型户型修正!$9:$9</definedName>
    <definedName name="一修多修正项4" localSheetId="18">[2]典型户型修正!$9:$9</definedName>
    <definedName name="一修多修正项4">典型户型修正!$9:$9</definedName>
    <definedName name="一修多修正项5" localSheetId="45">[1]典型户型修正!$11:$11</definedName>
    <definedName name="一修多修正项5" localSheetId="18">[2]典型户型修正!$11:$11</definedName>
    <definedName name="一修多修正项5">典型户型修正!$11:$11</definedName>
    <definedName name="一修多修正项6" localSheetId="45">[1]典型户型修正!$13:$13</definedName>
    <definedName name="一修多修正项6" localSheetId="18">[2]典型户型修正!$13:$13</definedName>
    <definedName name="一修多修正项6">典型户型修正!$13:$13</definedName>
    <definedName name="一修多修正项7" localSheetId="45">[1]典型户型修正!$15:$15</definedName>
    <definedName name="一修多修正项7" localSheetId="18">[2]典型户型修正!$15:$15</definedName>
    <definedName name="一修多修正项7">典型户型修正!$15:$15</definedName>
    <definedName name="一修多修正项8" localSheetId="45">[1]典型户型修正!$17:$17</definedName>
    <definedName name="一修多修正项8" localSheetId="18">[2]典型户型修正!$17:$17</definedName>
    <definedName name="一修多修正项8">典型户型修正!$17:$17</definedName>
    <definedName name="用途类型" localSheetId="45">[1]定义!$A$1:$A$50</definedName>
    <definedName name="用途类型" localSheetId="18">[2]定义!$A$1:$A$50</definedName>
    <definedName name="用途类型">定义!$A$1:$A$50</definedName>
    <definedName name="有无电梯" localSheetId="45">'[1]不动产比较法-仓储'!$B$84:$M$84</definedName>
    <definedName name="有无电梯" localSheetId="18">'[2]不动产比较法-仓储'!$B$84:$M$84</definedName>
    <definedName name="有无电梯">'不动产比较法-仓储'!$B$84:$M$84</definedName>
    <definedName name="主用途" localSheetId="45">[1]定义!$F$1:$F$10</definedName>
    <definedName name="主用途" localSheetId="18">[2]定义!$F$1:$F$10</definedName>
    <definedName name="主用途">定义!$F$1:$F$10</definedName>
    <definedName name="住宅朝向" localSheetId="45">'[1]不动产比较法-住宅'!$B$88:$M$88</definedName>
    <definedName name="住宅朝向" localSheetId="18">'[2]不动产比较法-住宅'!$B$88:$M$88</definedName>
    <definedName name="住宅朝向">'不动产比较法-住宅'!$B$88:$M$88</definedName>
    <definedName name="住宅房型" localSheetId="45">'[1]不动产比较法-住宅'!$B$118:$M$118</definedName>
    <definedName name="住宅房型" localSheetId="18">'[2]不动产比较法-住宅'!$B$118:$M$118</definedName>
    <definedName name="住宅房型">'不动产比较法-住宅'!$B$118:$M$118</definedName>
    <definedName name="住宅公共部分装修" localSheetId="45">'[1]不动产比较法-住宅'!$B$109:$M$109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45">'[1]不动产比较法-住宅'!$B$116:$M$116</definedName>
    <definedName name="住宅基础设施水平" localSheetId="18">'[2]不动产比较法-住宅'!$B$116:$M$116</definedName>
    <definedName name="住宅基础设施水平">'不动产比较法-住宅'!$B$116:$M$116</definedName>
    <definedName name="住宅建筑结构" localSheetId="45">'[1]不动产比较法-住宅'!$B$105:$M$105</definedName>
    <definedName name="住宅建筑结构" localSheetId="18">'[2]不动产比较法-住宅'!$B$105:$M$105</definedName>
    <definedName name="住宅建筑结构">'不动产比较法-住宅'!$B$105:$M$105</definedName>
    <definedName name="住宅建筑类型" localSheetId="45">'[1]不动产比较法-住宅'!$B$100:$M$100</definedName>
    <definedName name="住宅建筑类型" localSheetId="18">'[2]不动产比较法-住宅'!$B$100:$M$100</definedName>
    <definedName name="住宅建筑类型">'不动产比较法-住宅'!$B$100:$M$100</definedName>
    <definedName name="住宅建筑品质" localSheetId="45">'[1]不动产比较法-住宅'!$B$107:$M$107</definedName>
    <definedName name="住宅建筑品质" localSheetId="18">'[2]不动产比较法-住宅'!$B$107:$M$107</definedName>
    <definedName name="住宅建筑品质">'不动产比较法-住宅'!$B$107:$M$107</definedName>
    <definedName name="住宅交易情况" localSheetId="45">'[1]不动产比较法-住宅'!$A$61:$M$61</definedName>
    <definedName name="住宅交易情况" localSheetId="18">'[2]不动产比较法-住宅'!$A$61:$M$61</definedName>
    <definedName name="住宅交易情况">'不动产比较法-住宅'!$A$61:$M$61</definedName>
    <definedName name="住宅楼层" localSheetId="45">'[1]不动产比较法-住宅'!$B$86:$M$86</definedName>
    <definedName name="住宅楼层" localSheetId="18">'[2]不动产比较法-住宅'!$B$86:$M$86</definedName>
    <definedName name="住宅楼层">'不动产比较法-住宅'!$B$86:$M$86</definedName>
    <definedName name="住宅内部装修" localSheetId="45">'[1]不动产比较法-住宅'!$B$122:$M$122</definedName>
    <definedName name="住宅内部装修" localSheetId="18">'[2]不动产比较法-住宅'!$B$122:$M$122</definedName>
    <definedName name="住宅内部装修">'不动产比较法-住宅'!$B$122:$M$122</definedName>
    <definedName name="住宅物业管理" localSheetId="45">'[1]不动产比较法-住宅'!$B$114:$M$114</definedName>
    <definedName name="住宅物业管理" localSheetId="18">'[2]不动产比较法-住宅'!$B$114:$M$114</definedName>
    <definedName name="住宅物业管理">'不动产比较法-住宅'!$B$114:$M$114</definedName>
    <definedName name="住宅用途" localSheetId="45">'[1]不动产比较法-住宅'!$B$63:$M$63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4" i="66" l="1"/>
  <c r="B14" i="66"/>
  <c r="B1" i="66"/>
  <c r="B2" i="66"/>
  <c r="H7" i="73" l="1"/>
  <c r="H8" i="73" l="1"/>
  <c r="F11" i="74" l="1"/>
  <c r="F12" i="74"/>
  <c r="N15" i="73" l="1"/>
  <c r="I15" i="73"/>
  <c r="I14" i="73"/>
  <c r="K12" i="73"/>
  <c r="K14" i="73"/>
  <c r="K15" i="73" s="1"/>
  <c r="N8" i="73"/>
  <c r="N7" i="73"/>
  <c r="N14" i="73" s="1"/>
  <c r="C8" i="12" l="1"/>
  <c r="D10" i="73" l="1"/>
  <c r="D17" i="73" s="1"/>
  <c r="D8" i="73"/>
  <c r="D15" i="73" s="1"/>
  <c r="D9" i="73"/>
  <c r="D16" i="73" s="1"/>
  <c r="B20" i="1"/>
  <c r="Q6" i="1"/>
  <c r="L6" i="1"/>
  <c r="K6" i="73"/>
  <c r="K13" i="73" s="1"/>
  <c r="F7" i="74"/>
  <c r="F10" i="74" s="1"/>
  <c r="I13" i="73" l="1"/>
  <c r="E7" i="74" l="1"/>
  <c r="E10" i="74" s="1"/>
  <c r="I12" i="73" l="1"/>
  <c r="D5" i="9"/>
  <c r="H15" i="73" l="1"/>
  <c r="J15" i="73" l="1"/>
  <c r="J32" i="73" l="1"/>
  <c r="H32" i="73"/>
  <c r="O32" i="73" l="1"/>
  <c r="O15" i="73"/>
  <c r="G70" i="46" l="1"/>
  <c r="G71" i="46"/>
  <c r="G72" i="46"/>
  <c r="G73" i="46"/>
  <c r="G74" i="46"/>
  <c r="G75" i="46"/>
  <c r="G76" i="46"/>
  <c r="G77" i="46"/>
  <c r="G69" i="46"/>
  <c r="E16" i="72" l="1"/>
  <c r="D16" i="72" s="1"/>
  <c r="C16" i="72"/>
  <c r="D3" i="72"/>
  <c r="B3" i="72"/>
  <c r="D2" i="72"/>
  <c r="D4" i="72" s="1"/>
  <c r="B2" i="72"/>
  <c r="B4" i="72" s="1"/>
  <c r="C4" i="72" l="1"/>
  <c r="B3" i="4"/>
  <c r="B11" i="71"/>
  <c r="C11" i="71"/>
  <c r="D11" i="71"/>
  <c r="B12" i="71"/>
  <c r="C12" i="71"/>
  <c r="D12" i="71"/>
  <c r="B10" i="71"/>
  <c r="C10" i="71"/>
  <c r="D10" i="71"/>
  <c r="D4" i="71"/>
  <c r="D5" i="71"/>
  <c r="D3" i="71"/>
  <c r="D14" i="71"/>
  <c r="D7" i="71"/>
  <c r="A6" i="1"/>
  <c r="A7" i="1"/>
  <c r="A8" i="1"/>
  <c r="A9" i="1"/>
  <c r="G1" i="70"/>
  <c r="K9" i="1"/>
  <c r="C1" i="65"/>
  <c r="N1" i="65"/>
  <c r="B43" i="1"/>
  <c r="B41" i="1"/>
  <c r="F32" i="70"/>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S9" i="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5" i="3" s="1"/>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5" i="3" s="1"/>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5" i="3" s="1"/>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A20" i="3" s="1"/>
  <c r="BA5" i="3" s="1"/>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5" i="3" s="1"/>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E8" i="6"/>
  <c r="E58" i="39" s="1"/>
  <c r="E20" i="6"/>
  <c r="BA13" i="3"/>
  <c r="BA14" i="3"/>
  <c r="BA15" i="3"/>
  <c r="BA16" i="3"/>
  <c r="BA17" i="3"/>
  <c r="BA18" i="3"/>
  <c r="BA19"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E21" i="6"/>
  <c r="E22" i="6"/>
  <c r="E23" i="6"/>
  <c r="E24" i="6"/>
  <c r="E25" i="6"/>
  <c r="E26" i="6"/>
  <c r="A10" i="1"/>
  <c r="S10" i="1"/>
  <c r="A11" i="1"/>
  <c r="S11" i="1"/>
  <c r="A12" i="1"/>
  <c r="S12" i="1"/>
  <c r="A13" i="1"/>
  <c r="S13" i="1"/>
  <c r="T4" i="1"/>
  <c r="F15" i="70"/>
  <c r="F17" i="70"/>
  <c r="F18" i="70"/>
  <c r="F20" i="70"/>
  <c r="H1" i="65"/>
  <c r="B22" i="1"/>
  <c r="C2" i="65" s="1"/>
  <c r="F23" i="70"/>
  <c r="F21" i="70"/>
  <c r="F28" i="70"/>
  <c r="B2" i="1"/>
  <c r="C42" i="1"/>
  <c r="C28" i="70"/>
  <c r="F33" i="70"/>
  <c r="B52" i="1"/>
  <c r="F34" i="70"/>
  <c r="R9" i="1"/>
  <c r="AE9" i="1"/>
  <c r="M47" i="70"/>
  <c r="F9" i="1"/>
  <c r="J50" i="70"/>
  <c r="J51" i="70"/>
  <c r="D9" i="1"/>
  <c r="K59" i="70"/>
  <c r="P75" i="70"/>
  <c r="Q73" i="70"/>
  <c r="F59" i="70"/>
  <c r="D60" i="70"/>
  <c r="F60" i="70"/>
  <c r="F61" i="70"/>
  <c r="P62" i="70"/>
  <c r="Q60" i="70"/>
  <c r="Q59" i="70"/>
  <c r="Q52" i="70"/>
  <c r="AG9" i="1"/>
  <c r="M18" i="70"/>
  <c r="M20" i="70"/>
  <c r="D24" i="70"/>
  <c r="D23" i="70"/>
  <c r="D22" i="70"/>
  <c r="M19" i="70"/>
  <c r="I5" i="3"/>
  <c r="I4" i="6" s="1"/>
  <c r="G3" i="69" s="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G2" i="69"/>
  <c r="H113" i="69"/>
  <c r="F113" i="69"/>
  <c r="N99" i="69"/>
  <c r="N108" i="69"/>
  <c r="M99" i="69"/>
  <c r="M108" i="69"/>
  <c r="L99" i="69"/>
  <c r="L108" i="69"/>
  <c r="K99" i="69"/>
  <c r="K108" i="69"/>
  <c r="J99" i="69"/>
  <c r="J108" i="69"/>
  <c r="I99" i="69"/>
  <c r="I108" i="69"/>
  <c r="H99" i="69"/>
  <c r="H108" i="69"/>
  <c r="G99" i="69"/>
  <c r="G108" i="69"/>
  <c r="F99" i="69"/>
  <c r="F108" i="69"/>
  <c r="E99" i="69"/>
  <c r="E108" i="69"/>
  <c r="D99" i="69"/>
  <c r="D108" i="69"/>
  <c r="C99" i="69"/>
  <c r="C108" i="69"/>
  <c r="N100" i="69"/>
  <c r="M100" i="69"/>
  <c r="L100" i="69"/>
  <c r="K100" i="69"/>
  <c r="J100" i="69"/>
  <c r="I100" i="69"/>
  <c r="H100" i="69"/>
  <c r="G100" i="69"/>
  <c r="F100" i="69"/>
  <c r="E100" i="69"/>
  <c r="D100" i="69"/>
  <c r="C100" i="69"/>
  <c r="M87" i="69"/>
  <c r="N87" i="69"/>
  <c r="K87" i="69"/>
  <c r="J87" i="69"/>
  <c r="F80" i="69"/>
  <c r="H87" i="69"/>
  <c r="D87" i="69"/>
  <c r="G18" i="20"/>
  <c r="B87" i="69"/>
  <c r="M86" i="69"/>
  <c r="N86" i="69"/>
  <c r="K86" i="69"/>
  <c r="J86" i="69"/>
  <c r="H86" i="69"/>
  <c r="D86" i="69"/>
  <c r="M85" i="69"/>
  <c r="N85" i="69"/>
  <c r="K85" i="69"/>
  <c r="J85" i="69"/>
  <c r="H85" i="69"/>
  <c r="D85" i="69"/>
  <c r="G20" i="20"/>
  <c r="B85" i="69"/>
  <c r="M84" i="69"/>
  <c r="N84" i="69"/>
  <c r="K84" i="69"/>
  <c r="J84" i="69"/>
  <c r="H84" i="69"/>
  <c r="D84" i="69"/>
  <c r="G19" i="20"/>
  <c r="B84" i="69"/>
  <c r="M83" i="69"/>
  <c r="N83" i="69"/>
  <c r="K83" i="69"/>
  <c r="J83" i="69"/>
  <c r="H83" i="69"/>
  <c r="D83" i="69"/>
  <c r="B83" i="69"/>
  <c r="M82" i="69"/>
  <c r="N82" i="69"/>
  <c r="K82" i="69"/>
  <c r="J82" i="69"/>
  <c r="H82" i="69"/>
  <c r="D82" i="69"/>
  <c r="B82" i="69"/>
  <c r="M81" i="69"/>
  <c r="N81" i="69"/>
  <c r="K81" i="69"/>
  <c r="J81" i="69"/>
  <c r="H81" i="69"/>
  <c r="D81" i="69"/>
  <c r="G16" i="20"/>
  <c r="B81" i="69"/>
  <c r="M80" i="69"/>
  <c r="N80" i="69"/>
  <c r="K80" i="69"/>
  <c r="J80" i="69"/>
  <c r="H80" i="69"/>
  <c r="D80" i="69"/>
  <c r="E80" i="69"/>
  <c r="G15" i="20"/>
  <c r="B80" i="69"/>
  <c r="B78" i="69"/>
  <c r="M77" i="69"/>
  <c r="N77" i="69"/>
  <c r="K77" i="69"/>
  <c r="J77" i="69"/>
  <c r="F69" i="69"/>
  <c r="H77" i="69"/>
  <c r="D77" i="69"/>
  <c r="M76" i="69"/>
  <c r="N76" i="69"/>
  <c r="K76" i="69"/>
  <c r="J76" i="69"/>
  <c r="H76" i="69"/>
  <c r="D76" i="69"/>
  <c r="C20" i="20"/>
  <c r="B76" i="69"/>
  <c r="M75" i="69"/>
  <c r="N75" i="69"/>
  <c r="K75" i="69"/>
  <c r="J75" i="69"/>
  <c r="H75" i="69"/>
  <c r="D75" i="69"/>
  <c r="M74" i="69"/>
  <c r="N74" i="69"/>
  <c r="K74" i="69"/>
  <c r="J74" i="69"/>
  <c r="H74" i="69"/>
  <c r="D74" i="69"/>
  <c r="C22" i="20"/>
  <c r="B74" i="69"/>
  <c r="M73" i="69"/>
  <c r="N73" i="69"/>
  <c r="K73" i="69"/>
  <c r="J73" i="69"/>
  <c r="H73" i="69"/>
  <c r="D73" i="69"/>
  <c r="C21" i="20"/>
  <c r="B73" i="69"/>
  <c r="M72" i="69"/>
  <c r="N72" i="69"/>
  <c r="K72" i="69"/>
  <c r="J72" i="69"/>
  <c r="H72" i="69"/>
  <c r="D72" i="69"/>
  <c r="C24" i="20"/>
  <c r="B72" i="69"/>
  <c r="M71" i="69"/>
  <c r="N71" i="69"/>
  <c r="K71" i="69"/>
  <c r="J71" i="69"/>
  <c r="H71" i="69"/>
  <c r="D71" i="69"/>
  <c r="B71" i="69"/>
  <c r="M70" i="69"/>
  <c r="N70" i="69"/>
  <c r="K70" i="69"/>
  <c r="J70" i="69"/>
  <c r="H70" i="69"/>
  <c r="D70" i="69"/>
  <c r="C18" i="20"/>
  <c r="B70" i="69"/>
  <c r="M69" i="69"/>
  <c r="N69" i="69"/>
  <c r="K69" i="69"/>
  <c r="J69" i="69"/>
  <c r="H69" i="69"/>
  <c r="D69" i="69"/>
  <c r="E69" i="69"/>
  <c r="C15" i="20"/>
  <c r="B69" i="69"/>
  <c r="B67" i="69"/>
  <c r="M66" i="69"/>
  <c r="N66" i="69"/>
  <c r="K66" i="69"/>
  <c r="J66" i="69"/>
  <c r="I2" i="69"/>
  <c r="N9" i="69"/>
  <c r="F58" i="69"/>
  <c r="H66" i="69"/>
  <c r="D66" i="69"/>
  <c r="B66" i="69"/>
  <c r="M65" i="69"/>
  <c r="N65" i="69"/>
  <c r="K65" i="69"/>
  <c r="J65" i="69"/>
  <c r="H65" i="69"/>
  <c r="D65" i="69"/>
  <c r="B65" i="69"/>
  <c r="M64" i="69"/>
  <c r="N64" i="69"/>
  <c r="K64" i="69"/>
  <c r="J64" i="69"/>
  <c r="H64" i="69"/>
  <c r="D64" i="69"/>
  <c r="B64" i="69"/>
  <c r="M63" i="69"/>
  <c r="N63" i="69"/>
  <c r="K63" i="69"/>
  <c r="J63" i="69"/>
  <c r="H63" i="69"/>
  <c r="D63" i="69"/>
  <c r="M62" i="69"/>
  <c r="N62" i="69"/>
  <c r="K62" i="69"/>
  <c r="J62" i="69"/>
  <c r="H62" i="69"/>
  <c r="D62" i="69"/>
  <c r="B62" i="69"/>
  <c r="M61" i="69"/>
  <c r="N61" i="69"/>
  <c r="K61" i="69"/>
  <c r="J61" i="69"/>
  <c r="H61" i="69"/>
  <c r="D61" i="69"/>
  <c r="M60" i="69"/>
  <c r="N60" i="69"/>
  <c r="K60" i="69"/>
  <c r="J60" i="69"/>
  <c r="H60" i="69"/>
  <c r="D60" i="69"/>
  <c r="B60" i="69"/>
  <c r="M59" i="69"/>
  <c r="N59" i="69"/>
  <c r="K59" i="69"/>
  <c r="J59" i="69"/>
  <c r="H59" i="69"/>
  <c r="D59" i="69"/>
  <c r="B59" i="69"/>
  <c r="M58" i="69"/>
  <c r="N58" i="69"/>
  <c r="K58" i="69"/>
  <c r="J58" i="69"/>
  <c r="H58" i="69"/>
  <c r="D58" i="69"/>
  <c r="E58" i="69"/>
  <c r="C17" i="20"/>
  <c r="B58" i="69"/>
  <c r="B56" i="69"/>
  <c r="M55" i="69"/>
  <c r="N55" i="69"/>
  <c r="K55" i="69"/>
  <c r="J55" i="69"/>
  <c r="F47" i="69"/>
  <c r="H55" i="69"/>
  <c r="D55" i="69"/>
  <c r="B55" i="69"/>
  <c r="M54" i="69"/>
  <c r="N54" i="69"/>
  <c r="K54" i="69"/>
  <c r="J54" i="69"/>
  <c r="H54" i="69"/>
  <c r="D54" i="69"/>
  <c r="B54" i="69"/>
  <c r="M53" i="69"/>
  <c r="N53" i="69"/>
  <c r="K53" i="69"/>
  <c r="J53" i="69"/>
  <c r="H53" i="69"/>
  <c r="D53" i="69"/>
  <c r="B53" i="69"/>
  <c r="M52" i="69"/>
  <c r="N52" i="69"/>
  <c r="K52" i="69"/>
  <c r="J52" i="69"/>
  <c r="H52" i="69"/>
  <c r="D52" i="69"/>
  <c r="M51" i="69"/>
  <c r="N51" i="69"/>
  <c r="K51" i="69"/>
  <c r="J51" i="69"/>
  <c r="H51" i="69"/>
  <c r="D51" i="69"/>
  <c r="B51" i="69"/>
  <c r="M50" i="69"/>
  <c r="N50" i="69"/>
  <c r="K50" i="69"/>
  <c r="J50" i="69"/>
  <c r="H50" i="69"/>
  <c r="D50" i="69"/>
  <c r="M49" i="69"/>
  <c r="N49" i="69"/>
  <c r="K49" i="69"/>
  <c r="J49" i="69"/>
  <c r="H49" i="69"/>
  <c r="D49" i="69"/>
  <c r="B49" i="69"/>
  <c r="M48" i="69"/>
  <c r="N48" i="69"/>
  <c r="K48" i="69"/>
  <c r="J48" i="69"/>
  <c r="H48" i="69"/>
  <c r="D48" i="69"/>
  <c r="B48" i="69"/>
  <c r="M47" i="69"/>
  <c r="N47" i="69"/>
  <c r="K47" i="69"/>
  <c r="J47" i="69"/>
  <c r="H47" i="69"/>
  <c r="D47" i="69"/>
  <c r="E47" i="69"/>
  <c r="C16" i="20"/>
  <c r="B47" i="69"/>
  <c r="B45" i="69"/>
  <c r="M9" i="69"/>
  <c r="C6" i="69"/>
  <c r="G17" i="69"/>
  <c r="H17" i="69"/>
  <c r="I17" i="69"/>
  <c r="J17" i="69"/>
  <c r="C17" i="69"/>
  <c r="C16" i="69"/>
  <c r="C5" i="69" s="1"/>
  <c r="G19" i="69"/>
  <c r="N8" i="59"/>
  <c r="B8" i="59"/>
  <c r="N7" i="59"/>
  <c r="B7" i="59"/>
  <c r="N6" i="59"/>
  <c r="B6" i="59"/>
  <c r="N5" i="59"/>
  <c r="B5" i="59"/>
  <c r="O8" i="59"/>
  <c r="C8" i="59"/>
  <c r="O7" i="59"/>
  <c r="C7" i="59"/>
  <c r="O6" i="59"/>
  <c r="C6" i="59"/>
  <c r="O5" i="59"/>
  <c r="C5" i="59"/>
  <c r="D5" i="59"/>
  <c r="P8" i="59"/>
  <c r="E8" i="59"/>
  <c r="P7" i="59"/>
  <c r="E7" i="59"/>
  <c r="P6" i="59"/>
  <c r="E6" i="59"/>
  <c r="P5" i="59"/>
  <c r="E5" i="59"/>
  <c r="Q8" i="59"/>
  <c r="F8" i="59"/>
  <c r="Q7" i="59"/>
  <c r="F7" i="59"/>
  <c r="Q6" i="59"/>
  <c r="F6" i="59"/>
  <c r="Q5" i="59"/>
  <c r="F5" i="59"/>
  <c r="D6" i="59"/>
  <c r="D7" i="59"/>
  <c r="D8" i="59"/>
  <c r="D9" i="59"/>
  <c r="N12" i="59"/>
  <c r="B12" i="59"/>
  <c r="N11" i="59"/>
  <c r="B11" i="59"/>
  <c r="N10" i="59"/>
  <c r="B10" i="59"/>
  <c r="O12" i="59"/>
  <c r="C12" i="59"/>
  <c r="O11" i="59"/>
  <c r="C11" i="59"/>
  <c r="O10" i="59"/>
  <c r="C10" i="59"/>
  <c r="D10" i="59"/>
  <c r="P12" i="59"/>
  <c r="E12" i="59"/>
  <c r="P11" i="59"/>
  <c r="E11" i="59"/>
  <c r="P10" i="59"/>
  <c r="E10" i="59"/>
  <c r="Q12" i="59"/>
  <c r="F12" i="59"/>
  <c r="Q11" i="59"/>
  <c r="F11" i="59"/>
  <c r="Q10" i="59"/>
  <c r="F10" i="59"/>
  <c r="D11" i="59"/>
  <c r="D12" i="59"/>
  <c r="D13" i="59"/>
  <c r="N13" i="59"/>
  <c r="B14" i="59"/>
  <c r="O13" i="59"/>
  <c r="C14" i="59"/>
  <c r="D14" i="59"/>
  <c r="P13" i="59"/>
  <c r="E14" i="59"/>
  <c r="Q13" i="59"/>
  <c r="F14" i="59"/>
  <c r="N14" i="59"/>
  <c r="B15" i="59"/>
  <c r="O14" i="59"/>
  <c r="C15" i="59"/>
  <c r="D15" i="59"/>
  <c r="P14" i="59"/>
  <c r="E15" i="59"/>
  <c r="Q14" i="59"/>
  <c r="F15" i="59"/>
  <c r="N15" i="59"/>
  <c r="B16" i="59"/>
  <c r="O15" i="59"/>
  <c r="C16" i="59"/>
  <c r="D16" i="59"/>
  <c r="P15" i="59"/>
  <c r="E16" i="59"/>
  <c r="Q15" i="59"/>
  <c r="F16" i="59"/>
  <c r="D17" i="59"/>
  <c r="N17" i="59"/>
  <c r="B18" i="59"/>
  <c r="O17" i="59"/>
  <c r="C18" i="59"/>
  <c r="D18" i="59"/>
  <c r="P17" i="59"/>
  <c r="E18" i="59"/>
  <c r="Q17" i="59"/>
  <c r="F18" i="59"/>
  <c r="N18" i="59"/>
  <c r="B19" i="59"/>
  <c r="O18" i="59"/>
  <c r="C19" i="59"/>
  <c r="D19" i="59"/>
  <c r="P18" i="59"/>
  <c r="E19" i="59"/>
  <c r="Q18" i="59"/>
  <c r="F19" i="59"/>
  <c r="N19" i="59"/>
  <c r="B20" i="59"/>
  <c r="O19" i="59"/>
  <c r="C20" i="59"/>
  <c r="D20" i="59"/>
  <c r="P19" i="59"/>
  <c r="E20" i="59"/>
  <c r="Q19" i="59"/>
  <c r="F20" i="59"/>
  <c r="D21" i="59"/>
  <c r="N21" i="59"/>
  <c r="B22" i="59"/>
  <c r="O21" i="59"/>
  <c r="C22" i="59"/>
  <c r="D22" i="59"/>
  <c r="P21" i="59"/>
  <c r="E22" i="59"/>
  <c r="Q21" i="59"/>
  <c r="F22" i="59"/>
  <c r="N22" i="59"/>
  <c r="B23" i="59"/>
  <c r="O22" i="59"/>
  <c r="C23" i="59"/>
  <c r="D23" i="59"/>
  <c r="P22" i="59"/>
  <c r="E23" i="59"/>
  <c r="Q22" i="59"/>
  <c r="F23" i="59"/>
  <c r="N23" i="59"/>
  <c r="B24" i="59"/>
  <c r="O23" i="59"/>
  <c r="C24" i="59"/>
  <c r="D24" i="59"/>
  <c r="P23" i="59"/>
  <c r="E24" i="59"/>
  <c r="Q23" i="59"/>
  <c r="F24" i="59"/>
  <c r="M20" i="69"/>
  <c r="M19" i="69"/>
  <c r="N9" i="59"/>
  <c r="N16" i="59"/>
  <c r="N20" i="59"/>
  <c r="X3" i="59"/>
  <c r="O9" i="59"/>
  <c r="O16" i="59"/>
  <c r="O20" i="59"/>
  <c r="Y3" i="59"/>
  <c r="Z3" i="59"/>
  <c r="P9" i="59"/>
  <c r="P16" i="59"/>
  <c r="P20" i="59"/>
  <c r="AA3" i="59"/>
  <c r="Q9" i="59"/>
  <c r="Q16" i="59"/>
  <c r="Q20" i="59"/>
  <c r="AB3" i="59"/>
  <c r="N24" i="59"/>
  <c r="X5" i="59"/>
  <c r="O24" i="59"/>
  <c r="Y5" i="59"/>
  <c r="Z5" i="59"/>
  <c r="P24" i="59"/>
  <c r="AA5" i="59"/>
  <c r="Q24"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C19" i="69"/>
  <c r="J20" i="69"/>
  <c r="F19" i="4"/>
  <c r="F8" i="1"/>
  <c r="I20" i="69"/>
  <c r="C24" i="69"/>
  <c r="F39" i="69"/>
  <c r="H39" i="69"/>
  <c r="F38" i="69"/>
  <c r="H38" i="69"/>
  <c r="F37" i="69"/>
  <c r="H37" i="69"/>
  <c r="D5" i="69"/>
  <c r="F36" i="69"/>
  <c r="H36" i="69"/>
  <c r="F35" i="69"/>
  <c r="H35" i="69"/>
  <c r="F34" i="69"/>
  <c r="H34" i="69"/>
  <c r="F33" i="69"/>
  <c r="H33" i="69"/>
  <c r="C18" i="6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69"/>
  <c r="P24" i="69"/>
  <c r="P23" i="69"/>
  <c r="P22" i="69"/>
  <c r="P21" i="69"/>
  <c r="O19" i="69"/>
  <c r="I19" i="69"/>
  <c r="E17" i="69"/>
  <c r="F15" i="69"/>
  <c r="E15" i="69"/>
  <c r="D15" i="69"/>
  <c r="C15" i="69"/>
  <c r="AJ9" i="69"/>
  <c r="AJ12" i="69"/>
  <c r="AI9" i="69"/>
  <c r="AI12" i="69"/>
  <c r="AH9" i="69"/>
  <c r="AH12" i="69"/>
  <c r="AG9" i="69"/>
  <c r="AG12" i="69"/>
  <c r="AF9" i="69"/>
  <c r="AF12" i="69"/>
  <c r="AE9" i="69"/>
  <c r="AE12" i="69"/>
  <c r="AD9" i="69"/>
  <c r="AD12" i="69"/>
  <c r="AC9" i="69"/>
  <c r="AC12" i="69"/>
  <c r="AB9" i="69"/>
  <c r="AB12" i="69"/>
  <c r="AA9" i="69"/>
  <c r="AA12" i="69"/>
  <c r="Z9" i="69"/>
  <c r="Z12" i="69"/>
  <c r="Y12" i="69"/>
  <c r="N12" i="69"/>
  <c r="M12" i="69"/>
  <c r="C12" i="69"/>
  <c r="N11" i="69"/>
  <c r="M11" i="69"/>
  <c r="C10" i="69"/>
  <c r="C11" i="69"/>
  <c r="E11" i="69"/>
  <c r="AJ10" i="69"/>
  <c r="AI10" i="69"/>
  <c r="AH10" i="69"/>
  <c r="AG10" i="69"/>
  <c r="AF10" i="69"/>
  <c r="AE10" i="69"/>
  <c r="AD10" i="69"/>
  <c r="AC10" i="69"/>
  <c r="AB10" i="69"/>
  <c r="AA10" i="69"/>
  <c r="Z10" i="69"/>
  <c r="Y10" i="69"/>
  <c r="N10" i="69"/>
  <c r="M10" i="69"/>
  <c r="E10" i="69"/>
  <c r="E9" i="69"/>
  <c r="C9" i="69"/>
  <c r="N8" i="69"/>
  <c r="M8" i="69"/>
  <c r="E8" i="69"/>
  <c r="X7" i="69"/>
  <c r="N7" i="69"/>
  <c r="M7" i="69"/>
  <c r="C7" i="69"/>
  <c r="A7" i="69"/>
  <c r="N6" i="69"/>
  <c r="M6" i="69"/>
  <c r="N5" i="69"/>
  <c r="M5" i="69"/>
  <c r="N4" i="69"/>
  <c r="M4" i="69"/>
  <c r="N3" i="69"/>
  <c r="M3" i="69"/>
  <c r="D1" i="69"/>
  <c r="N2" i="69"/>
  <c r="M2" i="69"/>
  <c r="N1" i="69"/>
  <c r="M1" i="69"/>
  <c r="G3" i="68"/>
  <c r="B113" i="68" s="1"/>
  <c r="G2" i="68"/>
  <c r="H113" i="68"/>
  <c r="F113" i="68"/>
  <c r="N99" i="68"/>
  <c r="N108" i="68"/>
  <c r="N101" i="68"/>
  <c r="N109" i="68" s="1"/>
  <c r="M99" i="68"/>
  <c r="M108" i="68"/>
  <c r="L99" i="68"/>
  <c r="L108" i="68"/>
  <c r="K99" i="68"/>
  <c r="K108" i="68"/>
  <c r="J99" i="68"/>
  <c r="J108" i="68"/>
  <c r="I99" i="68"/>
  <c r="I108" i="68"/>
  <c r="H99" i="68"/>
  <c r="H108" i="68"/>
  <c r="G99" i="68"/>
  <c r="G108" i="68"/>
  <c r="F99" i="68"/>
  <c r="F108" i="68"/>
  <c r="E99" i="68"/>
  <c r="E108" i="68"/>
  <c r="D99" i="68"/>
  <c r="D108" i="68"/>
  <c r="C99" i="68"/>
  <c r="C108"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I2" i="68"/>
  <c r="N9"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C6" i="68"/>
  <c r="G17" i="68"/>
  <c r="H17" i="68"/>
  <c r="I17" i="68"/>
  <c r="J17" i="68"/>
  <c r="C17" i="68"/>
  <c r="C16" i="68"/>
  <c r="C7" i="68"/>
  <c r="C5" i="68"/>
  <c r="G19" i="68"/>
  <c r="M20" i="68"/>
  <c r="M19" i="68"/>
  <c r="C19" i="68"/>
  <c r="J20" i="68"/>
  <c r="E19" i="4"/>
  <c r="F7" i="1"/>
  <c r="I20" i="68"/>
  <c r="C24" i="68"/>
  <c r="F39" i="68"/>
  <c r="H39" i="68"/>
  <c r="F38" i="68"/>
  <c r="H38" i="68"/>
  <c r="F37" i="68"/>
  <c r="H37" i="68"/>
  <c r="D5" i="68"/>
  <c r="F36" i="68"/>
  <c r="H36" i="68"/>
  <c r="F35" i="68"/>
  <c r="H35" i="68"/>
  <c r="F34" i="68"/>
  <c r="H34" i="68"/>
  <c r="F33" i="68"/>
  <c r="H33" i="68"/>
  <c r="C18" i="68"/>
  <c r="P25" i="68"/>
  <c r="P24" i="68"/>
  <c r="P23" i="68"/>
  <c r="P22" i="68"/>
  <c r="P21" i="68"/>
  <c r="O19" i="68"/>
  <c r="I19" i="68"/>
  <c r="E17" i="68"/>
  <c r="F15" i="68"/>
  <c r="E15" i="68"/>
  <c r="D15" i="68"/>
  <c r="C15" i="68"/>
  <c r="AJ9" i="68"/>
  <c r="AJ12" i="68"/>
  <c r="AI9" i="68"/>
  <c r="AI12" i="68"/>
  <c r="AH9" i="68"/>
  <c r="AH12" i="68"/>
  <c r="AG9" i="68"/>
  <c r="AG12" i="68"/>
  <c r="AF9" i="68"/>
  <c r="AF12" i="68"/>
  <c r="AE9" i="68"/>
  <c r="AE12" i="68"/>
  <c r="AD9" i="68"/>
  <c r="AD12" i="68"/>
  <c r="AC9" i="68"/>
  <c r="AC12" i="68"/>
  <c r="AB9" i="68"/>
  <c r="AB12" i="68"/>
  <c r="AA9" i="68"/>
  <c r="AA12" i="68"/>
  <c r="Z9" i="68"/>
  <c r="Z12" i="68"/>
  <c r="Y12" i="68"/>
  <c r="N12" i="68"/>
  <c r="M12" i="68"/>
  <c r="C12" i="68"/>
  <c r="N11" i="68"/>
  <c r="M11" i="68"/>
  <c r="C10" i="68"/>
  <c r="C11" i="68"/>
  <c r="E11" i="68"/>
  <c r="AJ10" i="68"/>
  <c r="AI10" i="68"/>
  <c r="AH10" i="68"/>
  <c r="AG10" i="68"/>
  <c r="AF10" i="68"/>
  <c r="AE10" i="68"/>
  <c r="AD10" i="68"/>
  <c r="AC10" i="68"/>
  <c r="AB10" i="68"/>
  <c r="AA10" i="68"/>
  <c r="Z10" i="68"/>
  <c r="Y10" i="68"/>
  <c r="N10" i="68"/>
  <c r="M10" i="68"/>
  <c r="E10" i="68"/>
  <c r="E9" i="68"/>
  <c r="C9" i="68"/>
  <c r="N8" i="68"/>
  <c r="M8" i="68"/>
  <c r="E8" i="68"/>
  <c r="X7" i="68"/>
  <c r="N7" i="68"/>
  <c r="M7" i="68"/>
  <c r="A7" i="68"/>
  <c r="N6" i="68"/>
  <c r="M6" i="68"/>
  <c r="N5" i="68"/>
  <c r="M5" i="68"/>
  <c r="N4" i="68"/>
  <c r="M4" i="68"/>
  <c r="N3" i="68"/>
  <c r="M3" i="68"/>
  <c r="D1" i="68"/>
  <c r="N2" i="68"/>
  <c r="M2" i="68"/>
  <c r="N1" i="68"/>
  <c r="M1" i="68"/>
  <c r="K7" i="1"/>
  <c r="M7" i="1" s="1"/>
  <c r="O7" i="1" s="1"/>
  <c r="K8" i="1"/>
  <c r="M8" i="1" s="1"/>
  <c r="O8" i="1" s="1"/>
  <c r="K10" i="1"/>
  <c r="M10" i="1" s="1"/>
  <c r="O10" i="1" s="1"/>
  <c r="K11" i="1"/>
  <c r="M11" i="1" s="1"/>
  <c r="O11" i="1" s="1"/>
  <c r="K12" i="1"/>
  <c r="M12" i="1" s="1"/>
  <c r="O12" i="1" s="1"/>
  <c r="K13" i="1"/>
  <c r="M13" i="1" s="1"/>
  <c r="O13" i="1" s="1"/>
  <c r="P13" i="1" s="1"/>
  <c r="F14" i="43"/>
  <c r="F15" i="43"/>
  <c r="BM13" i="3"/>
  <c r="BN13" i="3"/>
  <c r="BO13" i="3"/>
  <c r="BP13" i="3"/>
  <c r="BL13" i="3"/>
  <c r="AZ13" i="3"/>
  <c r="BM14" i="3"/>
  <c r="BN14" i="3"/>
  <c r="BO14" i="3"/>
  <c r="BP14" i="3"/>
  <c r="BL14" i="3"/>
  <c r="AZ14" i="3"/>
  <c r="BM15" i="3"/>
  <c r="BN15" i="3"/>
  <c r="BO15" i="3"/>
  <c r="BP15" i="3"/>
  <c r="BL15" i="3"/>
  <c r="AZ15" i="3"/>
  <c r="BM16" i="3"/>
  <c r="BN16" i="3"/>
  <c r="BO16" i="3"/>
  <c r="BP16" i="3"/>
  <c r="BL16" i="3"/>
  <c r="AZ16" i="3" s="1"/>
  <c r="BM17" i="3"/>
  <c r="BN17" i="3"/>
  <c r="BO17" i="3"/>
  <c r="BP17" i="3"/>
  <c r="BM18" i="3"/>
  <c r="BN18" i="3"/>
  <c r="BO18" i="3"/>
  <c r="BP18" i="3"/>
  <c r="BL18" i="3"/>
  <c r="AZ18" i="3"/>
  <c r="BM19" i="3"/>
  <c r="BN19" i="3"/>
  <c r="BO19" i="3"/>
  <c r="BP19" i="3"/>
  <c r="BL19" i="3"/>
  <c r="AZ19" i="3"/>
  <c r="BM20" i="3"/>
  <c r="BN20" i="3"/>
  <c r="BO20" i="3"/>
  <c r="BP20" i="3"/>
  <c r="BM21" i="3"/>
  <c r="BN21" i="3"/>
  <c r="BL21" i="3" s="1"/>
  <c r="AZ21" i="3" s="1"/>
  <c r="BO21" i="3"/>
  <c r="BP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E16" i="43"/>
  <c r="F17" i="43"/>
  <c r="F19" i="43"/>
  <c r="F20" i="43"/>
  <c r="F27" i="43"/>
  <c r="C27" i="43"/>
  <c r="C20" i="43"/>
  <c r="F31" i="43"/>
  <c r="C6" i="43"/>
  <c r="C31" i="43"/>
  <c r="D19" i="4"/>
  <c r="F6" i="1"/>
  <c r="I20" i="46"/>
  <c r="J20" i="46"/>
  <c r="P7" i="1"/>
  <c r="O9" i="1"/>
  <c r="P9" i="1" s="1"/>
  <c r="P10" i="1"/>
  <c r="K1" i="12"/>
  <c r="F14" i="12"/>
  <c r="F15" i="12"/>
  <c r="E16" i="12"/>
  <c r="F17" i="12"/>
  <c r="E19" i="12"/>
  <c r="BB11" i="3"/>
  <c r="BC11" i="3"/>
  <c r="BD11" i="3"/>
  <c r="BE11" i="3"/>
  <c r="BF11" i="3"/>
  <c r="BG11" i="3"/>
  <c r="BH11" i="3"/>
  <c r="BI11" i="3"/>
  <c r="BJ11" i="3"/>
  <c r="BK11" i="3"/>
  <c r="BM11" i="3"/>
  <c r="BN11" i="3"/>
  <c r="BO11" i="3"/>
  <c r="BP11" i="3"/>
  <c r="BQ11" i="3"/>
  <c r="BR11" i="3"/>
  <c r="BS11" i="3"/>
  <c r="BT11" i="3"/>
  <c r="F5" i="3"/>
  <c r="H13" i="3"/>
  <c r="G13" i="3" s="1"/>
  <c r="H14" i="3"/>
  <c r="G14" i="3" s="1"/>
  <c r="H15" i="3"/>
  <c r="G15" i="3" s="1"/>
  <c r="H16" i="3"/>
  <c r="G16" i="3"/>
  <c r="H17" i="3"/>
  <c r="G17" i="3"/>
  <c r="H18" i="3"/>
  <c r="G18" i="3"/>
  <c r="H19" i="3"/>
  <c r="G19" i="3" s="1"/>
  <c r="H20" i="3"/>
  <c r="G20" i="3" s="1"/>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T5" i="3"/>
  <c r="BM5" i="3"/>
  <c r="BO5" i="3"/>
  <c r="E5" i="6"/>
  <c r="E21" i="12"/>
  <c r="E22" i="12"/>
  <c r="F23" i="12"/>
  <c r="F24" i="12"/>
  <c r="B24" i="1"/>
  <c r="F29" i="12"/>
  <c r="F25" i="12"/>
  <c r="C25" i="12"/>
  <c r="G19" i="46"/>
  <c r="M20" i="46"/>
  <c r="M19" i="46"/>
  <c r="C19" i="46"/>
  <c r="G2" i="46"/>
  <c r="I2" i="46"/>
  <c r="M9" i="46"/>
  <c r="C6" i="46"/>
  <c r="G17" i="46"/>
  <c r="H17" i="46"/>
  <c r="I17" i="46"/>
  <c r="J17" i="46"/>
  <c r="C17" i="46"/>
  <c r="C15" i="46"/>
  <c r="D15" i="46"/>
  <c r="E15" i="46"/>
  <c r="F15" i="46"/>
  <c r="C12" i="46"/>
  <c r="D71" i="46"/>
  <c r="D75" i="46"/>
  <c r="D76" i="46"/>
  <c r="D77" i="46"/>
  <c r="F39" i="46"/>
  <c r="F38" i="46"/>
  <c r="F37" i="46"/>
  <c r="D5" i="46"/>
  <c r="F36" i="46"/>
  <c r="F35" i="46"/>
  <c r="F34" i="46"/>
  <c r="G1" i="15"/>
  <c r="J50" i="15"/>
  <c r="J51" i="15"/>
  <c r="M47" i="15"/>
  <c r="G1" i="44"/>
  <c r="M48" i="44"/>
  <c r="J51" i="44"/>
  <c r="J52" i="44"/>
  <c r="C18" i="46"/>
  <c r="G3" i="46"/>
  <c r="K101" i="46" s="1"/>
  <c r="K99" i="46"/>
  <c r="K108" i="46"/>
  <c r="K100" i="46"/>
  <c r="E22" i="46"/>
  <c r="F33" i="46"/>
  <c r="C10" i="46"/>
  <c r="C11" i="46" s="1"/>
  <c r="E17"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99" i="46"/>
  <c r="E100" i="46"/>
  <c r="E108" i="46"/>
  <c r="F47" i="46"/>
  <c r="F58" i="46"/>
  <c r="N9" i="46"/>
  <c r="F69" i="46"/>
  <c r="F80" i="46"/>
  <c r="F99" i="46"/>
  <c r="F100" i="46"/>
  <c r="F108" i="46"/>
  <c r="F113" i="46"/>
  <c r="H33" i="46"/>
  <c r="H34" i="46"/>
  <c r="H35" i="46"/>
  <c r="H36" i="46"/>
  <c r="H37" i="46"/>
  <c r="H38" i="46"/>
  <c r="H39" i="46"/>
  <c r="C9" i="46"/>
  <c r="C7" i="46"/>
  <c r="C99" i="46"/>
  <c r="C100" i="46"/>
  <c r="C108" i="46"/>
  <c r="D99" i="46"/>
  <c r="D100" i="46"/>
  <c r="D108" i="46"/>
  <c r="H113" i="46"/>
  <c r="L4" i="9"/>
  <c r="M4" i="9"/>
  <c r="A30" i="64" s="1"/>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S2" i="31"/>
  <c r="M2" i="31"/>
  <c r="N2" i="31"/>
  <c r="O2" i="31"/>
  <c r="P2" i="31"/>
  <c r="Q2" i="31"/>
  <c r="R2" i="31"/>
  <c r="C3"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U24" i="59"/>
  <c r="S24" i="59"/>
  <c r="U20" i="59"/>
  <c r="S20" i="59"/>
  <c r="S16" i="59"/>
  <c r="U16" i="59"/>
  <c r="B35" i="59"/>
  <c r="B36" i="59"/>
  <c r="S36" i="59"/>
  <c r="E35" i="59"/>
  <c r="E36" i="59"/>
  <c r="U36" i="59"/>
  <c r="S52"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L99" i="46"/>
  <c r="M99" i="46"/>
  <c r="M108" i="46"/>
  <c r="N99" i="46"/>
  <c r="N108" i="46"/>
  <c r="L108" i="46"/>
  <c r="L100" i="46"/>
  <c r="K58" i="46"/>
  <c r="J58" i="46"/>
  <c r="K50" i="46"/>
  <c r="B83" i="46"/>
  <c r="B82" i="46"/>
  <c r="B71" i="46"/>
  <c r="B60" i="46"/>
  <c r="B49" i="46"/>
  <c r="M87" i="46"/>
  <c r="N87" i="46" s="1"/>
  <c r="K87" i="46"/>
  <c r="J87" i="46" s="1"/>
  <c r="M86" i="46"/>
  <c r="N86" i="46" s="1"/>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D74" i="46" s="1"/>
  <c r="J74" i="46"/>
  <c r="M73" i="46"/>
  <c r="K73" i="46"/>
  <c r="J73" i="46" s="1"/>
  <c r="M72" i="46"/>
  <c r="N72" i="46" s="1"/>
  <c r="K72" i="46"/>
  <c r="D72" i="46" s="1"/>
  <c r="M71" i="46"/>
  <c r="N71" i="46" s="1"/>
  <c r="K71" i="46"/>
  <c r="J71" i="46" s="1"/>
  <c r="M70" i="46"/>
  <c r="D70" i="46" s="1"/>
  <c r="K70" i="46"/>
  <c r="J70" i="46" s="1"/>
  <c r="M69" i="46"/>
  <c r="N69" i="46" s="1"/>
  <c r="D69" i="46" s="1"/>
  <c r="K69" i="46"/>
  <c r="J69" i="46" s="1"/>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73" i="46"/>
  <c r="D73" i="46" s="1"/>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F10" i="1"/>
  <c r="AP10" i="1" s="1"/>
  <c r="D10" i="1"/>
  <c r="R12" i="1"/>
  <c r="B13" i="1"/>
  <c r="E13" i="1" s="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B2" i="52"/>
  <c r="E22" i="52" s="1"/>
  <c r="N12" i="46"/>
  <c r="A7" i="46"/>
  <c r="F41" i="4"/>
  <c r="J52" i="40"/>
  <c r="H61" i="49"/>
  <c r="D38" i="4"/>
  <c r="C39" i="4"/>
  <c r="C35" i="4"/>
  <c r="C43" i="9"/>
  <c r="K47" i="9"/>
  <c r="B65" i="63"/>
  <c r="I73" i="9"/>
  <c r="F73" i="9"/>
  <c r="P73" i="9"/>
  <c r="D107" i="9"/>
  <c r="C107" i="9"/>
  <c r="C105" i="9"/>
  <c r="C110" i="9"/>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B2" i="21" s="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AP6"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c r="C53" i="10"/>
  <c r="A25" i="64"/>
  <c r="A18" i="51"/>
  <c r="B14" i="63"/>
  <c r="F3" i="35"/>
  <c r="K1" i="43"/>
  <c r="H22" i="46"/>
  <c r="H48" i="46"/>
  <c r="H52" i="46"/>
  <c r="H53" i="46"/>
  <c r="G28" i="12"/>
  <c r="G22" i="43"/>
  <c r="G26" i="12"/>
  <c r="D24" i="44"/>
  <c r="D26" i="44"/>
  <c r="G27" i="12"/>
  <c r="G23" i="43"/>
  <c r="G21" i="43"/>
  <c r="H54" i="46"/>
  <c r="H50" i="46"/>
  <c r="H55" i="46"/>
  <c r="H51" i="46"/>
  <c r="N8" i="46"/>
  <c r="N4" i="46"/>
  <c r="N1" i="46"/>
  <c r="M2" i="46"/>
  <c r="N11" i="46"/>
  <c r="M4" i="46"/>
  <c r="M12" i="46"/>
  <c r="M8" i="46"/>
  <c r="M3" i="46"/>
  <c r="M5" i="46"/>
  <c r="H6" i="48"/>
  <c r="H15" i="48"/>
  <c r="H5" i="48"/>
  <c r="H14" i="48"/>
  <c r="H13" i="48"/>
  <c r="H11" i="48"/>
  <c r="B78"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s="1"/>
  <c r="B12" i="1"/>
  <c r="E12"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AE13" i="46" s="1"/>
  <c r="AJ11" i="46"/>
  <c r="AJ13" i="46" s="1"/>
  <c r="S6" i="46"/>
  <c r="S5" i="46"/>
  <c r="AF11" i="46"/>
  <c r="AF13" i="46" s="1"/>
  <c r="S2" i="46"/>
  <c r="AI11" i="46"/>
  <c r="AI13" i="46" s="1"/>
  <c r="AA11" i="46"/>
  <c r="AA13" i="46" s="1"/>
  <c r="S3" i="46"/>
  <c r="S7" i="46"/>
  <c r="AH11" i="46"/>
  <c r="AH13" i="46" s="1"/>
  <c r="AD11" i="46"/>
  <c r="AD13" i="46" s="1"/>
  <c r="Z11" i="46"/>
  <c r="Z13" i="46" s="1"/>
  <c r="S4" i="46"/>
  <c r="Y11" i="46"/>
  <c r="Y13" i="46" s="1"/>
  <c r="AG11" i="46"/>
  <c r="AG13" i="46" s="1"/>
  <c r="AC11" i="46"/>
  <c r="AC13" i="46" s="1"/>
  <c r="N101" i="46"/>
  <c r="N109" i="46" s="1"/>
  <c r="Z7" i="46"/>
  <c r="H101" i="46"/>
  <c r="H104" i="46" s="1"/>
  <c r="M101" i="46"/>
  <c r="M107" i="46" s="1"/>
  <c r="L101" i="46"/>
  <c r="L106" i="46" s="1"/>
  <c r="I101" i="46"/>
  <c r="I102" i="46" s="1"/>
  <c r="N104" i="45"/>
  <c r="J101" i="46"/>
  <c r="J104"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3" i="40"/>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66" i="36"/>
  <c r="J18" i="36"/>
  <c r="AE8" i="1"/>
  <c r="AE7" i="1"/>
  <c r="AE6" i="1"/>
  <c r="H7" i="37"/>
  <c r="J7" i="37"/>
  <c r="F7" i="37"/>
  <c r="AA7" i="37"/>
  <c r="R42" i="37"/>
  <c r="E42" i="37"/>
  <c r="G103" i="46"/>
  <c r="I103" i="46"/>
  <c r="M105" i="46"/>
  <c r="U7" i="35"/>
  <c r="AC7" i="36"/>
  <c r="V36" i="36"/>
  <c r="I36" i="36"/>
  <c r="I40" i="36"/>
  <c r="J40" i="36"/>
  <c r="W18" i="36"/>
  <c r="AC18" i="36"/>
  <c r="U7" i="36"/>
  <c r="G41" i="36"/>
  <c r="H41" i="36"/>
  <c r="W7" i="35"/>
  <c r="S7" i="37"/>
  <c r="U7" i="34"/>
  <c r="E48" i="33"/>
  <c r="E52" i="33"/>
  <c r="F52" i="33"/>
  <c r="D12" i="11"/>
  <c r="C12" i="11" s="1"/>
  <c r="L20" i="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E46" i="37"/>
  <c r="F46" i="37"/>
  <c r="C48" i="33"/>
  <c r="C49" i="33"/>
  <c r="B3" i="33"/>
  <c r="B2" i="33"/>
  <c r="U7" i="37"/>
  <c r="AB7" i="37"/>
  <c r="T42" i="37"/>
  <c r="G42" i="37"/>
  <c r="J22" i="46"/>
  <c r="E41" i="36"/>
  <c r="F41" i="36"/>
  <c r="I47" i="37"/>
  <c r="J47" i="37"/>
  <c r="G47" i="37"/>
  <c r="H47" i="37"/>
  <c r="E53" i="33"/>
  <c r="F53" i="33"/>
  <c r="I53" i="33"/>
  <c r="J53" i="33"/>
  <c r="E38" i="35"/>
  <c r="I43" i="35"/>
  <c r="J43" i="35"/>
  <c r="I41" i="36"/>
  <c r="J41" i="36"/>
  <c r="R37" i="36"/>
  <c r="R43" i="37"/>
  <c r="R50" i="34"/>
  <c r="C50" i="34"/>
  <c r="B3" i="34"/>
  <c r="B2" i="34"/>
  <c r="E49" i="34"/>
  <c r="C39" i="35"/>
  <c r="B3" i="35"/>
  <c r="AC7" i="21"/>
  <c r="V48" i="21"/>
  <c r="I48" i="21"/>
  <c r="W7" i="21"/>
  <c r="U7" i="21"/>
  <c r="AB7" i="21"/>
  <c r="T48" i="21"/>
  <c r="G48" i="21"/>
  <c r="S7" i="21"/>
  <c r="AA7" i="21"/>
  <c r="R48" i="21"/>
  <c r="F72" i="39"/>
  <c r="G70" i="39"/>
  <c r="F67" i="40"/>
  <c r="G65" i="40"/>
  <c r="G46" i="37"/>
  <c r="H46" i="37"/>
  <c r="E47" i="37"/>
  <c r="F47" i="37"/>
  <c r="E43" i="35"/>
  <c r="F43" i="35"/>
  <c r="E42" i="35"/>
  <c r="F42" i="35"/>
  <c r="C37" i="36"/>
  <c r="B3" i="36"/>
  <c r="C36" i="36"/>
  <c r="C43" i="37"/>
  <c r="B3" i="37"/>
  <c r="B2" i="37"/>
  <c r="C42" i="37"/>
  <c r="C49" i="34"/>
  <c r="E54" i="34"/>
  <c r="F54" i="34"/>
  <c r="I54" i="34"/>
  <c r="J54" i="34"/>
  <c r="E53" i="34"/>
  <c r="F53" i="34"/>
  <c r="I52" i="21"/>
  <c r="J52" i="21"/>
  <c r="E48" i="21"/>
  <c r="R49" i="21"/>
  <c r="G52" i="21"/>
  <c r="H52" i="21"/>
  <c r="G53" i="21"/>
  <c r="H53" i="21"/>
  <c r="G67" i="40"/>
  <c r="H65" i="40"/>
  <c r="G72" i="39"/>
  <c r="H70" i="39"/>
  <c r="E53" i="21"/>
  <c r="F53" i="21"/>
  <c r="E52" i="21"/>
  <c r="F52" i="21"/>
  <c r="C48" i="21"/>
  <c r="C49" i="21"/>
  <c r="B3" i="21"/>
  <c r="I53" i="21"/>
  <c r="J53" i="21"/>
  <c r="I70" i="39"/>
  <c r="H72" i="39"/>
  <c r="I65" i="40"/>
  <c r="H67" i="40"/>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H9" i="39"/>
  <c r="F9" i="39"/>
  <c r="S9" i="39"/>
  <c r="AA9" i="39"/>
  <c r="R49" i="39"/>
  <c r="R50" i="39" s="1"/>
  <c r="W9" i="39"/>
  <c r="AC9" i="39"/>
  <c r="V49" i="39"/>
  <c r="I49" i="39" s="1"/>
  <c r="AA9" i="40"/>
  <c r="R44" i="40"/>
  <c r="R45" i="40" s="1"/>
  <c r="S9" i="40"/>
  <c r="U9" i="39"/>
  <c r="AB9" i="39"/>
  <c r="T49" i="39"/>
  <c r="G49" i="39" s="1"/>
  <c r="AB9" i="40"/>
  <c r="T44" i="40"/>
  <c r="G44" i="40" s="1"/>
  <c r="U9" i="40"/>
  <c r="AC9" i="40"/>
  <c r="V44" i="40"/>
  <c r="I44" i="40" s="1"/>
  <c r="W9" i="40"/>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G106" i="46" l="1"/>
  <c r="G102" i="46"/>
  <c r="F29" i="6"/>
  <c r="M104" i="46"/>
  <c r="I105" i="46"/>
  <c r="J102" i="46"/>
  <c r="J109" i="46"/>
  <c r="BG5" i="3"/>
  <c r="M103" i="46"/>
  <c r="I106" i="46"/>
  <c r="I104" i="46"/>
  <c r="J107" i="46"/>
  <c r="BP5" i="3"/>
  <c r="M106" i="46"/>
  <c r="M109" i="46"/>
  <c r="M102" i="46"/>
  <c r="I107" i="46"/>
  <c r="I109" i="46"/>
  <c r="G105" i="46"/>
  <c r="G109" i="46"/>
  <c r="G107" i="46"/>
  <c r="J106" i="46"/>
  <c r="J105" i="46"/>
  <c r="J103" i="46"/>
  <c r="BL17" i="3"/>
  <c r="AZ17" i="3" s="1"/>
  <c r="B2" i="35"/>
  <c r="BN5" i="3"/>
  <c r="G29" i="6" s="1"/>
  <c r="E29" i="6" s="1"/>
  <c r="BR5" i="3"/>
  <c r="BS5" i="3"/>
  <c r="BQ5" i="3"/>
  <c r="BJ5" i="3"/>
  <c r="BI5" i="3"/>
  <c r="BH5" i="3"/>
  <c r="BT5" i="3"/>
  <c r="G28" i="6" s="1"/>
  <c r="G30" i="6" s="1"/>
  <c r="G31" i="6" s="1"/>
  <c r="BL20" i="3"/>
  <c r="E9" i="52"/>
  <c r="B6" i="52"/>
  <c r="B10" i="52"/>
  <c r="B23" i="52"/>
  <c r="B4" i="52"/>
  <c r="E11" i="52"/>
  <c r="C18" i="9"/>
  <c r="D18" i="9" s="1"/>
  <c r="M44" i="9" s="1"/>
  <c r="A30" i="51"/>
  <c r="B22" i="63" s="1"/>
  <c r="C16" i="46"/>
  <c r="E5" i="52"/>
  <c r="B16" i="52"/>
  <c r="E10" i="52"/>
  <c r="C4" i="4" s="1"/>
  <c r="B20" i="55" s="1"/>
  <c r="B70" i="63" s="1"/>
  <c r="B8" i="52"/>
  <c r="B9" i="52"/>
  <c r="B7" i="52"/>
  <c r="N70" i="46"/>
  <c r="J72" i="46"/>
  <c r="C5" i="46"/>
  <c r="E69" i="46"/>
  <c r="B67" i="46" s="1"/>
  <c r="C24" i="46" s="1"/>
  <c r="K15" i="1"/>
  <c r="AZ20" i="3"/>
  <c r="BL5" i="3"/>
  <c r="E14" i="6"/>
  <c r="E66" i="39" s="1"/>
  <c r="E13" i="6"/>
  <c r="E65" i="39" s="1"/>
  <c r="E11" i="6"/>
  <c r="D101" i="46"/>
  <c r="D102" i="46" s="1"/>
  <c r="F101" i="46"/>
  <c r="F102" i="46" s="1"/>
  <c r="E9" i="46"/>
  <c r="E11" i="46"/>
  <c r="E8" i="46"/>
  <c r="E10" i="46"/>
  <c r="E49" i="39"/>
  <c r="E53" i="39" s="1"/>
  <c r="F53" i="39" s="1"/>
  <c r="F105" i="46"/>
  <c r="B113" i="46"/>
  <c r="B118" i="46" s="1"/>
  <c r="C118" i="46" s="1"/>
  <c r="E101" i="46"/>
  <c r="E102" i="46" s="1"/>
  <c r="F22" i="46"/>
  <c r="K109" i="46"/>
  <c r="K107" i="46"/>
  <c r="K103" i="46"/>
  <c r="K104" i="46"/>
  <c r="K105" i="46"/>
  <c r="K102" i="46"/>
  <c r="K106" i="46"/>
  <c r="I118" i="46"/>
  <c r="J118" i="46" s="1"/>
  <c r="K118" i="46" s="1"/>
  <c r="L118" i="46" s="1"/>
  <c r="M118" i="46" s="1"/>
  <c r="C101" i="46"/>
  <c r="C107" i="46" s="1"/>
  <c r="F107" i="46"/>
  <c r="G22" i="46"/>
  <c r="C23" i="46"/>
  <c r="N105" i="68"/>
  <c r="F101" i="68"/>
  <c r="F104" i="68" s="1"/>
  <c r="N103" i="68"/>
  <c r="F105" i="68"/>
  <c r="N107" i="68"/>
  <c r="J101" i="68"/>
  <c r="J105" i="68" s="1"/>
  <c r="E61" i="40"/>
  <c r="H107" i="46"/>
  <c r="L105" i="46"/>
  <c r="N102" i="46"/>
  <c r="E105" i="46"/>
  <c r="I48" i="40"/>
  <c r="J48" i="40" s="1"/>
  <c r="G48" i="40"/>
  <c r="H48" i="40" s="1"/>
  <c r="G49" i="40"/>
  <c r="H49" i="40" s="1"/>
  <c r="F106" i="46"/>
  <c r="E109" i="46"/>
  <c r="E103" i="46"/>
  <c r="E44" i="40"/>
  <c r="I49" i="40" s="1"/>
  <c r="J49" i="40" s="1"/>
  <c r="H103" i="46"/>
  <c r="H102" i="46"/>
  <c r="L104" i="46"/>
  <c r="L102" i="46"/>
  <c r="N107" i="46"/>
  <c r="N105" i="46"/>
  <c r="P12" i="1"/>
  <c r="AZ5" i="3"/>
  <c r="E3" i="6" s="1"/>
  <c r="Z7" i="68"/>
  <c r="F22" i="68"/>
  <c r="N102" i="68"/>
  <c r="N104" i="68"/>
  <c r="N106" i="68"/>
  <c r="D101" i="68"/>
  <c r="D109" i="68" s="1"/>
  <c r="H101" i="68"/>
  <c r="H109" i="68" s="1"/>
  <c r="L101" i="68"/>
  <c r="L109" i="68" s="1"/>
  <c r="I53" i="39"/>
  <c r="J53" i="39" s="1"/>
  <c r="H109" i="46"/>
  <c r="H106" i="46"/>
  <c r="H105" i="46"/>
  <c r="L103" i="46"/>
  <c r="L109" i="46"/>
  <c r="L107" i="46"/>
  <c r="N106" i="46"/>
  <c r="N104" i="46"/>
  <c r="N103" i="46"/>
  <c r="D107" i="46"/>
  <c r="P11" i="1"/>
  <c r="P8" i="1"/>
  <c r="Y11" i="68"/>
  <c r="Y13" i="68" s="1"/>
  <c r="J22" i="68"/>
  <c r="E22" i="68"/>
  <c r="H102" i="68"/>
  <c r="C101" i="68"/>
  <c r="C109" i="68" s="1"/>
  <c r="E101" i="68"/>
  <c r="E109" i="68" s="1"/>
  <c r="G101" i="68"/>
  <c r="G109" i="68" s="1"/>
  <c r="I101" i="68"/>
  <c r="I109" i="68" s="1"/>
  <c r="K101" i="68"/>
  <c r="K109" i="68" s="1"/>
  <c r="M101" i="68"/>
  <c r="M109" i="68" s="1"/>
  <c r="G53" i="39"/>
  <c r="H53" i="39" s="1"/>
  <c r="G54" i="39"/>
  <c r="H54" i="39" s="1"/>
  <c r="E54" i="39"/>
  <c r="F54" i="39" s="1"/>
  <c r="C45" i="40"/>
  <c r="C44" i="40"/>
  <c r="C50" i="39"/>
  <c r="C49" i="39"/>
  <c r="G5" i="3"/>
  <c r="B3" i="3" s="1"/>
  <c r="D106" i="46"/>
  <c r="E104" i="46"/>
  <c r="H5" i="3"/>
  <c r="I118" i="68"/>
  <c r="J118" i="68" s="1"/>
  <c r="K118" i="68" s="1"/>
  <c r="L118" i="68" s="1"/>
  <c r="M118" i="68" s="1"/>
  <c r="B118" i="68"/>
  <c r="C118" i="68" s="1"/>
  <c r="I117" i="68"/>
  <c r="J117" i="68" s="1"/>
  <c r="K117" i="68" s="1"/>
  <c r="L117" i="68" s="1"/>
  <c r="M117" i="68" s="1"/>
  <c r="B117" i="68"/>
  <c r="C117" i="68" s="1"/>
  <c r="I116" i="68"/>
  <c r="J116" i="68" s="1"/>
  <c r="K116" i="68" s="1"/>
  <c r="L116" i="68" s="1"/>
  <c r="M116" i="68" s="1"/>
  <c r="B116" i="68"/>
  <c r="C116" i="68" s="1"/>
  <c r="I115" i="68"/>
  <c r="J115" i="68" s="1"/>
  <c r="K115" i="68" s="1"/>
  <c r="L115" i="68" s="1"/>
  <c r="M115" i="68" s="1"/>
  <c r="B115" i="68"/>
  <c r="G118" i="68"/>
  <c r="H118" i="68" s="1"/>
  <c r="D118" i="68"/>
  <c r="E118" i="68" s="1"/>
  <c r="F118" i="68" s="1"/>
  <c r="D117" i="68"/>
  <c r="E117" i="68" s="1"/>
  <c r="F117" i="68" s="1"/>
  <c r="G117" i="68" s="1"/>
  <c r="H117" i="68" s="1"/>
  <c r="D116" i="68"/>
  <c r="E116" i="68" s="1"/>
  <c r="F116" i="68" s="1"/>
  <c r="G116" i="68" s="1"/>
  <c r="H116" i="68" s="1"/>
  <c r="D115" i="68"/>
  <c r="E115" i="68" s="1"/>
  <c r="F115" i="68" s="1"/>
  <c r="G115" i="68" s="1"/>
  <c r="H115" i="68" s="1"/>
  <c r="B113" i="69"/>
  <c r="E22" i="69"/>
  <c r="F22" i="69"/>
  <c r="M101" i="69"/>
  <c r="K101" i="69"/>
  <c r="I101" i="69"/>
  <c r="G101" i="69"/>
  <c r="E101" i="69"/>
  <c r="C101" i="69"/>
  <c r="G22" i="69"/>
  <c r="AJ11" i="69"/>
  <c r="AJ13" i="69" s="1"/>
  <c r="AI11" i="69"/>
  <c r="AI13" i="69" s="1"/>
  <c r="AH11" i="69"/>
  <c r="AH13" i="69" s="1"/>
  <c r="AG11" i="69"/>
  <c r="AG13" i="69" s="1"/>
  <c r="AF11" i="69"/>
  <c r="AF13" i="69" s="1"/>
  <c r="AE11" i="69"/>
  <c r="AE13" i="69" s="1"/>
  <c r="AD11" i="69"/>
  <c r="AD13" i="69" s="1"/>
  <c r="AC11" i="69"/>
  <c r="AC13" i="69" s="1"/>
  <c r="AB11" i="69"/>
  <c r="AB13" i="69" s="1"/>
  <c r="AA11" i="69"/>
  <c r="AA13" i="69" s="1"/>
  <c r="Z11" i="69"/>
  <c r="Z13" i="69" s="1"/>
  <c r="N101" i="69"/>
  <c r="L101" i="69"/>
  <c r="J101" i="69"/>
  <c r="H101" i="69"/>
  <c r="F101" i="69"/>
  <c r="D101" i="69"/>
  <c r="H22" i="69"/>
  <c r="J22" i="69"/>
  <c r="Y11" i="69"/>
  <c r="Y13" i="69" s="1"/>
  <c r="Z7" i="69"/>
  <c r="Z11" i="68"/>
  <c r="Z13" i="68" s="1"/>
  <c r="AA11" i="68"/>
  <c r="AA13" i="68" s="1"/>
  <c r="AB11" i="68"/>
  <c r="AB13" i="68" s="1"/>
  <c r="AC11" i="68"/>
  <c r="AC13" i="68" s="1"/>
  <c r="AD11" i="68"/>
  <c r="AD13" i="68" s="1"/>
  <c r="AE11" i="68"/>
  <c r="AE13" i="68" s="1"/>
  <c r="AF11" i="68"/>
  <c r="AF13" i="68" s="1"/>
  <c r="AG11" i="68"/>
  <c r="AG13" i="68" s="1"/>
  <c r="AH11" i="68"/>
  <c r="AH13" i="68" s="1"/>
  <c r="AI11" i="68"/>
  <c r="AI13" i="68" s="1"/>
  <c r="AJ11" i="68"/>
  <c r="AJ13" i="68" s="1"/>
  <c r="H22" i="68"/>
  <c r="G22" i="68"/>
  <c r="C23" i="68"/>
  <c r="E102" i="68"/>
  <c r="I103" i="68"/>
  <c r="M104" i="68"/>
  <c r="E106" i="68"/>
  <c r="I107" i="68"/>
  <c r="E4" i="52"/>
  <c r="E16" i="52"/>
  <c r="B11" i="52"/>
  <c r="E8" i="52"/>
  <c r="B5" i="52"/>
  <c r="B13" i="52"/>
  <c r="B22" i="52"/>
  <c r="E21" i="52"/>
  <c r="B14" i="52"/>
  <c r="E6" i="52"/>
  <c r="E4" i="4" s="1"/>
  <c r="B21" i="55" s="1"/>
  <c r="B72" i="63" s="1"/>
  <c r="E7" i="52"/>
  <c r="E7" i="67"/>
  <c r="E13" i="67"/>
  <c r="F9" i="44"/>
  <c r="F36" i="70"/>
  <c r="F43" i="15"/>
  <c r="J17" i="44"/>
  <c r="F40" i="15"/>
  <c r="L47" i="15"/>
  <c r="B9" i="67"/>
  <c r="F13" i="15"/>
  <c r="M29" i="15"/>
  <c r="M9" i="70"/>
  <c r="F14" i="67"/>
  <c r="E12" i="67"/>
  <c r="F16" i="70"/>
  <c r="M31" i="44"/>
  <c r="L48" i="15"/>
  <c r="J7" i="65"/>
  <c r="M22" i="15"/>
  <c r="F41" i="70"/>
  <c r="M28" i="70"/>
  <c r="B12" i="67"/>
  <c r="F11" i="44"/>
  <c r="F7" i="70"/>
  <c r="M26" i="44"/>
  <c r="F38" i="15"/>
  <c r="I5" i="65"/>
  <c r="M24" i="70"/>
  <c r="I3" i="65"/>
  <c r="F40" i="44"/>
  <c r="E10" i="67"/>
  <c r="F46" i="44"/>
  <c r="I6" i="65"/>
  <c r="F7" i="15"/>
  <c r="F37" i="70"/>
  <c r="J36" i="70"/>
  <c r="M26" i="15"/>
  <c r="F6" i="70"/>
  <c r="F8" i="15"/>
  <c r="B13" i="67"/>
  <c r="F42" i="15"/>
  <c r="F13" i="67"/>
  <c r="J15" i="15"/>
  <c r="N5" i="65"/>
  <c r="F37" i="15"/>
  <c r="M6" i="15"/>
  <c r="N4" i="65"/>
  <c r="F26" i="70"/>
  <c r="F13" i="70"/>
  <c r="M28" i="15"/>
  <c r="J36" i="15"/>
  <c r="F15" i="44"/>
  <c r="F26" i="15"/>
  <c r="M11" i="44"/>
  <c r="M10" i="44"/>
  <c r="F45" i="44"/>
  <c r="M28" i="44"/>
  <c r="M26" i="70"/>
  <c r="F8" i="44"/>
  <c r="F33" i="12"/>
  <c r="B14" i="67"/>
  <c r="M24" i="44"/>
  <c r="F42" i="70"/>
  <c r="F38" i="70"/>
  <c r="F10" i="44"/>
  <c r="E8" i="67"/>
  <c r="B10" i="67"/>
  <c r="L47" i="70"/>
  <c r="J15" i="70"/>
  <c r="B7" i="67"/>
  <c r="L48" i="44"/>
  <c r="M30" i="44"/>
  <c r="F43" i="70"/>
  <c r="M25" i="44"/>
  <c r="F28" i="44"/>
  <c r="M8" i="44"/>
  <c r="F38" i="44"/>
  <c r="E9" i="67"/>
  <c r="M29" i="70"/>
  <c r="M27" i="15"/>
  <c r="J5" i="65"/>
  <c r="E11" i="67"/>
  <c r="M23" i="70"/>
  <c r="M24" i="15"/>
  <c r="F41" i="15"/>
  <c r="L49" i="44"/>
  <c r="B8" i="67"/>
  <c r="F16" i="15"/>
  <c r="J3" i="65"/>
  <c r="J6" i="65"/>
  <c r="N3" i="65"/>
  <c r="I4" i="65"/>
  <c r="F43" i="44"/>
  <c r="F6" i="15"/>
  <c r="M6" i="70"/>
  <c r="F8" i="67"/>
  <c r="F18" i="44"/>
  <c r="F9" i="15"/>
  <c r="F11" i="67"/>
  <c r="F39" i="44"/>
  <c r="M22" i="70"/>
  <c r="M9" i="15"/>
  <c r="N7" i="65"/>
  <c r="M23" i="15"/>
  <c r="M8" i="15"/>
  <c r="J4" i="65"/>
  <c r="F40" i="70"/>
  <c r="M27" i="70"/>
  <c r="F10" i="67"/>
  <c r="M8" i="70"/>
  <c r="N6" i="65"/>
  <c r="I7" i="65"/>
  <c r="F8" i="70"/>
  <c r="M29" i="44"/>
  <c r="F7" i="67"/>
  <c r="B11" i="67"/>
  <c r="F12" i="67"/>
  <c r="L48" i="70"/>
  <c r="F9" i="70"/>
  <c r="F36" i="15"/>
  <c r="E14" i="67"/>
  <c r="F9" i="67"/>
  <c r="D104" i="46" l="1"/>
  <c r="D103" i="46"/>
  <c r="D109" i="46"/>
  <c r="H106" i="68"/>
  <c r="I115" i="46"/>
  <c r="J115" i="46" s="1"/>
  <c r="K115" i="46" s="1"/>
  <c r="L115" i="46" s="1"/>
  <c r="M115" i="46" s="1"/>
  <c r="H104" i="68"/>
  <c r="B115" i="46"/>
  <c r="C115" i="46" s="1"/>
  <c r="D105" i="46"/>
  <c r="E12" i="6"/>
  <c r="E59" i="40" s="1"/>
  <c r="F28" i="6"/>
  <c r="E28" i="6" s="1"/>
  <c r="E64" i="39"/>
  <c r="M106" i="68"/>
  <c r="I105" i="68"/>
  <c r="E104" i="68"/>
  <c r="M102" i="68"/>
  <c r="E106" i="46"/>
  <c r="E107" i="46"/>
  <c r="F104" i="46"/>
  <c r="C103" i="46"/>
  <c r="E60" i="40"/>
  <c r="F103" i="46"/>
  <c r="F109" i="46"/>
  <c r="E10" i="6"/>
  <c r="E15" i="6"/>
  <c r="T7" i="73"/>
  <c r="I1" i="65"/>
  <c r="M43" i="9"/>
  <c r="E6" i="6"/>
  <c r="D13" i="11" s="1"/>
  <c r="C13" i="11" s="1"/>
  <c r="F19" i="6"/>
  <c r="D29" i="46"/>
  <c r="D1" i="46" s="1"/>
  <c r="E58" i="40"/>
  <c r="E63" i="39"/>
  <c r="M107" i="68"/>
  <c r="E107" i="68"/>
  <c r="I106" i="68"/>
  <c r="M105" i="68"/>
  <c r="E105" i="68"/>
  <c r="I104" i="68"/>
  <c r="M103" i="68"/>
  <c r="E103" i="68"/>
  <c r="I102" i="68"/>
  <c r="I54" i="39"/>
  <c r="J54" i="39" s="1"/>
  <c r="J107" i="68"/>
  <c r="F106" i="68"/>
  <c r="J103" i="68"/>
  <c r="F102" i="68"/>
  <c r="H107" i="68"/>
  <c r="H105" i="68"/>
  <c r="H103" i="68"/>
  <c r="D117" i="46"/>
  <c r="E117" i="46" s="1"/>
  <c r="F117" i="46" s="1"/>
  <c r="G117" i="46" s="1"/>
  <c r="H117" i="46" s="1"/>
  <c r="B117" i="46"/>
  <c r="C117" i="46" s="1"/>
  <c r="I117" i="46"/>
  <c r="J117" i="46" s="1"/>
  <c r="K117" i="46" s="1"/>
  <c r="L117" i="46" s="1"/>
  <c r="M117" i="46" s="1"/>
  <c r="D22" i="46"/>
  <c r="C21" i="46" s="1"/>
  <c r="L106" i="68"/>
  <c r="D106" i="68"/>
  <c r="L104" i="68"/>
  <c r="D104" i="68"/>
  <c r="L102" i="68"/>
  <c r="D102" i="68"/>
  <c r="D46" i="9"/>
  <c r="C104" i="46"/>
  <c r="C109" i="46"/>
  <c r="D115" i="46"/>
  <c r="E115" i="46" s="1"/>
  <c r="F115" i="46" s="1"/>
  <c r="G115" i="46" s="1"/>
  <c r="H115" i="46" s="1"/>
  <c r="B116" i="46"/>
  <c r="C116" i="46" s="1"/>
  <c r="G118" i="46"/>
  <c r="H118" i="46" s="1"/>
  <c r="D118" i="46"/>
  <c r="E118" i="46" s="1"/>
  <c r="F118" i="46" s="1"/>
  <c r="K107" i="68"/>
  <c r="G107" i="68"/>
  <c r="C107" i="68"/>
  <c r="K106" i="68"/>
  <c r="G106" i="68"/>
  <c r="C106" i="68"/>
  <c r="K105" i="68"/>
  <c r="G105" i="68"/>
  <c r="C105" i="68"/>
  <c r="K104" i="68"/>
  <c r="G104" i="68"/>
  <c r="C104" i="68"/>
  <c r="K103" i="68"/>
  <c r="G103" i="68"/>
  <c r="C103" i="68"/>
  <c r="K102" i="68"/>
  <c r="G102" i="68"/>
  <c r="C102" i="68"/>
  <c r="D22" i="68"/>
  <c r="C21" i="68" s="1"/>
  <c r="D10" i="11"/>
  <c r="D116" i="46"/>
  <c r="E116" i="46" s="1"/>
  <c r="F116" i="46" s="1"/>
  <c r="G116" i="46" s="1"/>
  <c r="H116" i="46" s="1"/>
  <c r="I116" i="46"/>
  <c r="J116" i="46" s="1"/>
  <c r="K116" i="46" s="1"/>
  <c r="L116" i="46" s="1"/>
  <c r="M116" i="46" s="1"/>
  <c r="C106" i="46"/>
  <c r="F109" i="68"/>
  <c r="F107" i="68"/>
  <c r="F103" i="68"/>
  <c r="C102" i="46"/>
  <c r="C105" i="46"/>
  <c r="D45" i="9"/>
  <c r="L38" i="9"/>
  <c r="C6" i="66" s="1"/>
  <c r="J109" i="68"/>
  <c r="J104" i="68"/>
  <c r="J106" i="68"/>
  <c r="J102" i="68"/>
  <c r="L107" i="68"/>
  <c r="D107" i="68"/>
  <c r="L105" i="68"/>
  <c r="D105" i="68"/>
  <c r="L103" i="68"/>
  <c r="D103" i="68"/>
  <c r="D44" i="9"/>
  <c r="C21" i="4"/>
  <c r="O5" i="54" s="1"/>
  <c r="B45" i="63" s="1"/>
  <c r="D16" i="43"/>
  <c r="C16" i="43" s="1"/>
  <c r="E49" i="40"/>
  <c r="F49" i="40" s="1"/>
  <c r="E48" i="40"/>
  <c r="F48" i="40" s="1"/>
  <c r="C7" i="66"/>
  <c r="S8" i="1"/>
  <c r="D109" i="69"/>
  <c r="D107" i="69"/>
  <c r="D106" i="69"/>
  <c r="D105" i="69"/>
  <c r="D104" i="69"/>
  <c r="D103" i="69"/>
  <c r="D102" i="69"/>
  <c r="H109" i="69"/>
  <c r="H107" i="69"/>
  <c r="H106" i="69"/>
  <c r="H105" i="69"/>
  <c r="H104" i="69"/>
  <c r="H103" i="69"/>
  <c r="H102" i="69"/>
  <c r="L109" i="69"/>
  <c r="L107" i="69"/>
  <c r="L106" i="69"/>
  <c r="L105" i="69"/>
  <c r="L104" i="69"/>
  <c r="L103" i="69"/>
  <c r="L102" i="69"/>
  <c r="C109" i="69"/>
  <c r="C107" i="69"/>
  <c r="C106" i="69"/>
  <c r="C105" i="69"/>
  <c r="C104" i="69"/>
  <c r="C103" i="69"/>
  <c r="C102" i="69"/>
  <c r="G109" i="69"/>
  <c r="G107" i="69"/>
  <c r="G106" i="69"/>
  <c r="G105" i="69"/>
  <c r="G104" i="69"/>
  <c r="G103" i="69"/>
  <c r="G102" i="69"/>
  <c r="K109" i="69"/>
  <c r="C23" i="69" s="1"/>
  <c r="K107" i="69"/>
  <c r="K106" i="69"/>
  <c r="K105" i="69"/>
  <c r="K104" i="69"/>
  <c r="K103" i="69"/>
  <c r="K102" i="69"/>
  <c r="S7" i="1"/>
  <c r="S7" i="68"/>
  <c r="S6" i="68"/>
  <c r="S4" i="68"/>
  <c r="S5" i="68"/>
  <c r="S2" i="68"/>
  <c r="F109" i="69"/>
  <c r="F107" i="69"/>
  <c r="F106" i="69"/>
  <c r="F105" i="69"/>
  <c r="F104" i="69"/>
  <c r="F103" i="69"/>
  <c r="F102" i="69"/>
  <c r="J109" i="69"/>
  <c r="J107" i="69"/>
  <c r="J106" i="69"/>
  <c r="J105" i="69"/>
  <c r="J104" i="69"/>
  <c r="J103" i="69"/>
  <c r="J102" i="69"/>
  <c r="N109" i="69"/>
  <c r="N107" i="69"/>
  <c r="N106" i="69"/>
  <c r="N105" i="69"/>
  <c r="N104" i="69"/>
  <c r="N103" i="69"/>
  <c r="N102" i="69"/>
  <c r="E109" i="69"/>
  <c r="E107" i="69"/>
  <c r="E106" i="69"/>
  <c r="E105" i="69"/>
  <c r="E104" i="69"/>
  <c r="E103" i="69"/>
  <c r="E102" i="69"/>
  <c r="I109" i="69"/>
  <c r="I107" i="69"/>
  <c r="I106" i="69"/>
  <c r="I105" i="69"/>
  <c r="I104" i="69"/>
  <c r="I103" i="69"/>
  <c r="I102" i="69"/>
  <c r="M109" i="69"/>
  <c r="M107" i="69"/>
  <c r="M106" i="69"/>
  <c r="M105" i="69"/>
  <c r="M104" i="69"/>
  <c r="M103" i="69"/>
  <c r="M102" i="69"/>
  <c r="D22" i="69"/>
  <c r="C21" i="69" s="1"/>
  <c r="AY6" i="3"/>
  <c r="E413" i="3"/>
  <c r="E297" i="3"/>
  <c r="E561"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214" i="3"/>
  <c r="E486" i="3"/>
  <c r="E543" i="3"/>
  <c r="E264"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240" i="3"/>
  <c r="E377" i="3"/>
  <c r="E301" i="3"/>
  <c r="E18" i="3"/>
  <c r="E382" i="3"/>
  <c r="E358" i="3"/>
  <c r="E484" i="3"/>
  <c r="E509" i="3"/>
  <c r="E326" i="3"/>
  <c r="E20" i="3"/>
  <c r="E356" i="3"/>
  <c r="E564" i="3"/>
  <c r="E481" i="3"/>
  <c r="E116" i="3"/>
  <c r="E372" i="3"/>
  <c r="E465" i="3"/>
  <c r="E154" i="3"/>
  <c r="E243"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68" i="3"/>
  <c r="E252" i="3"/>
  <c r="E316" i="3"/>
  <c r="E346" i="3"/>
  <c r="E175" i="3"/>
  <c r="E544" i="3"/>
  <c r="E318" i="3"/>
  <c r="E541" i="3"/>
  <c r="E565" i="3"/>
  <c r="E523" i="3"/>
  <c r="E380" i="3"/>
  <c r="E557" i="3"/>
  <c r="E503" i="3"/>
  <c r="E13" i="3"/>
  <c r="B64" i="39"/>
  <c r="F64" i="39" s="1"/>
  <c r="B65" i="39"/>
  <c r="F65" i="39" s="1"/>
  <c r="B58" i="39"/>
  <c r="F58" i="39" s="1"/>
  <c r="B62" i="39"/>
  <c r="F62" i="39" s="1"/>
  <c r="B66" i="39"/>
  <c r="F66" i="39" s="1"/>
  <c r="B61" i="39"/>
  <c r="F61" i="39" s="1"/>
  <c r="B59" i="39"/>
  <c r="F59" i="39" s="1"/>
  <c r="B63" i="39"/>
  <c r="F63" i="39" s="1"/>
  <c r="B60" i="39"/>
  <c r="F60" i="39" s="1"/>
  <c r="B67" i="39"/>
  <c r="B61" i="40"/>
  <c r="F61" i="40" s="1"/>
  <c r="B57" i="40"/>
  <c r="F57" i="40" s="1"/>
  <c r="B54" i="40"/>
  <c r="F54" i="40" s="1"/>
  <c r="B53" i="40"/>
  <c r="F53" i="40" s="1"/>
  <c r="B56" i="40"/>
  <c r="F56" i="40" s="1"/>
  <c r="B58" i="40"/>
  <c r="F58" i="40" s="1"/>
  <c r="B55" i="40"/>
  <c r="F55" i="40" s="1"/>
  <c r="B60" i="40"/>
  <c r="F60" i="40" s="1"/>
  <c r="B59" i="40"/>
  <c r="B62" i="40"/>
  <c r="G118" i="69"/>
  <c r="H118" i="69" s="1"/>
  <c r="D118" i="69"/>
  <c r="E118" i="69" s="1"/>
  <c r="F118" i="69" s="1"/>
  <c r="D117" i="69"/>
  <c r="E117" i="69" s="1"/>
  <c r="F117" i="69" s="1"/>
  <c r="G117" i="69" s="1"/>
  <c r="H117" i="69" s="1"/>
  <c r="D116" i="69"/>
  <c r="E116" i="69" s="1"/>
  <c r="F116" i="69" s="1"/>
  <c r="G116" i="69" s="1"/>
  <c r="H116" i="69" s="1"/>
  <c r="D115" i="69"/>
  <c r="E115" i="69" s="1"/>
  <c r="F115" i="69" s="1"/>
  <c r="G115" i="69" s="1"/>
  <c r="H115" i="69" s="1"/>
  <c r="I118" i="69"/>
  <c r="J118" i="69" s="1"/>
  <c r="K118" i="69" s="1"/>
  <c r="L118" i="69" s="1"/>
  <c r="M118" i="69" s="1"/>
  <c r="I117" i="69"/>
  <c r="J117" i="69" s="1"/>
  <c r="K117" i="69" s="1"/>
  <c r="L117" i="69" s="1"/>
  <c r="M117" i="69" s="1"/>
  <c r="I116" i="69"/>
  <c r="J116" i="69" s="1"/>
  <c r="K116" i="69" s="1"/>
  <c r="L116" i="69" s="1"/>
  <c r="M116" i="69" s="1"/>
  <c r="I115" i="69"/>
  <c r="J115" i="69" s="1"/>
  <c r="K115" i="69" s="1"/>
  <c r="L115" i="69" s="1"/>
  <c r="M115" i="69" s="1"/>
  <c r="B118" i="69"/>
  <c r="C118" i="69" s="1"/>
  <c r="B117" i="69"/>
  <c r="C117" i="69" s="1"/>
  <c r="B116" i="69"/>
  <c r="C116" i="69" s="1"/>
  <c r="B115" i="69"/>
  <c r="C115" i="68"/>
  <c r="D113" i="68" s="1"/>
  <c r="E15" i="3"/>
  <c r="F65" i="70"/>
  <c r="C8" i="44"/>
  <c r="F67" i="15"/>
  <c r="J61" i="44"/>
  <c r="Q50" i="44" s="1"/>
  <c r="I55" i="44"/>
  <c r="L57" i="44"/>
  <c r="J58" i="44"/>
  <c r="J56" i="44" s="1"/>
  <c r="J59" i="44" s="1"/>
  <c r="Q52" i="44" s="1"/>
  <c r="J54" i="44"/>
  <c r="F1" i="44" s="1"/>
  <c r="J60" i="44"/>
  <c r="C6" i="15"/>
  <c r="B2" i="67"/>
  <c r="F70" i="70"/>
  <c r="C34" i="12"/>
  <c r="D33" i="12" s="1"/>
  <c r="M9" i="44"/>
  <c r="J8" i="44" s="1"/>
  <c r="F50" i="15"/>
  <c r="E3" i="67"/>
  <c r="F67" i="70"/>
  <c r="F64" i="15"/>
  <c r="C27" i="15"/>
  <c r="F68" i="70"/>
  <c r="J53" i="70"/>
  <c r="F1" i="70" s="1"/>
  <c r="I54" i="70"/>
  <c r="J57" i="70"/>
  <c r="J55" i="70" s="1"/>
  <c r="J58" i="70" s="1"/>
  <c r="Q51" i="70" s="1"/>
  <c r="L56" i="70"/>
  <c r="C29" i="44"/>
  <c r="C6" i="70"/>
  <c r="F63" i="70"/>
  <c r="L59" i="70"/>
  <c r="Q62" i="70" s="1"/>
  <c r="L58" i="70"/>
  <c r="Q61" i="70" s="1"/>
  <c r="M7" i="70"/>
  <c r="J6" i="70" s="1"/>
  <c r="F49" i="70"/>
  <c r="Q73" i="44"/>
  <c r="L59" i="44"/>
  <c r="Q62" i="44" s="1"/>
  <c r="L60" i="44"/>
  <c r="Q63" i="44" s="1"/>
  <c r="J1" i="65"/>
  <c r="E4" i="67"/>
  <c r="L59" i="15"/>
  <c r="Q62" i="15" s="1"/>
  <c r="L58" i="15"/>
  <c r="Q61" i="15" s="1"/>
  <c r="Q72" i="70"/>
  <c r="F50" i="70"/>
  <c r="F63" i="15"/>
  <c r="E20" i="46"/>
  <c r="O17" i="46" s="1"/>
  <c r="G20" i="46" s="1"/>
  <c r="C20" i="46" s="1"/>
  <c r="E20" i="69"/>
  <c r="N17" i="69" s="1"/>
  <c r="G20" i="69" s="1"/>
  <c r="C20" i="69" s="1"/>
  <c r="E20" i="68"/>
  <c r="O17" i="68" s="1"/>
  <c r="C27" i="70"/>
  <c r="F70" i="15"/>
  <c r="F65" i="15"/>
  <c r="F68" i="15"/>
  <c r="Q72" i="15"/>
  <c r="L56" i="15"/>
  <c r="J57" i="15"/>
  <c r="J55" i="15" s="1"/>
  <c r="J58" i="15" s="1"/>
  <c r="Q51" i="15" s="1"/>
  <c r="I54" i="15"/>
  <c r="J53" i="15"/>
  <c r="F1" i="15" s="1"/>
  <c r="M7" i="15"/>
  <c r="J6" i="15" s="1"/>
  <c r="F49" i="15"/>
  <c r="C4" i="65"/>
  <c r="B39" i="1" s="1"/>
  <c r="F11" i="70" s="1"/>
  <c r="F64" i="70"/>
  <c r="Q54" i="44"/>
  <c r="E2" i="65"/>
  <c r="M17" i="70"/>
  <c r="M19" i="44"/>
  <c r="C16" i="70"/>
  <c r="F31" i="70"/>
  <c r="F33" i="44"/>
  <c r="F58" i="70"/>
  <c r="F58" i="15"/>
  <c r="C16" i="15"/>
  <c r="C18" i="44"/>
  <c r="E3" i="65"/>
  <c r="C17" i="15"/>
  <c r="M17" i="15"/>
  <c r="F31" i="15"/>
  <c r="C19" i="44"/>
  <c r="C17" i="70"/>
  <c r="F59" i="40" l="1"/>
  <c r="E16" i="6"/>
  <c r="F30" i="6"/>
  <c r="K14" i="1"/>
  <c r="M14" i="1" s="1"/>
  <c r="O14" i="1" s="1"/>
  <c r="P14" i="1" s="1"/>
  <c r="E30" i="6"/>
  <c r="E62" i="40"/>
  <c r="F62" i="40" s="1"/>
  <c r="E67" i="39"/>
  <c r="F67" i="39" s="1"/>
  <c r="C8" i="66"/>
  <c r="I32" i="73"/>
  <c r="K32" i="73"/>
  <c r="M32" i="73"/>
  <c r="Q74" i="70"/>
  <c r="C48" i="70"/>
  <c r="B40" i="1"/>
  <c r="F21" i="43" s="1"/>
  <c r="C23" i="43" s="1"/>
  <c r="D21" i="43" s="1"/>
  <c r="Q76" i="44"/>
  <c r="N17" i="46"/>
  <c r="B4" i="67"/>
  <c r="E19" i="6"/>
  <c r="F27" i="6"/>
  <c r="F31" i="6" s="1"/>
  <c r="M11" i="70"/>
  <c r="J10" i="70" s="1"/>
  <c r="J5" i="70" s="1"/>
  <c r="Q74" i="15"/>
  <c r="Q53" i="70"/>
  <c r="M17" i="69"/>
  <c r="Q53" i="15"/>
  <c r="Q75" i="70"/>
  <c r="O17" i="69"/>
  <c r="Q75" i="15"/>
  <c r="P17" i="69"/>
  <c r="Q75" i="44"/>
  <c r="F24" i="70"/>
  <c r="C24" i="70" s="1"/>
  <c r="H6" i="3"/>
  <c r="AC6" i="3"/>
  <c r="D113" i="46"/>
  <c r="S3" i="68"/>
  <c r="M17" i="46"/>
  <c r="F24" i="15"/>
  <c r="C24" i="15" s="1"/>
  <c r="M13" i="44"/>
  <c r="J12" i="44" s="1"/>
  <c r="J7" i="44" s="1"/>
  <c r="J26" i="44" s="1"/>
  <c r="F13" i="44"/>
  <c r="C12" i="44" s="1"/>
  <c r="C7" i="44" s="1"/>
  <c r="C40" i="44" s="1"/>
  <c r="P17" i="68"/>
  <c r="C115" i="69"/>
  <c r="D113" i="69"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S4" i="69"/>
  <c r="S5" i="69"/>
  <c r="S2" i="69"/>
  <c r="S6" i="69"/>
  <c r="S7" i="69"/>
  <c r="S3" i="69"/>
  <c r="E6" i="3"/>
  <c r="B3" i="67"/>
  <c r="M11" i="15"/>
  <c r="J10" i="15" s="1"/>
  <c r="J5" i="15" s="1"/>
  <c r="F11" i="15"/>
  <c r="C52" i="15" s="1"/>
  <c r="M17" i="68"/>
  <c r="G20" i="68" s="1"/>
  <c r="C20" i="68" s="1"/>
  <c r="C35" i="68" s="1"/>
  <c r="C48" i="15"/>
  <c r="F17" i="11"/>
  <c r="C17" i="11" s="1"/>
  <c r="P17" i="46"/>
  <c r="N17" i="68"/>
  <c r="F32" i="43"/>
  <c r="F36" i="12"/>
  <c r="C39" i="46"/>
  <c r="C37" i="46"/>
  <c r="C36" i="46"/>
  <c r="C34" i="46"/>
  <c r="C33" i="46"/>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8" i="46"/>
  <c r="C35" i="46"/>
  <c r="C29" i="46"/>
  <c r="T3" i="46"/>
  <c r="V3" i="46" s="1"/>
  <c r="T4" i="46"/>
  <c r="V4" i="46" s="1"/>
  <c r="C10" i="70"/>
  <c r="C5" i="70" s="1"/>
  <c r="C52" i="70"/>
  <c r="C47" i="70" s="1"/>
  <c r="C36" i="69"/>
  <c r="C35" i="69"/>
  <c r="C39" i="69"/>
  <c r="C38" i="69"/>
  <c r="C37" i="69"/>
  <c r="C29" i="69"/>
  <c r="T13" i="69"/>
  <c r="V13" i="69" s="1"/>
  <c r="T12" i="69"/>
  <c r="V12" i="69" s="1"/>
  <c r="T10" i="69"/>
  <c r="V10" i="69" s="1"/>
  <c r="T6" i="69"/>
  <c r="V6" i="69" s="1"/>
  <c r="T4" i="69"/>
  <c r="V4" i="69" s="1"/>
  <c r="T3" i="69"/>
  <c r="V3" i="69" s="1"/>
  <c r="C34" i="69"/>
  <c r="C33" i="69"/>
  <c r="T16" i="69"/>
  <c r="V16" i="69" s="1"/>
  <c r="T15" i="69"/>
  <c r="V15" i="69" s="1"/>
  <c r="T14" i="69"/>
  <c r="V14" i="69" s="1"/>
  <c r="T11" i="69"/>
  <c r="V11" i="69" s="1"/>
  <c r="T9" i="69"/>
  <c r="V9" i="69" s="1"/>
  <c r="T8" i="69"/>
  <c r="V8" i="69" s="1"/>
  <c r="T7" i="69"/>
  <c r="V7" i="69" s="1"/>
  <c r="T5" i="69"/>
  <c r="V5" i="69" s="1"/>
  <c r="T2" i="69"/>
  <c r="V2" i="69" s="1"/>
  <c r="L52" i="44"/>
  <c r="F26" i="44" l="1"/>
  <c r="C26" i="44" s="1"/>
  <c r="F26" i="12"/>
  <c r="C27" i="12" s="1"/>
  <c r="D26" i="12" s="1"/>
  <c r="C32" i="12" s="1"/>
  <c r="D30" i="12" s="1"/>
  <c r="J18" i="70"/>
  <c r="J26" i="70"/>
  <c r="J29" i="70" s="1"/>
  <c r="C36" i="68"/>
  <c r="G36" i="68" s="1"/>
  <c r="I36" i="68" s="1"/>
  <c r="J24" i="70"/>
  <c r="C10" i="15"/>
  <c r="C5" i="15" s="1"/>
  <c r="C32" i="15" s="1"/>
  <c r="J20" i="44"/>
  <c r="C47" i="15"/>
  <c r="C59" i="15" s="1"/>
  <c r="J28" i="44"/>
  <c r="J31" i="44" s="1"/>
  <c r="Q67" i="44" s="1"/>
  <c r="T11" i="68"/>
  <c r="V11" i="68" s="1"/>
  <c r="T2" i="68"/>
  <c r="V2" i="68" s="1"/>
  <c r="E32" i="6"/>
  <c r="K6" i="1"/>
  <c r="L19" i="6"/>
  <c r="L27" i="6" s="1"/>
  <c r="E27" i="6"/>
  <c r="K19" i="6" s="1"/>
  <c r="C9" i="12"/>
  <c r="C10" i="12" s="1"/>
  <c r="C6" i="12" s="1"/>
  <c r="T6" i="68"/>
  <c r="V6" i="68" s="1"/>
  <c r="C29" i="68"/>
  <c r="C30" i="68" s="1"/>
  <c r="E30" i="68" s="1"/>
  <c r="T13" i="68"/>
  <c r="V13" i="68" s="1"/>
  <c r="T3" i="68"/>
  <c r="V3" i="68" s="1"/>
  <c r="T8" i="68"/>
  <c r="V8" i="68" s="1"/>
  <c r="T15" i="68"/>
  <c r="V15" i="68" s="1"/>
  <c r="C38" i="68"/>
  <c r="E38" i="68" s="1"/>
  <c r="T10" i="68"/>
  <c r="V10" i="68" s="1"/>
  <c r="C34" i="68"/>
  <c r="G34" i="68" s="1"/>
  <c r="I34" i="68" s="1"/>
  <c r="T4" i="68"/>
  <c r="V4" i="68" s="1"/>
  <c r="T7" i="68"/>
  <c r="V7" i="68" s="1"/>
  <c r="T9" i="68"/>
  <c r="V9" i="68" s="1"/>
  <c r="T14" i="68"/>
  <c r="V14" i="68" s="1"/>
  <c r="T16" i="68"/>
  <c r="V16" i="68" s="1"/>
  <c r="C37" i="68"/>
  <c r="E37" i="68" s="1"/>
  <c r="C39" i="68"/>
  <c r="E39" i="68" s="1"/>
  <c r="T5" i="68"/>
  <c r="V5" i="68" s="1"/>
  <c r="T12" i="68"/>
  <c r="V12" i="68" s="1"/>
  <c r="C33" i="68"/>
  <c r="E33" i="68" s="1"/>
  <c r="C34" i="44"/>
  <c r="K38" i="9"/>
  <c r="E63" i="40"/>
  <c r="F63" i="40" s="1"/>
  <c r="B2" i="40" s="1"/>
  <c r="D19" i="6"/>
  <c r="D21" i="6"/>
  <c r="D25" i="6"/>
  <c r="D10" i="6"/>
  <c r="D13" i="6"/>
  <c r="D6" i="6"/>
  <c r="D23" i="6"/>
  <c r="D14" i="6"/>
  <c r="D28" i="6"/>
  <c r="D15" i="6"/>
  <c r="E44" i="9"/>
  <c r="F46" i="9"/>
  <c r="E46" i="9"/>
  <c r="E68" i="39"/>
  <c r="F68" i="39" s="1"/>
  <c r="B2" i="39" s="1"/>
  <c r="C22" i="4"/>
  <c r="D24" i="6"/>
  <c r="D26" i="6"/>
  <c r="D22" i="6"/>
  <c r="D11" i="6"/>
  <c r="D12" i="6"/>
  <c r="D9" i="6"/>
  <c r="D5" i="6"/>
  <c r="D29" i="6"/>
  <c r="D20" i="6"/>
  <c r="D8" i="6"/>
  <c r="E45" i="9"/>
  <c r="F45" i="9"/>
  <c r="F44" i="9"/>
  <c r="J18" i="15"/>
  <c r="J26" i="15"/>
  <c r="J29" i="15" s="1"/>
  <c r="J24" i="15"/>
  <c r="Q69" i="44"/>
  <c r="L58" i="44"/>
  <c r="L61" i="44" s="1"/>
  <c r="L47" i="44" s="1"/>
  <c r="C59" i="70"/>
  <c r="C65" i="70"/>
  <c r="E36" i="68"/>
  <c r="G33" i="69"/>
  <c r="I33" i="69" s="1"/>
  <c r="E33" i="69"/>
  <c r="C30" i="69"/>
  <c r="E30" i="69" s="1"/>
  <c r="E29" i="69"/>
  <c r="G38" i="69"/>
  <c r="I38" i="69" s="1"/>
  <c r="E38" i="69"/>
  <c r="E35" i="69"/>
  <c r="G35" i="69"/>
  <c r="I35" i="69" s="1"/>
  <c r="E29" i="46"/>
  <c r="C30" i="46"/>
  <c r="E30" i="46" s="1"/>
  <c r="G38" i="46"/>
  <c r="I38" i="46" s="1"/>
  <c r="E38" i="46"/>
  <c r="G33" i="46"/>
  <c r="I33" i="46" s="1"/>
  <c r="E33" i="46"/>
  <c r="E36" i="46"/>
  <c r="G36" i="46"/>
  <c r="I36" i="46" s="1"/>
  <c r="G39" i="46"/>
  <c r="I39" i="46" s="1"/>
  <c r="E39" i="46"/>
  <c r="E35" i="68"/>
  <c r="G35" i="68"/>
  <c r="I35" i="68" s="1"/>
  <c r="G34" i="69"/>
  <c r="I34" i="69" s="1"/>
  <c r="E34" i="69"/>
  <c r="G37" i="69"/>
  <c r="I37" i="69" s="1"/>
  <c r="E37" i="69"/>
  <c r="G39" i="69"/>
  <c r="I39" i="69" s="1"/>
  <c r="E39" i="69"/>
  <c r="E36" i="69"/>
  <c r="G36" i="69"/>
  <c r="I36" i="69" s="1"/>
  <c r="C32" i="70"/>
  <c r="C38" i="70"/>
  <c r="G35" i="46"/>
  <c r="I35" i="46" s="1"/>
  <c r="E35" i="46"/>
  <c r="E34" i="46"/>
  <c r="G34" i="46"/>
  <c r="I34" i="46" s="1"/>
  <c r="G37" i="46"/>
  <c r="I37" i="46" s="1"/>
  <c r="E37" i="46"/>
  <c r="D21" i="12"/>
  <c r="C38" i="15" l="1"/>
  <c r="C65" i="15"/>
  <c r="Q49" i="44"/>
  <c r="Q55" i="44" s="1"/>
  <c r="Q58" i="44"/>
  <c r="G39" i="68"/>
  <c r="I39" i="68" s="1"/>
  <c r="E29" i="68"/>
  <c r="G37" i="68"/>
  <c r="I37" i="68" s="1"/>
  <c r="G33" i="68"/>
  <c r="I33" i="68" s="1"/>
  <c r="G38" i="68"/>
  <c r="I38" i="68" s="1"/>
  <c r="C21" i="12"/>
  <c r="S6" i="1"/>
  <c r="M19" i="6"/>
  <c r="C29" i="12"/>
  <c r="C24" i="12"/>
  <c r="E31" i="6"/>
  <c r="K21" i="6"/>
  <c r="M21" i="6" s="1"/>
  <c r="I21" i="6" s="1"/>
  <c r="K20" i="6"/>
  <c r="M20" i="6" s="1"/>
  <c r="I20" i="6" s="1"/>
  <c r="K24" i="6"/>
  <c r="M24" i="6" s="1"/>
  <c r="I24" i="6" s="1"/>
  <c r="K22" i="6"/>
  <c r="M22" i="6" s="1"/>
  <c r="I22" i="6" s="1"/>
  <c r="K23" i="6"/>
  <c r="M23" i="6" s="1"/>
  <c r="I23" i="6" s="1"/>
  <c r="K26" i="6"/>
  <c r="M26" i="6" s="1"/>
  <c r="I26" i="6" s="1"/>
  <c r="K25" i="6"/>
  <c r="M25" i="6" s="1"/>
  <c r="I25" i="6" s="1"/>
  <c r="G16" i="1"/>
  <c r="H16" i="1"/>
  <c r="AP16" i="1"/>
  <c r="F22" i="11" s="1"/>
  <c r="Q16" i="1"/>
  <c r="M6" i="1"/>
  <c r="K16" i="1"/>
  <c r="E34" i="68"/>
  <c r="D16" i="6"/>
  <c r="D30" i="6"/>
  <c r="B4" i="39"/>
  <c r="B3" i="39"/>
  <c r="B5" i="39"/>
  <c r="D6" i="66"/>
  <c r="D8" i="66"/>
  <c r="D7" i="66"/>
  <c r="A6" i="51"/>
  <c r="B7" i="63" s="1"/>
  <c r="A20" i="64"/>
  <c r="A20" i="51"/>
  <c r="B15" i="63" s="1"/>
  <c r="N5" i="54"/>
  <c r="B43" i="63" s="1"/>
  <c r="A6" i="64"/>
  <c r="D27" i="6"/>
  <c r="D31" i="6" s="1"/>
  <c r="B3" i="40"/>
  <c r="B4" i="40"/>
  <c r="B5" i="40"/>
  <c r="C27" i="46"/>
  <c r="C27" i="69"/>
  <c r="C26" i="46"/>
  <c r="B2" i="46" s="1"/>
  <c r="C26" i="69"/>
  <c r="B2" i="69" s="1"/>
  <c r="Q59" i="44"/>
  <c r="Q68" i="44"/>
  <c r="Q77" i="44" s="1"/>
  <c r="D22" i="12"/>
  <c r="D16" i="12"/>
  <c r="Q64" i="44" l="1"/>
  <c r="C26" i="68"/>
  <c r="B2" i="68" s="1"/>
  <c r="D4" i="68" s="1"/>
  <c r="C27" i="68"/>
  <c r="C22" i="12"/>
  <c r="C20" i="12" s="1"/>
  <c r="D19" i="12"/>
  <c r="C19" i="12" s="1"/>
  <c r="C16" i="12"/>
  <c r="O6" i="1"/>
  <c r="O16" i="1" s="1"/>
  <c r="C15" i="43"/>
  <c r="M16" i="1"/>
  <c r="N16" i="1" s="1"/>
  <c r="C29" i="43" s="1"/>
  <c r="J12" i="40"/>
  <c r="J12" i="39"/>
  <c r="F12" i="39"/>
  <c r="H12" i="39"/>
  <c r="F12" i="40"/>
  <c r="H12" i="40"/>
  <c r="S26" i="6"/>
  <c r="H26" i="6"/>
  <c r="R26" i="6" s="1"/>
  <c r="S22" i="6"/>
  <c r="H22" i="6"/>
  <c r="R22" i="6" s="1"/>
  <c r="S20" i="6"/>
  <c r="H20" i="6"/>
  <c r="R20" i="6" s="1"/>
  <c r="R7" i="1" s="1"/>
  <c r="K27" i="6"/>
  <c r="S16" i="1"/>
  <c r="F24" i="43"/>
  <c r="C26" i="43" s="1"/>
  <c r="D24" i="43" s="1"/>
  <c r="F18" i="11"/>
  <c r="C18" i="11" s="1"/>
  <c r="C19" i="11" s="1"/>
  <c r="C20" i="11" s="1"/>
  <c r="C21" i="11" s="1"/>
  <c r="C22" i="11" s="1"/>
  <c r="C23" i="11" s="1"/>
  <c r="B2" i="11" s="1"/>
  <c r="S25" i="6"/>
  <c r="H25" i="6"/>
  <c r="R25" i="6" s="1"/>
  <c r="S23" i="6"/>
  <c r="H23" i="6"/>
  <c r="R23" i="6" s="1"/>
  <c r="S24" i="6"/>
  <c r="H24" i="6"/>
  <c r="R24" i="6" s="1"/>
  <c r="S21" i="6"/>
  <c r="H21" i="6"/>
  <c r="R21" i="6" s="1"/>
  <c r="R8" i="1" s="1"/>
  <c r="M27" i="6"/>
  <c r="I19" i="6"/>
  <c r="I6" i="6"/>
  <c r="I5" i="6"/>
  <c r="B4" i="69"/>
  <c r="D4" i="69"/>
  <c r="B3" i="69"/>
  <c r="D4" i="46"/>
  <c r="B4" i="46"/>
  <c r="B3" i="46"/>
  <c r="F37" i="44"/>
  <c r="M21" i="70"/>
  <c r="F35" i="15"/>
  <c r="F35" i="70"/>
  <c r="M21" i="15"/>
  <c r="M23" i="44"/>
  <c r="B3" i="68" l="1"/>
  <c r="B4" i="68"/>
  <c r="P6" i="1"/>
  <c r="C36" i="44"/>
  <c r="F62" i="15"/>
  <c r="C61" i="15" s="1"/>
  <c r="C34" i="15"/>
  <c r="J22" i="44"/>
  <c r="F62" i="70"/>
  <c r="C61" i="70" s="1"/>
  <c r="C34" i="70"/>
  <c r="J20" i="70"/>
  <c r="J20" i="15"/>
  <c r="T7" i="1"/>
  <c r="T8" i="1"/>
  <c r="T11" i="1"/>
  <c r="T10" i="1"/>
  <c r="T13" i="1"/>
  <c r="T12" i="1"/>
  <c r="T9" i="1"/>
  <c r="AB12" i="40"/>
  <c r="U12" i="40"/>
  <c r="U12" i="39"/>
  <c r="AB12" i="39"/>
  <c r="AC12" i="39"/>
  <c r="W12" i="39"/>
  <c r="I27" i="6"/>
  <c r="S19" i="6"/>
  <c r="S27" i="6" s="1"/>
  <c r="H19" i="6"/>
  <c r="B5" i="11"/>
  <c r="B3" i="11"/>
  <c r="B4" i="11"/>
  <c r="T6" i="1"/>
  <c r="S12" i="40"/>
  <c r="AA12" i="40"/>
  <c r="AA12" i="39"/>
  <c r="S12" i="39"/>
  <c r="AC12" i="40"/>
  <c r="W12" i="40"/>
  <c r="C13" i="43"/>
  <c r="L16" i="1"/>
  <c r="C15" i="12"/>
  <c r="C13" i="12"/>
  <c r="C14" i="70"/>
  <c r="C14" i="15"/>
  <c r="C16" i="44"/>
  <c r="P16" i="1" l="1"/>
  <c r="C20" i="44"/>
  <c r="C17" i="44"/>
  <c r="C18" i="70"/>
  <c r="C15" i="70"/>
  <c r="C15" i="15"/>
  <c r="C18" i="15"/>
  <c r="C14" i="12"/>
  <c r="C17" i="12"/>
  <c r="C14" i="43"/>
  <c r="C17" i="43"/>
  <c r="T16" i="1"/>
  <c r="H27" i="6"/>
  <c r="R19" i="6"/>
  <c r="J59" i="70"/>
  <c r="J60" i="70" s="1"/>
  <c r="J59" i="15"/>
  <c r="J60" i="15" s="1"/>
  <c r="C18" i="43" l="1"/>
  <c r="C19" i="43" s="1"/>
  <c r="C25" i="43" s="1"/>
  <c r="C24" i="43" s="1"/>
  <c r="C21" i="44"/>
  <c r="C22" i="44" s="1"/>
  <c r="C25" i="44" s="1"/>
  <c r="C19" i="15"/>
  <c r="C20" i="15" s="1"/>
  <c r="C23" i="15" s="1"/>
  <c r="C19" i="70"/>
  <c r="C20" i="70" s="1"/>
  <c r="C23" i="70" s="1"/>
  <c r="C18" i="12"/>
  <c r="C23" i="12" s="1"/>
  <c r="C35" i="12" s="1"/>
  <c r="C33" i="12" s="1"/>
  <c r="R27" i="6"/>
  <c r="R6" i="1"/>
  <c r="R16" i="1" s="1"/>
  <c r="Q49" i="15"/>
  <c r="Q49" i="70"/>
  <c r="C26" i="15" l="1"/>
  <c r="C29" i="15" s="1"/>
  <c r="C22" i="43"/>
  <c r="C21" i="43" s="1"/>
  <c r="C28" i="43" s="1"/>
  <c r="C30" i="43" s="1"/>
  <c r="C32" i="43" s="1"/>
  <c r="C33" i="43" s="1"/>
  <c r="B2" i="43" s="1"/>
  <c r="C28" i="44"/>
  <c r="C31" i="44" s="1"/>
  <c r="C28" i="12"/>
  <c r="C26" i="12" s="1"/>
  <c r="C31" i="12" s="1"/>
  <c r="C30" i="12" s="1"/>
  <c r="C36" i="12" s="1"/>
  <c r="B2" i="12" s="1"/>
  <c r="C26" i="70"/>
  <c r="C29" i="70" s="1"/>
  <c r="D19" i="9"/>
  <c r="C19" i="9"/>
  <c r="B5" i="12"/>
  <c r="B4" i="12"/>
  <c r="B3" i="12"/>
  <c r="J12" i="73" l="1"/>
  <c r="H12" i="73"/>
  <c r="L44" i="9"/>
  <c r="L43" i="9"/>
  <c r="D22" i="9"/>
  <c r="G19" i="9"/>
  <c r="C56" i="70"/>
  <c r="J19" i="70"/>
  <c r="J17" i="70" s="1"/>
  <c r="Q50" i="70"/>
  <c r="C33" i="70"/>
  <c r="C31" i="70" s="1"/>
  <c r="J14" i="70"/>
  <c r="C36" i="70"/>
  <c r="C13" i="70"/>
  <c r="B3" i="43"/>
  <c r="B5" i="43"/>
  <c r="B4" i="43"/>
  <c r="J16" i="44"/>
  <c r="Q51" i="44"/>
  <c r="J21" i="44"/>
  <c r="J19" i="44" s="1"/>
  <c r="C38" i="44"/>
  <c r="C35" i="44"/>
  <c r="C33" i="44" s="1"/>
  <c r="C15" i="44"/>
  <c r="C33" i="15"/>
  <c r="C31" i="15" s="1"/>
  <c r="C36" i="15"/>
  <c r="J14" i="15"/>
  <c r="C13" i="15"/>
  <c r="C56" i="15"/>
  <c r="Q50" i="15"/>
  <c r="J19" i="15"/>
  <c r="J17" i="15" s="1"/>
  <c r="C20" i="9"/>
  <c r="C21" i="9"/>
  <c r="D21" i="9"/>
  <c r="D20" i="9"/>
  <c r="J5" i="73" l="1"/>
  <c r="H5" i="73"/>
  <c r="K5" i="73"/>
  <c r="G21" i="9"/>
  <c r="G20" i="9"/>
  <c r="C60" i="15"/>
  <c r="C58" i="15" s="1"/>
  <c r="C63" i="15"/>
  <c r="J13" i="15"/>
  <c r="J23" i="15" s="1"/>
  <c r="J22" i="15"/>
  <c r="J24" i="44"/>
  <c r="J15" i="44"/>
  <c r="J25" i="44" s="1"/>
  <c r="C55" i="70"/>
  <c r="C64" i="70" s="1"/>
  <c r="J35" i="70"/>
  <c r="C37" i="70"/>
  <c r="C30" i="70" s="1"/>
  <c r="C39" i="70" s="1"/>
  <c r="Q71" i="70"/>
  <c r="J22" i="70"/>
  <c r="J13" i="70"/>
  <c r="J23" i="70" s="1"/>
  <c r="C63" i="70"/>
  <c r="C60" i="70"/>
  <c r="C58" i="70" s="1"/>
  <c r="Q71" i="15"/>
  <c r="J35" i="15"/>
  <c r="C55" i="15"/>
  <c r="C64" i="15" s="1"/>
  <c r="C37" i="15"/>
  <c r="C30" i="15" s="1"/>
  <c r="C39" i="15" s="1"/>
  <c r="C39" i="44"/>
  <c r="C32" i="44" s="1"/>
  <c r="C42" i="44" s="1"/>
  <c r="C43" i="44"/>
  <c r="Q72" i="44"/>
  <c r="C32" i="9"/>
  <c r="G22" i="9"/>
  <c r="N43" i="9"/>
  <c r="L51" i="15"/>
  <c r="L51" i="70"/>
  <c r="J16" i="15" l="1"/>
  <c r="J25" i="15" s="1"/>
  <c r="J16" i="70"/>
  <c r="J25" i="70" s="1"/>
  <c r="J18" i="44"/>
  <c r="J27" i="44" s="1"/>
  <c r="Q68" i="70"/>
  <c r="L57" i="70"/>
  <c r="L60" i="70" s="1"/>
  <c r="L57" i="15"/>
  <c r="L60" i="15" s="1"/>
  <c r="Q68" i="15"/>
  <c r="C42" i="9"/>
  <c r="C34" i="9"/>
  <c r="O38" i="9"/>
  <c r="C35" i="9"/>
  <c r="F42" i="9" s="1"/>
  <c r="C33" i="9"/>
  <c r="O43" i="9"/>
  <c r="C40" i="70"/>
  <c r="Q70" i="70"/>
  <c r="Q69" i="70" s="1"/>
  <c r="Q70" i="15"/>
  <c r="Q69" i="15" s="1"/>
  <c r="C40" i="15"/>
  <c r="J39" i="15"/>
  <c r="J40" i="15" s="1"/>
  <c r="C57" i="70"/>
  <c r="C66" i="70" s="1"/>
  <c r="C67" i="70" s="1"/>
  <c r="J39" i="70"/>
  <c r="J40" i="70" s="1"/>
  <c r="C57" i="15"/>
  <c r="C66" i="15" s="1"/>
  <c r="C67" i="15" s="1"/>
  <c r="Q71" i="44"/>
  <c r="Q70" i="44" s="1"/>
  <c r="C44" i="44"/>
  <c r="C45" i="44" s="1"/>
  <c r="B2" i="44" s="1"/>
  <c r="Q66" i="70" l="1"/>
  <c r="J42" i="70"/>
  <c r="J43" i="70" s="1"/>
  <c r="C43" i="70"/>
  <c r="Q57" i="70"/>
  <c r="Q48" i="70"/>
  <c r="Q54" i="70" s="1"/>
  <c r="N38" i="9"/>
  <c r="K28" i="9" s="1"/>
  <c r="D42" i="9"/>
  <c r="Q5" i="54" s="1"/>
  <c r="B47" i="63" s="1"/>
  <c r="K25" i="9"/>
  <c r="K26" i="9"/>
  <c r="D63" i="9"/>
  <c r="R5" i="54"/>
  <c r="B48" i="63" s="1"/>
  <c r="N68" i="9"/>
  <c r="B3" i="44"/>
  <c r="B5" i="44"/>
  <c r="B4" i="44"/>
  <c r="C70" i="15"/>
  <c r="C46" i="15"/>
  <c r="C70" i="70"/>
  <c r="C46" i="70"/>
  <c r="Q57" i="15"/>
  <c r="Q48" i="15"/>
  <c r="Q54" i="15" s="1"/>
  <c r="J42" i="15"/>
  <c r="J43" i="15" s="1"/>
  <c r="C43" i="15"/>
  <c r="Q66" i="15"/>
  <c r="M38" i="9"/>
  <c r="K27" i="9" s="1"/>
  <c r="E42" i="9"/>
  <c r="P5" i="54" s="1"/>
  <c r="B46" i="63" s="1"/>
  <c r="L46" i="70"/>
  <c r="B2" i="70" s="1"/>
  <c r="B3" i="70" s="1"/>
  <c r="Q67" i="70"/>
  <c r="Q58" i="70"/>
  <c r="L46" i="15"/>
  <c r="B2" i="15" s="1"/>
  <c r="B3" i="15" s="1"/>
  <c r="Q67" i="15"/>
  <c r="Q58" i="15"/>
  <c r="Q76" i="15" l="1"/>
  <c r="Q63" i="15"/>
  <c r="Q76" i="70"/>
  <c r="D71" i="9"/>
  <c r="D66" i="9" s="1"/>
  <c r="N72" i="9" s="1"/>
  <c r="D70" i="9"/>
  <c r="C96" i="9"/>
  <c r="C91" i="9" s="1"/>
  <c r="D77" i="9"/>
  <c r="N75" i="9" s="1"/>
  <c r="C103" i="9"/>
  <c r="C90" i="9"/>
  <c r="C111" i="9"/>
  <c r="C104" i="9" s="1"/>
  <c r="C82" i="9"/>
  <c r="C81" i="9" s="1"/>
  <c r="C85" i="9" s="1"/>
  <c r="C86" i="9" s="1"/>
  <c r="D72" i="9" s="1"/>
  <c r="Q63" i="70"/>
  <c r="C97" i="9" l="1"/>
  <c r="C98" i="9" s="1"/>
  <c r="E98" i="9" s="1"/>
  <c r="E99" i="9" s="1"/>
  <c r="C113" i="9"/>
  <c r="C99" i="9" l="1"/>
  <c r="C114" i="9"/>
  <c r="E114" i="9" s="1"/>
  <c r="E115" i="9" s="1"/>
  <c r="C115" i="9" l="1"/>
  <c r="D76" i="9" s="1"/>
  <c r="D74" i="9" s="1"/>
  <c r="N74" i="9" s="1"/>
  <c r="O77" i="9" s="1"/>
  <c r="Q77" i="9" s="1"/>
  <c r="O78" i="9" l="1"/>
  <c r="O79" i="9"/>
  <c r="O80" i="9" s="1"/>
  <c r="O81" i="9" l="1"/>
  <c r="J29" i="73" l="1"/>
  <c r="K29" i="73" s="1"/>
  <c r="K21" i="73" l="1"/>
  <c r="J21" i="73" s="1"/>
  <c r="H29" i="73" l="1"/>
  <c r="O29" i="73" l="1"/>
  <c r="M29" i="73" s="1"/>
  <c r="I29" i="73"/>
  <c r="I21" i="73" l="1"/>
  <c r="H21" i="73" s="1"/>
  <c r="O5" i="73"/>
  <c r="C9" i="73" l="1"/>
  <c r="E9" i="73" s="1"/>
  <c r="O21" i="73"/>
  <c r="M21" i="73" s="1"/>
  <c r="C16" i="73" l="1"/>
  <c r="E16" i="73" s="1"/>
  <c r="H14" i="73" l="1"/>
  <c r="M14" i="73"/>
  <c r="H31" i="73" l="1"/>
  <c r="M7" i="73"/>
  <c r="I31" i="73" l="1"/>
  <c r="I23" i="73"/>
  <c r="H23" i="73" l="1"/>
  <c r="E9" i="74" l="1"/>
  <c r="J14" i="73" l="1"/>
  <c r="J31" i="73" l="1"/>
  <c r="O14" i="73"/>
  <c r="J7" i="73" l="1"/>
  <c r="K31" i="73"/>
  <c r="O31" i="73"/>
  <c r="M31" i="73" s="1"/>
  <c r="K23" i="73" l="1"/>
  <c r="O7" i="73"/>
  <c r="C10" i="73" s="1"/>
  <c r="E10" i="73" l="1"/>
  <c r="C17" i="73"/>
  <c r="E17" i="73" s="1"/>
  <c r="J23" i="73"/>
  <c r="O23" i="73"/>
  <c r="M23" i="73" s="1"/>
  <c r="I24" i="73" l="1"/>
  <c r="M15" i="73"/>
  <c r="M8" i="73"/>
  <c r="H24" i="73" l="1"/>
  <c r="F9" i="74" l="1"/>
  <c r="J8" i="73" l="1"/>
  <c r="K24" i="73" l="1"/>
  <c r="O8" i="73"/>
  <c r="C11" i="73" s="1"/>
  <c r="C18" i="73" s="1"/>
  <c r="J24" i="73" l="1"/>
  <c r="O24" i="73"/>
  <c r="M24" i="73" s="1"/>
  <c r="J13" i="73" l="1"/>
  <c r="J30" i="73" s="1"/>
  <c r="K30" i="73" s="1"/>
  <c r="H13" i="73"/>
  <c r="H6" i="73" l="1"/>
  <c r="O13" i="73"/>
  <c r="H30" i="73"/>
  <c r="J6" i="73" l="1"/>
  <c r="K22" i="73" s="1"/>
  <c r="J22" i="73" s="1"/>
  <c r="O30" i="73"/>
  <c r="M30" i="73" s="1"/>
  <c r="I30" i="73"/>
  <c r="I22" i="73"/>
  <c r="O6" i="73"/>
  <c r="C8" i="73" s="1"/>
  <c r="H22" i="73" l="1"/>
  <c r="O22" i="73"/>
  <c r="M22" i="73" s="1"/>
  <c r="C15" i="73"/>
  <c r="E15" i="73" s="1"/>
  <c r="E19" i="73" s="1"/>
  <c r="E8" i="73"/>
  <c r="O12" i="73" l="1"/>
  <c r="E12" i="73"/>
  <c r="B5" i="66" s="1"/>
  <c r="D14" i="66" s="1"/>
  <c r="F14" i="66" l="1"/>
  <c r="E14"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<sst xmlns="http://schemas.openxmlformats.org/spreadsheetml/2006/main" count="8036" uniqueCount="3127">
  <si>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</si>
  <si>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</si>
  <si>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</si>
  <si>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</si>
  <si>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</si>
  <si>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</si>
  <si>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</si>
  <si>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</si>
  <si>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</si>
  <si>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</si>
  <si>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</si>
  <si>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</si>
  <si>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</si>
  <si>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</si>
  <si>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</si>
  <si>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</si>
  <si>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</si>
  <si>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</si>
  <si>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</si>
  <si>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</si>
  <si>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</si>
  <si>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</si>
  <si>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</si>
  <si>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</si>
  <si>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</si>
  <si>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</si>
  <si>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</si>
  <si>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</si>
  <si>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</si>
  <si>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</si>
  <si>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</si>
  <si>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</si>
  <si>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</si>
  <si>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</si>
  <si>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</si>
  <si>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</si>
  <si>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</si>
  <si>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</si>
  <si>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</si>
  <si>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</si>
  <si>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</si>
  <si>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</si>
  <si>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</si>
  <si>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</si>
  <si>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</si>
  <si>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</si>
  <si>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</si>
  <si>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</si>
  <si>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</si>
  <si>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</si>
  <si>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</si>
  <si>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</si>
  <si>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</si>
  <si>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</si>
  <si>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</si>
  <si>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</si>
  <si>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</si>
  <si>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</si>
  <si>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</si>
  <si>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</si>
  <si>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</si>
  <si>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</si>
  <si>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</si>
  <si>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</si>
  <si>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</si>
  <si>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</si>
  <si>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</si>
  <si>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</si>
  <si>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</si>
  <si>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</si>
  <si>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</si>
  <si>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</si>
  <si>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</si>
  <si>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</si>
  <si>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</si>
  <si>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</si>
  <si>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</si>
  <si>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</si>
  <si>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</si>
  <si>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</si>
  <si>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</si>
  <si>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</si>
  <si>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</si>
  <si>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</si>
  <si>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</si>
  <si>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</si>
  <si>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</si>
  <si>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</si>
  <si>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</si>
  <si>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</si>
  <si>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</si>
  <si>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</si>
  <si>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</si>
  <si>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</si>
  <si>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</si>
  <si>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</si>
  <si>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</si>
  <si>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</si>
  <si>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</si>
  <si>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</si>
  <si>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</si>
  <si>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</si>
  <si>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</si>
  <si>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</si>
  <si>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</si>
  <si>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</si>
  <si>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</si>
  <si>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</si>
  <si>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</si>
  <si>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</si>
  <si>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</si>
  <si>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</si>
  <si>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</si>
  <si>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</si>
  <si>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</si>
  <si>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</si>
  <si>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</si>
  <si>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</si>
  <si>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</si>
  <si>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</si>
  <si>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</si>
  <si>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</si>
  <si>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</si>
  <si>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</si>
  <si>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</si>
  <si>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</si>
  <si>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</si>
  <si>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</si>
  <si>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</si>
  <si>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</si>
  <si>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</si>
  <si>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</si>
  <si>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</si>
  <si>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</si>
  <si>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</si>
  <si>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</si>
  <si>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</si>
  <si>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</si>
  <si>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</si>
  <si>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</si>
  <si>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</si>
  <si>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</si>
  <si>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</si>
  <si>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</si>
  <si>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</si>
  <si>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</si>
  <si>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</si>
  <si>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</si>
  <si>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</si>
  <si>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</si>
  <si>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</si>
  <si>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</si>
  <si>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</si>
  <si>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</si>
  <si>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</si>
  <si>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</si>
  <si>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</si>
  <si>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</si>
  <si>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</si>
  <si>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</si>
  <si>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</si>
  <si>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</si>
  <si>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</si>
  <si>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</si>
  <si>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</si>
  <si>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</si>
  <si>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</si>
  <si>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</si>
  <si>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</si>
  <si>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</si>
  <si>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</si>
  <si>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</si>
  <si>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</si>
  <si>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</si>
  <si>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</si>
  <si>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</si>
  <si>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</si>
  <si>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</si>
  <si>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</si>
  <si>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</si>
  <si>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</si>
  <si>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</si>
  <si>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</si>
  <si>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</si>
  <si>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</si>
  <si>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</si>
  <si>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</si>
  <si>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</si>
  <si>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</si>
  <si>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</si>
  <si>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</si>
  <si>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</si>
  <si>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</si>
  <si>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</si>
  <si>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</si>
  <si>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</si>
  <si>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</si>
  <si>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</si>
  <si>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</si>
  <si>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</si>
  <si>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</si>
  <si>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</si>
  <si>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</si>
  <si>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</si>
  <si>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</si>
  <si>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</si>
  <si>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</si>
  <si>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</si>
  <si>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</si>
  <si>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</si>
  <si>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</si>
  <si>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</si>
  <si>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</si>
  <si>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</si>
  <si>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</si>
  <si>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</si>
  <si>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</si>
  <si>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</si>
  <si>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</si>
  <si>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</si>
  <si>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</si>
  <si>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</si>
  <si>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</si>
  <si>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</si>
  <si>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</si>
  <si>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</si>
  <si>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</si>
  <si>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</si>
  <si>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</si>
  <si>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</si>
  <si>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</si>
  <si>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</si>
  <si>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</si>
  <si>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</si>
  <si>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</si>
  <si>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</si>
  <si>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</si>
  <si>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</si>
  <si>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</si>
  <si>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</si>
  <si>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</si>
  <si>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</si>
  <si>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</si>
  <si>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</si>
  <si>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</si>
  <si>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</si>
  <si>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</si>
  <si>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</si>
  <si>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</si>
  <si>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</si>
  <si>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</si>
  <si>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</si>
  <si>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</si>
  <si>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</si>
  <si>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</si>
  <si>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</si>
  <si>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</si>
  <si>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</si>
  <si>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</si>
  <si>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</si>
  <si>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</si>
  <si>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</si>
  <si>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</si>
  <si>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</si>
  <si>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</si>
  <si>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</si>
  <si>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</si>
  <si>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</si>
  <si>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</si>
  <si>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</si>
  <si>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</si>
  <si>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</si>
  <si>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</si>
  <si>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</si>
  <si>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</si>
  <si>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</si>
  <si>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</si>
  <si>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</si>
  <si>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</si>
  <si>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</si>
  <si>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</si>
  <si>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</si>
  <si>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</si>
  <si>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</si>
  <si>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</si>
  <si>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</si>
  <si>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</si>
  <si>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</si>
  <si>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</si>
  <si>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</si>
  <si>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</si>
  <si>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</si>
  <si>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</si>
  <si>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</si>
  <si>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</si>
  <si>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</si>
  <si>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</si>
  <si>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</si>
  <si>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</si>
  <si>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</si>
  <si>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</si>
  <si>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</si>
  <si>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</si>
  <si>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</si>
  <si>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</si>
  <si>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</si>
  <si>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</si>
  <si>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</si>
  <si>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</si>
  <si>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</si>
  <si>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</si>
  <si>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</si>
  <si>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</si>
  <si>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</si>
  <si>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</si>
  <si>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</si>
  <si>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</si>
  <si>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</si>
  <si>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</si>
  <si>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</si>
  <si>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</si>
  <si>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</si>
  <si>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</si>
  <si>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</si>
  <si>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</si>
  <si>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</si>
  <si>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</si>
  <si>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</si>
  <si>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</si>
  <si>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</si>
  <si>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</si>
  <si>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</si>
  <si>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</si>
  <si>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</si>
  <si>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</si>
  <si>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</si>
  <si>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</si>
  <si>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</si>
  <si>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</si>
  <si>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</si>
  <si>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</si>
  <si>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</si>
  <si>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</si>
  <si>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</si>
  <si>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</si>
  <si>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</si>
  <si>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</si>
  <si>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</si>
  <si>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</si>
  <si>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</si>
  <si>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</si>
  <si>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</si>
  <si>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</si>
  <si>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</si>
  <si>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</si>
  <si>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</si>
  <si>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</si>
  <si>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</si>
  <si>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</si>
  <si>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</si>
  <si>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</si>
  <si>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</si>
  <si>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</si>
  <si>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</si>
  <si>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</si>
  <si>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</si>
  <si>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</si>
  <si>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</si>
  <si>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</si>
  <si>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</si>
  <si>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</si>
  <si>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</si>
  <si>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</si>
  <si>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</si>
  <si>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</si>
  <si>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</si>
  <si>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</si>
  <si>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</si>
  <si>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</si>
  <si>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</si>
  <si>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</si>
  <si>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</si>
  <si>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</si>
  <si>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</si>
  <si>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</si>
  <si>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</si>
  <si>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</si>
  <si>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</si>
  <si>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</si>
  <si>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</si>
  <si>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</si>
  <si>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</si>
  <si>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</si>
  <si>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</si>
  <si>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</si>
  <si>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</si>
  <si>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</si>
  <si>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</si>
  <si>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</si>
  <si>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</si>
  <si>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</si>
  <si>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</si>
  <si>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</si>
  <si>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</si>
  <si>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</si>
  <si>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</si>
  <si>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</si>
  <si>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</si>
  <si>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</si>
  <si>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</si>
  <si>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</si>
  <si>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</si>
  <si>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</si>
  <si>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</si>
  <si>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</si>
  <si>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</si>
  <si>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</si>
  <si>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</si>
  <si>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</si>
  <si>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</si>
  <si>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</si>
  <si>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</si>
  <si>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</si>
  <si>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</si>
  <si>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</si>
  <si>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</si>
  <si>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</si>
  <si>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</si>
  <si>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</si>
  <si>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</si>
  <si>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</si>
  <si>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</si>
  <si>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</si>
  <si>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</si>
  <si>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</si>
  <si>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</si>
  <si>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</si>
  <si>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</si>
  <si>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</si>
  <si>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</si>
  <si>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</si>
  <si>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</si>
  <si>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</si>
  <si>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</si>
  <si>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</si>
  <si>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</si>
  <si>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</si>
  <si>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</si>
  <si>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</si>
  <si>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</si>
  <si>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</si>
  <si>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</si>
  <si>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</si>
  <si>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</si>
  <si>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</si>
  <si>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</si>
  <si>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</si>
  <si>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</si>
  <si>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</si>
  <si>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</si>
  <si>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</si>
  <si>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</si>
  <si>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</si>
  <si>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</si>
  <si>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</si>
  <si>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</si>
  <si>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</si>
  <si>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</si>
  <si>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</si>
  <si>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</si>
  <si>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</si>
  <si>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</si>
  <si>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</si>
  <si>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</si>
  <si>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</si>
  <si>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</si>
  <si>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</si>
  <si>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</si>
  <si>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</si>
  <si>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</si>
  <si>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</si>
  <si>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</si>
  <si>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</si>
  <si>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</si>
  <si>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</si>
  <si>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</si>
  <si>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</si>
  <si>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</si>
  <si>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</si>
  <si>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</si>
  <si>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</si>
  <si>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</si>
  <si>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</si>
  <si>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</si>
  <si>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</si>
  <si>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</si>
  <si>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</si>
  <si>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</si>
  <si>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</si>
  <si>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</si>
  <si>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</si>
  <si>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</si>
  <si>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</si>
  <si>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</si>
  <si>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</si>
  <si>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</si>
  <si>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</si>
  <si>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</si>
  <si>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</si>
  <si>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</si>
  <si>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</si>
  <si>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</si>
  <si>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</si>
  <si>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</si>
  <si>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</si>
  <si>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</si>
  <si>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</si>
  <si>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</si>
  <si>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</si>
  <si>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</si>
  <si>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</si>
  <si>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</si>
  <si>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</si>
  <si>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</si>
  <si>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</si>
  <si>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</si>
  <si>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</si>
  <si>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</si>
  <si>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</si>
  <si>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</si>
  <si>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</si>
  <si>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</si>
  <si>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</si>
  <si>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</si>
  <si>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</si>
  <si>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</si>
  <si>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</si>
  <si>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</si>
  <si>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</si>
  <si>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</si>
  <si>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</si>
  <si>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</si>
  <si>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</si>
  <si>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</si>
  <si>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</si>
  <si>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</si>
  <si>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</si>
  <si>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</si>
  <si>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</si>
  <si>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</si>
  <si>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</si>
  <si>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</si>
  <si>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</si>
  <si>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</si>
  <si>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</si>
  <si>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</si>
  <si>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</si>
  <si>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</si>
  <si>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</si>
  <si>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</si>
  <si>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</si>
  <si>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</si>
  <si>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</si>
  <si>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</si>
  <si>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</si>
  <si>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</si>
  <si>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</si>
  <si>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</si>
  <si>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</si>
  <si>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</si>
  <si>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</si>
  <si>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</si>
  <si>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</si>
  <si>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</si>
  <si>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</si>
  <si>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</si>
  <si>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</si>
  <si>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</si>
  <si>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</si>
  <si>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</si>
  <si>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</si>
  <si>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</si>
  <si>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</si>
  <si>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</si>
  <si>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</si>
  <si>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</si>
  <si>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</si>
  <si>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</si>
  <si>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</si>
  <si>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</si>
  <si>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</si>
  <si>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</si>
  <si>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</si>
  <si>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</si>
  <si>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</si>
  <si>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</si>
  <si>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</si>
  <si>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</si>
  <si>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</si>
  <si>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</si>
  <si>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</si>
  <si>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</si>
  <si>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</si>
  <si>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</si>
  <si>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</si>
  <si>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</si>
  <si>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</si>
  <si>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</si>
  <si>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</si>
  <si>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</si>
  <si>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</si>
  <si>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</si>
  <si>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</si>
  <si>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</si>
  <si>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</si>
  <si>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</si>
  <si>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</si>
  <si>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</si>
  <si>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</si>
  <si>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</si>
  <si>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</si>
  <si>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</si>
  <si>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</si>
  <si>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</si>
  <si>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</si>
  <si>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</si>
  <si>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</si>
  <si>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</si>
  <si>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</si>
  <si>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</si>
  <si>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</si>
  <si>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</si>
  <si>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</si>
  <si>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</si>
  <si>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</si>
  <si>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</si>
  <si>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</si>
  <si>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</si>
  <si>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</si>
  <si>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</si>
  <si>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</si>
  <si>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</si>
  <si>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</si>
  <si>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</si>
  <si>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</si>
  <si>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</si>
  <si>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</si>
  <si>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</si>
  <si>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</si>
  <si>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</si>
  <si>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</si>
  <si>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</si>
  <si>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</si>
  <si>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</si>
  <si>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</si>
  <si>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</si>
  <si>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</si>
  <si>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</si>
  <si>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</si>
  <si>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</si>
  <si>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</si>
  <si>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</si>
  <si>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</si>
  <si>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</si>
  <si>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</si>
  <si>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</si>
  <si>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</si>
  <si>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</si>
  <si>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</si>
  <si>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</si>
  <si>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</si>
  <si>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</si>
  <si>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</si>
  <si>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</si>
  <si>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</si>
  <si>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</si>
  <si>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</si>
  <si>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</si>
  <si>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</si>
  <si>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</si>
  <si>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</si>
  <si>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</si>
  <si>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</si>
  <si>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</si>
  <si>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</si>
  <si>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</si>
  <si>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</si>
  <si>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</si>
  <si>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</si>
  <si>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</si>
  <si>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</si>
  <si>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</si>
  <si>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</si>
  <si>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</si>
  <si>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</si>
  <si>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</si>
  <si>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</si>
  <si>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</si>
  <si>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</si>
  <si>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</si>
  <si>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</si>
  <si>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</si>
  <si>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</si>
  <si>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</si>
  <si>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</si>
  <si>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</si>
  <si>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</si>
  <si>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</si>
  <si>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</si>
  <si>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</si>
  <si>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</si>
  <si>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</si>
  <si>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</si>
  <si>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</si>
  <si>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</si>
  <si>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</si>
  <si>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</si>
  <si>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</si>
  <si>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</si>
  <si>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</si>
  <si>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</si>
  <si>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</si>
  <si>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</si>
  <si>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</si>
  <si>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</si>
  <si>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</si>
  <si>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</si>
  <si>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</si>
  <si>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</si>
  <si>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</si>
  <si>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</si>
  <si>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</si>
  <si>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</si>
  <si>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</si>
  <si>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</si>
  <si>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</si>
  <si>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</si>
  <si>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</si>
  <si>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</si>
  <si>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</si>
  <si>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</si>
  <si>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</si>
  <si>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</si>
  <si>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</si>
  <si>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</si>
  <si>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</si>
  <si>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</si>
  <si>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</si>
  <si>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</si>
  <si>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</si>
  <si>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</si>
  <si>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</si>
  <si>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</si>
  <si>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</si>
  <si>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</si>
  <si>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</si>
  <si>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</si>
  <si>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</si>
  <si>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</si>
  <si>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</si>
  <si>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</si>
  <si>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</si>
  <si>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</si>
  <si>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</si>
  <si>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</si>
  <si>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</si>
  <si>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</si>
  <si>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</si>
  <si>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</si>
  <si>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</si>
  <si>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</si>
  <si>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</si>
  <si>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</si>
  <si>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</si>
  <si>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</si>
  <si>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</si>
  <si>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</si>
  <si>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</si>
  <si>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</si>
  <si>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</si>
  <si>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</si>
  <si>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</si>
  <si>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</si>
  <si>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</si>
  <si>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</si>
  <si>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</si>
  <si>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</si>
  <si>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</si>
  <si>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</si>
  <si>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</si>
  <si>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</si>
  <si>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</si>
  <si>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</si>
  <si>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</si>
  <si>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</si>
  <si>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</si>
  <si>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</si>
  <si>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</si>
  <si>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</si>
  <si>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</si>
  <si>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</si>
  <si>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</si>
  <si>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</si>
  <si>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</si>
  <si>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</si>
  <si>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</si>
  <si>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</si>
  <si>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</si>
  <si>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</si>
  <si>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</si>
  <si>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</si>
  <si>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</si>
  <si>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</si>
  <si>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</si>
  <si>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</si>
  <si>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</si>
  <si>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</si>
  <si>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</si>
  <si>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</si>
  <si>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</si>
  <si>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</si>
  <si>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</si>
  <si>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</si>
  <si>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</si>
  <si>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</si>
  <si>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</si>
  <si>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</si>
  <si>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</si>
  <si>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</si>
  <si>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</si>
  <si>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</si>
  <si>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</si>
  <si>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</si>
  <si>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</si>
  <si>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</si>
  <si>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</si>
  <si>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</si>
  <si>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</si>
  <si>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</si>
  <si>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</si>
  <si>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</si>
  <si>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</si>
  <si>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</si>
  <si>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</si>
  <si>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</si>
  <si>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</si>
  <si>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</si>
  <si>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</si>
  <si>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</si>
  <si>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</si>
  <si>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</si>
  <si>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</si>
  <si>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</si>
  <si>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</si>
  <si>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</si>
  <si>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</si>
  <si>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</si>
  <si>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</si>
  <si>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</si>
  <si>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</si>
  <si>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</si>
  <si>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</si>
  <si>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</si>
  <si>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</si>
  <si>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</si>
  <si>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</si>
  <si>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</si>
  <si>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</si>
  <si>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</si>
  <si>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</si>
  <si>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</si>
  <si>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</si>
  <si>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</si>
  <si>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</si>
  <si>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</si>
  <si>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</si>
  <si>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</si>
  <si>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</si>
  <si>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</si>
  <si>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</si>
  <si>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</si>
  <si>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</si>
  <si>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</si>
  <si>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</si>
  <si>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</si>
  <si>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</si>
  <si>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</si>
  <si>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</si>
  <si>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</si>
  <si>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</si>
  <si>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</si>
  <si>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</si>
  <si>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</si>
  <si>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</si>
  <si>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</si>
  <si>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</si>
  <si>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</si>
  <si>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</si>
  <si>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</si>
  <si>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</si>
  <si>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</si>
  <si>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</si>
  <si>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</si>
  <si>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</si>
  <si>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</si>
  <si>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</si>
  <si>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</si>
  <si>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</si>
  <si>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</si>
  <si>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</si>
  <si>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</si>
  <si>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</si>
  <si>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</si>
  <si>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</si>
  <si>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</si>
  <si>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</si>
  <si>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</si>
  <si>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</si>
  <si>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</si>
  <si>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</si>
  <si>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</si>
  <si>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</si>
  <si>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</si>
  <si>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</si>
  <si>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</si>
  <si>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</si>
  <si>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</si>
  <si>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</si>
  <si>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</si>
  <si>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</si>
  <si>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</si>
  <si>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</si>
  <si>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</si>
  <si>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</si>
  <si>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</si>
  <si>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</si>
  <si>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</si>
  <si>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</si>
  <si>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</si>
  <si>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</si>
  <si>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</si>
  <si>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</si>
  <si>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</si>
  <si>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</si>
  <si>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</si>
  <si>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</si>
  <si>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</si>
  <si>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</si>
  <si>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</si>
  <si>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</si>
  <si>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</si>
  <si>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</si>
  <si>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</si>
  <si>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</si>
  <si>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</si>
  <si>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</si>
  <si>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</si>
  <si>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</si>
  <si>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</si>
  <si>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</si>
  <si>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</si>
  <si>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</si>
  <si>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</si>
  <si>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</si>
  <si>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</si>
  <si>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</si>
  <si>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</si>
  <si>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</si>
  <si>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</si>
  <si>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</si>
  <si>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</si>
  <si>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</si>
  <si>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</si>
  <si>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</si>
  <si>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</si>
  <si>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</si>
  <si>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</si>
  <si>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</si>
  <si>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</si>
  <si>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</si>
  <si>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</si>
  <si>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</si>
  <si>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</si>
  <si>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</si>
  <si>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</si>
  <si>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</si>
  <si>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</si>
  <si>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</si>
  <si>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</si>
  <si>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</si>
  <si>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</si>
  <si>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</si>
  <si>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</si>
  <si>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</si>
  <si>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</si>
  <si>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</si>
  <si>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</si>
  <si>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</si>
  <si>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</si>
  <si>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</si>
  <si>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</si>
  <si>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</si>
  <si>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</si>
  <si>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</si>
  <si>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</si>
  <si>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</si>
  <si>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</si>
  <si>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</si>
  <si>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</si>
  <si>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</si>
  <si>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</si>
  <si>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</si>
  <si>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</si>
  <si>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</si>
  <si>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</si>
  <si>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</si>
  <si>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</si>
  <si>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</si>
  <si>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</si>
  <si>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</si>
  <si>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</si>
  <si>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</si>
  <si>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</si>
  <si>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</si>
  <si>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</si>
  <si>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</si>
  <si>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</si>
  <si>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</si>
  <si>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</si>
  <si>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</si>
  <si>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</si>
  <si>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</si>
  <si>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</si>
  <si>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</si>
  <si>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</si>
  <si>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</si>
  <si>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</si>
  <si>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</si>
  <si>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</si>
  <si>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</si>
  <si>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</si>
  <si>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</si>
  <si>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</si>
  <si>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</si>
  <si>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</si>
  <si>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</si>
  <si>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</si>
  <si>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</si>
  <si>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</si>
  <si>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</si>
  <si>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</si>
  <si>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</si>
  <si>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</si>
  <si>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</si>
  <si>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</si>
  <si>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</si>
  <si>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</si>
  <si>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</si>
  <si>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</si>
  <si>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</si>
  <si>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</si>
  <si>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</si>
  <si>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</si>
  <si>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</si>
  <si>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</si>
  <si>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</si>
  <si>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</si>
  <si>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</si>
  <si>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</si>
  <si>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</si>
  <si>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</si>
  <si>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</si>
  <si>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</si>
  <si>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</si>
  <si>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</si>
  <si>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</si>
  <si>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</si>
  <si>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</si>
  <si>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</si>
  <si>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</si>
  <si>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</si>
  <si>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</si>
  <si>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</si>
  <si>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</si>
  <si>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</si>
  <si>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</si>
  <si>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</si>
  <si>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</si>
  <si>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</si>
  <si>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</si>
  <si>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</si>
  <si>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</si>
  <si>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</si>
  <si>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</si>
  <si>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</si>
  <si>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</si>
  <si>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</si>
  <si>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</si>
  <si>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</si>
  <si>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</si>
  <si>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</si>
  <si>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</si>
  <si>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</si>
  <si>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</si>
  <si>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</si>
  <si>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</si>
  <si>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</si>
  <si>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</si>
  <si>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</si>
  <si>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</si>
  <si>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</si>
  <si>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</si>
  <si>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</si>
  <si>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</si>
  <si>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</si>
  <si>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</si>
  <si>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</si>
  <si>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</si>
  <si>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</si>
  <si>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</si>
  <si>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</si>
  <si>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</si>
  <si>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</si>
  <si>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</si>
  <si>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</si>
  <si>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</si>
  <si>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</si>
  <si>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</si>
  <si>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</si>
  <si>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</si>
  <si>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</si>
  <si>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</si>
  <si>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</si>
  <si>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</si>
  <si>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</si>
  <si>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</si>
  <si>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</si>
  <si>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</si>
  <si>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</si>
  <si>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</si>
  <si>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</si>
  <si>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</si>
  <si>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</si>
  <si>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</si>
  <si>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</si>
  <si>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</si>
  <si>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</si>
  <si>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</si>
  <si>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</si>
  <si>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</si>
  <si>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</si>
  <si>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</si>
  <si>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</si>
  <si>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</si>
  <si>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</si>
  <si>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</si>
  <si>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</si>
  <si>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</si>
  <si>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</si>
  <si>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</si>
  <si>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</si>
  <si>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</si>
  <si>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</si>
  <si>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</si>
  <si>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</si>
  <si>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</si>
  <si>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</si>
  <si>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</si>
  <si>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</si>
  <si>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</si>
  <si>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</si>
  <si>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</si>
  <si>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</si>
  <si>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</si>
  <si>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</si>
  <si>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</si>
  <si>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</si>
  <si>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</si>
  <si>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</si>
  <si>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</si>
  <si>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</si>
  <si>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</si>
  <si>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</si>
  <si>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</si>
  <si>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</si>
  <si>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</si>
  <si>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</si>
  <si>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</si>
  <si>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</si>
  <si>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</si>
  <si>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</si>
  <si>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</si>
  <si>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</si>
  <si>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</si>
  <si>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</si>
  <si>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</si>
  <si>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</si>
  <si>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</si>
  <si>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</si>
  <si>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</si>
  <si>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</si>
  <si>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</si>
  <si>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</si>
  <si>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</si>
  <si>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</si>
  <si>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</si>
  <si>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</si>
  <si>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</si>
  <si>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</si>
  <si>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</si>
  <si>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</si>
  <si>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</si>
  <si>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</si>
  <si>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</si>
  <si>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</si>
  <si>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</si>
  <si>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</si>
  <si>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</si>
  <si>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</si>
  <si>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</si>
  <si>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</si>
  <si>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</si>
  <si>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</si>
  <si>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</si>
  <si>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</si>
  <si>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</si>
  <si>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</si>
  <si>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</si>
  <si>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</si>
  <si>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</si>
  <si>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</si>
  <si>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</si>
  <si>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</si>
  <si>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</si>
  <si>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</si>
  <si>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</si>
  <si>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</si>
  <si>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</si>
  <si>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</si>
  <si>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</si>
  <si>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</si>
  <si>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</si>
  <si>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</si>
  <si>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</si>
  <si>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</si>
  <si>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</si>
  <si>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</si>
  <si>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</si>
  <si>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</si>
  <si>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</si>
  <si>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</si>
  <si>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</si>
  <si>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</si>
  <si>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</si>
  <si>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</si>
  <si>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</si>
  <si>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</si>
  <si>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</si>
  <si>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</si>
  <si>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</si>
  <si>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</si>
  <si>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</si>
  <si>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</si>
  <si>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</si>
  <si>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</si>
  <si>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</si>
  <si>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</si>
  <si>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</si>
  <si>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</si>
  <si>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</si>
  <si>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</si>
  <si>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</si>
  <si>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</si>
  <si>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</si>
  <si>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</si>
  <si>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</si>
  <si>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</si>
  <si>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</si>
  <si>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</si>
  <si>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</si>
  <si>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</si>
  <si>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</si>
  <si>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</si>
  <si>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</si>
  <si>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</si>
  <si>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</si>
  <si>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</si>
  <si>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</si>
  <si>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</si>
  <si>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</si>
  <si>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</si>
  <si>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</si>
  <si>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</si>
  <si>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</si>
  <si>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</si>
  <si>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</si>
  <si>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</si>
  <si>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</si>
  <si>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</si>
  <si>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</si>
  <si>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</si>
  <si>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</si>
  <si>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</si>
  <si>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</si>
  <si>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</si>
  <si>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</si>
  <si>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</si>
  <si>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</si>
  <si>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</si>
  <si>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</si>
  <si>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</si>
  <si>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</si>
  <si>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</si>
  <si>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</si>
  <si>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</si>
  <si>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</si>
  <si>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</si>
  <si>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</si>
  <si>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</si>
  <si>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</si>
  <si>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</si>
  <si>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</si>
  <si>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</si>
  <si>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</si>
  <si>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</si>
  <si>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</si>
  <si>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</si>
  <si>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</si>
  <si>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</si>
  <si>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</si>
  <si>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</si>
  <si>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</si>
  <si>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</si>
  <si>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</si>
  <si>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</si>
  <si>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</si>
  <si>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</si>
  <si>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</si>
  <si>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</si>
  <si>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</si>
  <si>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</si>
  <si>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</si>
  <si>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</si>
  <si>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</si>
  <si>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</si>
  <si>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</si>
  <si>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</si>
  <si>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</si>
  <si>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</si>
  <si>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</si>
  <si>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</si>
  <si>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</si>
  <si>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</si>
  <si>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</si>
  <si>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</si>
  <si>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</si>
  <si>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</si>
  <si>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</si>
  <si>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</si>
  <si>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</si>
  <si>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</si>
  <si>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</si>
  <si>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</si>
  <si>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</si>
  <si>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</si>
  <si>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</si>
  <si>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</si>
  <si>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</si>
  <si>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</si>
  <si>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</si>
  <si>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</si>
  <si>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</si>
  <si>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</si>
  <si>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</si>
  <si>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</si>
  <si>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</si>
  <si>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</si>
  <si>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</si>
  <si>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</si>
  <si>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</si>
  <si>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</si>
  <si>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</si>
  <si>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</si>
  <si>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</si>
  <si>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</si>
  <si>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</si>
  <si>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</si>
  <si>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</si>
  <si>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</si>
  <si>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</si>
  <si>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</si>
  <si>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</si>
  <si>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</si>
  <si>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</si>
  <si>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</si>
  <si>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</si>
  <si>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</si>
  <si>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</si>
  <si>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</si>
  <si>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</si>
  <si>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</si>
  <si>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</si>
  <si>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</si>
  <si>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</si>
  <si>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</si>
  <si>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</si>
  <si>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</si>
  <si>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</si>
  <si>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</si>
  <si>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</si>
  <si>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</si>
  <si>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</si>
  <si>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</si>
  <si>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</si>
  <si>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</si>
  <si>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</si>
  <si>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</si>
  <si>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</si>
  <si>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</si>
  <si>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</si>
  <si>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</si>
  <si>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</si>
  <si>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</si>
  <si>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</si>
  <si>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</si>
  <si>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</si>
  <si>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</si>
  <si>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</si>
  <si>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</si>
  <si>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</si>
  <si>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</si>
  <si>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</si>
  <si>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</si>
  <si>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</si>
  <si>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</si>
  <si>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</si>
  <si>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</si>
  <si>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</si>
  <si>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</si>
  <si>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</si>
  <si>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</si>
  <si>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</si>
  <si>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</si>
  <si>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</si>
  <si>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</si>
  <si>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</si>
  <si>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</si>
  <si>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</si>
  <si>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</si>
  <si>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</si>
  <si>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</si>
  <si>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</si>
  <si>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</si>
  <si>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</si>
  <si>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</si>
  <si>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</si>
  <si>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</si>
  <si>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</si>
  <si>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</si>
  <si>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</si>
  <si>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</si>
  <si>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</si>
  <si>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</si>
  <si>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</si>
  <si>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</si>
  <si>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</si>
  <si>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</si>
  <si>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</si>
  <si>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</si>
  <si>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</si>
  <si>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</si>
  <si>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</si>
  <si>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</si>
  <si>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</si>
  <si>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</si>
  <si>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</si>
  <si>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</si>
  <si>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</si>
  <si>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</si>
  <si>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</si>
  <si>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</si>
  <si>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</si>
  <si>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</si>
  <si>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</si>
  <si>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</si>
  <si>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</si>
  <si>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</si>
  <si>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</si>
  <si>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</si>
  <si>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</si>
  <si>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</si>
  <si>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</si>
  <si>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</si>
  <si>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</si>
  <si>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</si>
  <si>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</si>
  <si>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</si>
  <si>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</si>
  <si>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</si>
  <si>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</si>
  <si>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</si>
  <si>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</si>
  <si>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</si>
  <si>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</si>
  <si>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</si>
  <si>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</si>
  <si>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</si>
  <si>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</si>
  <si>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</si>
  <si>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</si>
  <si>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</si>
  <si>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</si>
  <si>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</si>
  <si>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</si>
  <si>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</si>
  <si>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</si>
  <si>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</si>
  <si>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</si>
  <si>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</si>
  <si>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</si>
  <si>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</si>
  <si>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</si>
  <si>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</si>
  <si>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</si>
  <si>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</si>
  <si>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</si>
  <si>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</si>
  <si>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</si>
  <si>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</si>
  <si>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</si>
  <si>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</si>
  <si>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</si>
  <si>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</si>
  <si>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</si>
  <si>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</si>
  <si>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</si>
  <si>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</si>
  <si>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</si>
  <si>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</si>
  <si>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</si>
  <si>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</si>
  <si>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</si>
  <si>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</si>
  <si>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</si>
  <si>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</si>
  <si>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</si>
  <si>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</si>
  <si>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</si>
  <si>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</si>
  <si>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</si>
  <si>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</si>
  <si>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</si>
  <si>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</si>
  <si>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</si>
  <si>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</si>
  <si>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</si>
  <si>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</si>
  <si>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</si>
  <si>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</si>
  <si>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</si>
  <si>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</si>
  <si>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</si>
  <si>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</si>
  <si>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</si>
  <si>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</si>
  <si>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</si>
  <si>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</si>
  <si>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</si>
  <si>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</si>
  <si>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</si>
  <si>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</si>
  <si>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</si>
  <si>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</si>
  <si>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</si>
  <si>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</si>
  <si>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</si>
  <si>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</si>
  <si>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</si>
  <si>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</si>
  <si>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</si>
  <si>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</si>
  <si>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</si>
  <si>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</si>
  <si>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</si>
  <si>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</si>
  <si>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</si>
  <si>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</si>
  <si>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</si>
  <si>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</si>
  <si>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</si>
  <si>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</si>
  <si>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</si>
  <si>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</si>
  <si>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</si>
  <si>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</si>
  <si>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</si>
  <si>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</si>
  <si>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</si>
  <si>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</si>
  <si>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</si>
  <si>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</si>
  <si>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</si>
  <si>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</si>
  <si>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</si>
  <si>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</si>
  <si>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</si>
  <si>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</si>
  <si>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</si>
  <si>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</si>
  <si>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</si>
  <si>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</si>
  <si>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</si>
  <si>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</si>
  <si>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</si>
  <si>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</si>
  <si>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</si>
  <si>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</si>
  <si>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</si>
  <si>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</si>
  <si>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</si>
  <si>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</si>
  <si>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</si>
  <si>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</si>
  <si>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</si>
  <si>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</si>
  <si>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</si>
  <si>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</si>
  <si>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</si>
  <si>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</si>
  <si>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</si>
  <si>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</si>
  <si>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</si>
  <si>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</si>
  <si>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</si>
  <si>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</si>
  <si>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</si>
  <si>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</si>
  <si>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</si>
  <si>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</si>
  <si>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</si>
  <si>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</si>
  <si>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</si>
  <si>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</si>
  <si>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</si>
  <si>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</si>
  <si>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</si>
  <si>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</si>
  <si>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</si>
  <si>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</si>
  <si>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</si>
  <si>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</si>
  <si>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</si>
  <si>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</si>
  <si>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</si>
  <si>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</si>
  <si>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</si>
  <si>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</si>
  <si>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</si>
  <si>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</si>
  <si>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</si>
  <si>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</si>
  <si>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</si>
  <si>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</si>
  <si>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</si>
  <si>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</si>
  <si>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</si>
  <si>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</si>
  <si>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</si>
  <si>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</si>
  <si>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</si>
  <si>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</si>
  <si>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</si>
  <si>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</si>
  <si>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</si>
  <si>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</si>
  <si>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</si>
  <si>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</si>
  <si>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</si>
  <si>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</si>
  <si>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</si>
  <si>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</si>
  <si>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</si>
  <si>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</si>
  <si>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</si>
  <si>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</si>
  <si>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</si>
  <si>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</si>
  <si>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</si>
  <si>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</si>
  <si>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</si>
  <si>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</si>
  <si>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</si>
  <si>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</si>
  <si>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</si>
  <si>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</si>
  <si>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</si>
  <si>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</si>
  <si>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</si>
  <si>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</si>
  <si>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</si>
  <si>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</si>
  <si>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</si>
  <si>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</si>
  <si>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</si>
  <si>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</si>
  <si>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</si>
  <si>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</si>
  <si>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</si>
  <si>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</si>
  <si>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</si>
  <si>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</si>
  <si>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</si>
  <si>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</si>
  <si>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</si>
  <si>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</si>
  <si>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</si>
  <si>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</si>
  <si>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</si>
  <si>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</si>
  <si>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</si>
  <si>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</si>
  <si>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</si>
  <si>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</si>
  <si>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</si>
  <si>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</si>
  <si>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</si>
  <si>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</si>
  <si>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</si>
  <si>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</si>
  <si>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</si>
  <si>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</si>
  <si>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</si>
  <si>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</si>
  <si>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</si>
  <si>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</si>
  <si>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</si>
  <si>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</si>
  <si>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</si>
  <si>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</si>
  <si>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</si>
  <si>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</si>
  <si>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</si>
  <si>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</si>
  <si>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</si>
  <si>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</si>
  <si>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</si>
  <si>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</si>
  <si>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</si>
  <si>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</si>
  <si>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</si>
  <si>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</si>
  <si>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</si>
  <si>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</si>
  <si>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</si>
  <si>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</si>
  <si>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</si>
  <si>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</si>
  <si>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</si>
  <si>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</si>
  <si>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</si>
  <si>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</si>
  <si>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</si>
  <si>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</si>
  <si>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</si>
  <si>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</si>
  <si>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</si>
  <si>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</si>
  <si>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</si>
  <si>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</si>
  <si>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</si>
  <si>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</si>
  <si>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</si>
  <si>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</si>
  <si>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</si>
  <si>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</si>
  <si>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</si>
  <si>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</si>
  <si>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</si>
  <si>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</si>
  <si>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</si>
  <si>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</si>
  <si>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</si>
  <si>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</si>
  <si>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</si>
  <si>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</si>
  <si>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</si>
  <si>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</si>
  <si>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</si>
  <si>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</si>
  <si>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</si>
  <si>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</si>
  <si>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</si>
  <si>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</si>
  <si>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</si>
  <si>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</si>
  <si>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</si>
  <si>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</si>
  <si>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</si>
  <si>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</si>
  <si>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</si>
  <si>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</si>
  <si>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</si>
  <si>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</si>
  <si>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</si>
  <si>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</si>
  <si>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</si>
  <si>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</si>
  <si>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</si>
  <si>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</si>
  <si>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</si>
  <si>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</si>
  <si>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</si>
  <si>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</si>
  <si>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</si>
  <si>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</si>
  <si>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</si>
  <si>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</si>
  <si>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</si>
  <si>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</si>
  <si>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</si>
  <si>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</si>
  <si>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</si>
  <si>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</si>
  <si>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</si>
  <si>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</si>
  <si>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</si>
  <si>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</si>
  <si>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</si>
  <si>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</si>
  <si>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</si>
  <si>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</si>
  <si>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</si>
  <si>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</si>
  <si>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</si>
  <si>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</si>
  <si>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</si>
  <si>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</si>
  <si>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</si>
  <si>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</si>
  <si>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</si>
  <si>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</si>
  <si>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</si>
  <si>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</si>
  <si>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</si>
  <si>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</si>
  <si>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</si>
  <si>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</si>
  <si>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</si>
  <si>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</si>
  <si>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</si>
  <si>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</si>
  <si>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</si>
  <si>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</si>
  <si>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</si>
  <si>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</si>
  <si>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</si>
  <si>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</si>
  <si>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</si>
  <si>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</si>
  <si>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</si>
  <si>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</si>
  <si>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</si>
  <si>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</si>
  <si>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</si>
  <si>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</si>
  <si>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</si>
  <si>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</si>
  <si>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</si>
  <si>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</si>
  <si>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</si>
  <si>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</si>
  <si>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</si>
  <si>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</si>
  <si>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</si>
  <si>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</si>
  <si>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</si>
  <si>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</si>
  <si>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</si>
  <si>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</si>
  <si>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</si>
  <si>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</si>
  <si>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</si>
  <si>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</si>
  <si>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</si>
  <si>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</si>
  <si>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</si>
  <si>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</si>
  <si>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</si>
  <si>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</si>
  <si>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</si>
  <si>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</si>
  <si>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</si>
  <si>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</si>
  <si>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</si>
  <si>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</si>
  <si>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</si>
  <si>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</si>
  <si>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</si>
  <si>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</si>
  <si>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</si>
  <si>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</si>
  <si>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</si>
  <si>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</si>
  <si>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</si>
  <si>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</si>
  <si>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</si>
  <si>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</si>
  <si>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</si>
  <si>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</si>
  <si>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</si>
  <si>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</si>
  <si>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</si>
  <si>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</si>
  <si>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</si>
  <si>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</si>
  <si>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</si>
  <si>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</si>
  <si>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</si>
  <si>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</si>
  <si>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</si>
  <si>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</si>
  <si>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</si>
  <si>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</si>
  <si>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</si>
  <si>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</si>
  <si>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</si>
  <si>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</si>
  <si>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</si>
  <si>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</si>
  <si>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</si>
  <si>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</si>
  <si>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</si>
  <si>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</si>
  <si>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</si>
  <si>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</si>
  <si>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</si>
  <si>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</si>
  <si>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</si>
  <si>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</si>
  <si>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</si>
  <si>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</si>
  <si>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</si>
  <si>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</si>
  <si>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</si>
  <si>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</si>
  <si>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</si>
  <si>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</si>
  <si>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</si>
  <si>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</si>
  <si>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</si>
  <si>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</si>
  <si>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</si>
  <si>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</si>
  <si>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</si>
  <si>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</si>
  <si>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</si>
  <si>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</si>
  <si>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</si>
  <si>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</si>
  <si>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</si>
  <si>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</si>
  <si>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</si>
  <si>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</si>
  <si>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</si>
  <si>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</si>
  <si>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</si>
  <si>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</si>
  <si>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</si>
  <si>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</si>
  <si>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</si>
  <si>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</si>
  <si>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</si>
  <si>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</si>
  <si>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</si>
  <si>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</si>
  <si>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</si>
  <si>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</si>
  <si>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</si>
  <si>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</si>
  <si>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</si>
  <si>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</si>
  <si>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</si>
  <si>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</si>
  <si>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</si>
  <si>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</si>
  <si>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</si>
  <si>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</si>
  <si>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</si>
  <si>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</si>
  <si>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</si>
  <si>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</si>
  <si>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</si>
  <si>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</si>
  <si>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</si>
  <si>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</si>
  <si>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</si>
  <si>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</si>
  <si>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</si>
  <si>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</si>
  <si>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</si>
  <si>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</si>
  <si>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</si>
  <si>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</si>
  <si>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</si>
  <si>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</si>
  <si>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</si>
  <si>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</si>
  <si>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</si>
  <si>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</si>
  <si>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</si>
  <si>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</si>
  <si>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</si>
  <si>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</si>
  <si>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</si>
  <si>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</si>
  <si>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</si>
  <si>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</si>
  <si>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</si>
  <si>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</si>
  <si>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</si>
  <si>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</si>
  <si>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</si>
  <si>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</si>
  <si>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</si>
  <si>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</si>
  <si>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</si>
  <si>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</si>
  <si>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</si>
  <si>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</si>
  <si>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</si>
  <si>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</si>
  <si>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</si>
  <si>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</si>
  <si>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</si>
  <si>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</si>
  <si>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</si>
  <si>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</si>
  <si>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</si>
  <si>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</si>
  <si>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</si>
  <si>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</si>
  <si>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</si>
  <si>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</si>
  <si>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</si>
  <si>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</si>
  <si>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</si>
  <si>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</si>
  <si>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</si>
  <si>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</si>
  <si>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</si>
  <si>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</si>
  <si>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</si>
  <si>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</si>
  <si>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</si>
  <si>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</si>
  <si>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</si>
  <si>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</si>
  <si>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</si>
  <si>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</si>
  <si>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</si>
  <si>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</si>
  <si>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</si>
  <si>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</si>
  <si>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</si>
  <si>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</si>
  <si>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</si>
  <si>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</si>
  <si>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</si>
  <si>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</si>
  <si>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</si>
  <si>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</si>
  <si>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</si>
  <si>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</si>
  <si>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</si>
  <si>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</si>
  <si>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</si>
  <si>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</si>
  <si>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</si>
  <si>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</si>
  <si>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</si>
  <si>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</si>
  <si>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</si>
  <si>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</si>
  <si>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</si>
  <si>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</si>
  <si>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</si>
  <si>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</si>
  <si>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</si>
  <si>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</si>
  <si>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</si>
  <si>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</si>
  <si>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</si>
  <si>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</si>
  <si>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</si>
  <si>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</si>
  <si>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</si>
  <si>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</si>
  <si>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</si>
  <si>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</si>
  <si>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</si>
  <si>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</si>
  <si>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</si>
  <si>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</si>
  <si>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</si>
  <si>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</si>
  <si>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</si>
  <si>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</si>
  <si>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</si>
  <si>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</si>
  <si>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</si>
  <si>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</si>
  <si>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</si>
  <si>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</si>
  <si>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</si>
  <si>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</si>
  <si>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</si>
  <si>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</si>
  <si>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</si>
  <si>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</si>
  <si>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</si>
  <si>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</si>
  <si>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</si>
  <si>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</si>
  <si>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</si>
  <si>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</si>
  <si>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</si>
  <si>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</si>
  <si>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</si>
  <si>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</si>
  <si>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</si>
  <si>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</si>
  <si>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</si>
  <si>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</si>
  <si>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</si>
  <si>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</si>
  <si>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</si>
  <si>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</si>
  <si>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</si>
  <si>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</si>
  <si>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</si>
  <si>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</si>
  <si>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</si>
  <si>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</si>
  <si>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</si>
  <si>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</si>
  <si>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</si>
  <si>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</si>
  <si>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</si>
  <si>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</si>
  <si>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</si>
  <si>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</si>
  <si>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</si>
  <si>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</si>
  <si>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</si>
  <si>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</si>
  <si>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</si>
  <si>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</si>
  <si>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</si>
  <si>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</si>
  <si>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</si>
  <si>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</si>
  <si>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</si>
  <si>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</si>
  <si>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</si>
  <si>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</si>
  <si>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</si>
  <si>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</si>
  <si>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</si>
  <si>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</si>
  <si>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</si>
  <si>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</si>
  <si>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</si>
  <si>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</si>
  <si>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</si>
  <si>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</si>
  <si>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</si>
  <si>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</si>
  <si>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</si>
  <si>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</si>
  <si>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</si>
  <si>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</si>
  <si>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</si>
  <si>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</si>
  <si>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</si>
  <si>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</si>
  <si>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</si>
  <si>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</si>
  <si>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</si>
  <si>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</si>
  <si>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</si>
  <si>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</si>
  <si>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</si>
  <si>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</si>
  <si>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</si>
  <si>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</si>
  <si>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</si>
  <si>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</si>
  <si>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</si>
  <si>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</si>
  <si>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</si>
  <si>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</si>
  <si>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</si>
  <si>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</si>
  <si>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</si>
  <si>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</si>
  <si>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</si>
  <si>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</si>
  <si>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</si>
  <si>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</si>
  <si>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</si>
  <si>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</si>
  <si>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</si>
  <si>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</si>
  <si>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</si>
  <si>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</si>
  <si>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</si>
  <si>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</si>
  <si>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</si>
  <si>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</si>
  <si>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</si>
  <si>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</si>
  <si>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</si>
  <si>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</si>
  <si>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</si>
  <si>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</si>
  <si>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</si>
  <si>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</si>
  <si>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</si>
  <si>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</si>
  <si>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</si>
  <si>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</si>
  <si>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</si>
  <si>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</si>
  <si>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</si>
  <si>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</si>
  <si>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</si>
  <si>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</si>
  <si>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</si>
  <si>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</si>
  <si>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</si>
  <si>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</si>
  <si>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</si>
  <si>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</si>
  <si>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</si>
  <si>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</si>
  <si>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</si>
  <si>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</si>
  <si>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</si>
  <si>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</si>
  <si>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</si>
  <si>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</si>
  <si>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</si>
  <si>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</si>
  <si>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</si>
  <si>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</si>
  <si>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</si>
  <si>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</si>
  <si>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</si>
  <si>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</si>
  <si>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</si>
  <si>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</si>
  <si>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</si>
  <si>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</si>
  <si>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</si>
  <si>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</si>
  <si>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</si>
  <si>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</si>
  <si>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</si>
  <si>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</si>
  <si>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</si>
  <si>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</si>
  <si>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</si>
  <si>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</si>
  <si>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</si>
  <si>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</si>
  <si>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</si>
  <si>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</si>
  <si>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</si>
  <si>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</si>
  <si>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</si>
  <si>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</si>
  <si>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</si>
  <si>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</si>
  <si>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</si>
  <si>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</si>
  <si>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</si>
  <si>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</si>
  <si>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</si>
  <si>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</si>
  <si>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</si>
  <si>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</si>
  <si>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</si>
  <si>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</si>
  <si>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</si>
  <si>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</si>
  <si>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</si>
  <si>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</si>
  <si>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</si>
  <si>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</si>
  <si>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</si>
  <si>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</si>
  <si>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</si>
  <si>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</si>
  <si>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</si>
  <si>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</si>
  <si>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</si>
  <si>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</si>
  <si>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</si>
  <si>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</si>
  <si>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</si>
  <si>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</si>
  <si>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</si>
  <si>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</si>
  <si>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</si>
  <si>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</si>
  <si>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</si>
  <si>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</si>
  <si>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</si>
  <si>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</si>
  <si>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</si>
  <si>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</si>
  <si>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</si>
  <si>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</si>
  <si>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</si>
  <si>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</si>
  <si>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</si>
  <si>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</si>
  <si>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</si>
  <si>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</si>
  <si>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</si>
  <si>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</si>
  <si>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</si>
  <si>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</si>
  <si>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</si>
  <si>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</si>
  <si>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</si>
  <si>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</si>
  <si>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</si>
  <si>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</si>
  <si>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</si>
  <si>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</si>
  <si>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</si>
  <si>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</si>
  <si>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</si>
  <si>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</si>
  <si>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</si>
  <si>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</si>
  <si>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</si>
  <si>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</si>
  <si>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</si>
  <si>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</si>
  <si>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</si>
  <si>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</si>
  <si>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</si>
  <si>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</si>
  <si>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</si>
  <si>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</si>
  <si>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</si>
  <si>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</si>
  <si>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</si>
  <si>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</si>
  <si>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</si>
  <si>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</si>
  <si>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</si>
  <si>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</si>
  <si>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</si>
  <si>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</si>
  <si>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</si>
  <si>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</si>
  <si>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</si>
  <si>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</si>
  <si>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</si>
  <si>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</si>
  <si>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</si>
  <si>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</si>
  <si>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</si>
  <si>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</si>
  <si>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</si>
  <si>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</si>
  <si>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</si>
  <si>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</si>
  <si>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</si>
  <si>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</si>
  <si>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</si>
  <si>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</si>
  <si>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</si>
  <si>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</si>
  <si>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</si>
  <si>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</si>
  <si>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</si>
  <si>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</si>
  <si>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</si>
  <si>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</si>
  <si>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</si>
  <si>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</si>
  <si>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</si>
  <si>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</si>
  <si>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</si>
  <si>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</si>
  <si>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</si>
  <si>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</si>
  <si>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</si>
  <si>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</si>
  <si>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</si>
  <si>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</si>
  <si>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</si>
  <si>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</si>
  <si>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</si>
  <si>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</si>
  <si>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</si>
  <si>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</si>
  <si>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</si>
  <si>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</si>
  <si>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</si>
  <si>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</si>
  <si>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</si>
  <si>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</si>
  <si>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</si>
  <si>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</si>
  <si>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</si>
  <si>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</si>
  <si>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</si>
  <si>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</si>
  <si>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</si>
  <si>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</si>
  <si>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</si>
  <si>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</si>
  <si>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</si>
  <si>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</si>
  <si>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</si>
  <si>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</si>
  <si>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</si>
  <si>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</si>
  <si>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</si>
  <si>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</si>
  <si>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</si>
  <si>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</si>
  <si>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</si>
  <si>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</si>
  <si>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</si>
  <si>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</si>
  <si>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</si>
  <si>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</si>
  <si>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</si>
  <si>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</si>
  <si>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</si>
  <si>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</si>
  <si>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</si>
  <si>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</si>
  <si>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</si>
  <si>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</si>
  <si>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</si>
  <si>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</si>
  <si>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</si>
  <si>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</si>
  <si>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</si>
  <si>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</si>
  <si>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</si>
  <si>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</si>
  <si>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</si>
  <si>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</si>
  <si>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</si>
  <si>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</si>
  <si>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</si>
  <si>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</si>
  <si>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</si>
  <si>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</si>
  <si>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</si>
  <si>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</si>
  <si>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</si>
  <si>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</si>
  <si>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</si>
  <si>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</si>
  <si>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</si>
  <si>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</si>
  <si>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</si>
  <si>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</si>
  <si>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</si>
  <si>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</si>
  <si>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</si>
  <si>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</si>
  <si>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</si>
  <si>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</si>
  <si>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</si>
  <si>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</si>
  <si>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</si>
  <si>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</si>
  <si>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</si>
  <si>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</si>
  <si>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</si>
  <si>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</si>
  <si>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</si>
  <si>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</si>
  <si>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</si>
  <si>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</si>
  <si>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</si>
  <si>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</si>
  <si>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</si>
  <si>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</si>
  <si>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</si>
  <si>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</si>
  <si>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</si>
  <si>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</si>
  <si>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</si>
  <si>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</si>
  <si>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</si>
  <si>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</si>
  <si>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</si>
  <si>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</si>
  <si>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</si>
  <si>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</si>
  <si>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</si>
  <si>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</si>
  <si>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</si>
  <si>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</si>
  <si>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</si>
  <si>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</si>
  <si>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</si>
  <si>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</si>
  <si>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</si>
  <si>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</si>
  <si>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</si>
  <si>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</si>
  <si>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</si>
  <si>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</si>
  <si>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</si>
  <si>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</si>
  <si>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</si>
  <si>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</si>
  <si>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</si>
  <si>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</si>
  <si>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</si>
  <si>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</si>
  <si>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</si>
  <si>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</si>
  <si>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</si>
  <si>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</si>
  <si>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</si>
  <si>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</si>
  <si>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</si>
  <si>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</si>
  <si>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</si>
  <si>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</si>
  <si>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</si>
  <si>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</si>
  <si>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</si>
  <si>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</si>
  <si>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</si>
  <si>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</si>
  <si>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</si>
  <si>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</si>
  <si>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</si>
  <si>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</si>
  <si>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</si>
  <si>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</si>
  <si>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</si>
  <si>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</si>
  <si>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</si>
  <si>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</si>
  <si>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</si>
  <si>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</si>
  <si>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</si>
  <si>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</si>
  <si>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</si>
  <si>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</si>
  <si>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</si>
  <si>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</si>
  <si>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</si>
  <si>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</si>
  <si>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</si>
  <si>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</si>
  <si>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</si>
  <si>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</si>
  <si>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</si>
  <si>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</si>
  <si>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</si>
  <si>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</si>
  <si>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</si>
  <si>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</si>
  <si>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</si>
  <si>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</si>
  <si>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</si>
  <si>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</si>
  <si>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</si>
  <si>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</si>
  <si>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</si>
  <si>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</si>
  <si>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</si>
  <si>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</si>
  <si>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</si>
  <si>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</si>
  <si>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</si>
  <si>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</si>
  <si>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</si>
  <si>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</si>
  <si>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</si>
  <si>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</si>
  <si>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</si>
  <si>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</si>
  <si>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</si>
  <si>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</si>
  <si>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</si>
  <si>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</si>
  <si>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</si>
  <si>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</si>
  <si>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</si>
  <si>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</si>
  <si>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</si>
  <si>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</si>
  <si>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</si>
  <si>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</si>
  <si>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</si>
  <si>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</si>
  <si>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</si>
  <si>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</si>
  <si>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</si>
  <si>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</si>
  <si>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</si>
  <si>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</si>
  <si>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</si>
  <si>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</si>
  <si>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</si>
  <si>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</si>
  <si>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</si>
  <si>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</si>
  <si>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</si>
  <si>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</si>
  <si>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</si>
  <si>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</si>
  <si>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</si>
  <si>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</si>
  <si>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</si>
  <si>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</si>
  <si>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</si>
  <si>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</si>
  <si>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</si>
  <si>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</si>
  <si>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</si>
  <si>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</si>
  <si>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</si>
  <si>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</si>
  <si>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</si>
  <si>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</si>
  <si>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</si>
  <si>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</si>
  <si>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</si>
  <si>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</si>
  <si>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</si>
  <si>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</si>
  <si>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</si>
  <si>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</si>
  <si>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</si>
  <si>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</si>
  <si>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</si>
  <si>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</si>
  <si>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</si>
  <si>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</si>
  <si>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</si>
  <si>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</si>
  <si>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</si>
  <si>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</si>
  <si>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</si>
  <si>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</si>
  <si>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</si>
  <si>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</si>
  <si>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</si>
  <si>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</si>
  <si>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</si>
  <si>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</si>
  <si>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</si>
  <si>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</si>
  <si>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</si>
  <si>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</si>
  <si>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</si>
  <si>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</si>
  <si>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</si>
  <si>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</si>
  <si>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</si>
  <si>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</si>
  <si>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</si>
  <si>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</si>
  <si>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</si>
  <si>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</si>
  <si>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</si>
  <si>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</si>
  <si>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</si>
  <si>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</si>
  <si>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</si>
  <si>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</si>
  <si>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</si>
  <si>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</si>
  <si>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</si>
  <si>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</si>
  <si>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</si>
  <si>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</si>
  <si>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</si>
  <si>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</si>
  <si>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</si>
  <si>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</si>
  <si>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</si>
  <si>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</si>
  <si>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</si>
  <si>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</si>
  <si>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</si>
  <si>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</si>
  <si>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</si>
  <si>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</si>
  <si>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</si>
  <si>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</si>
  <si>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</si>
  <si>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</si>
  <si>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</si>
  <si>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</si>
  <si>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</si>
  <si>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</si>
  <si>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</si>
  <si>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</si>
  <si>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</si>
  <si>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</si>
  <si>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</si>
  <si>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</si>
  <si>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</si>
  <si>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</si>
  <si>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</si>
  <si>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</si>
  <si>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</si>
  <si>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</si>
  <si>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</si>
  <si>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</si>
  <si>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</si>
  <si>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</si>
  <si>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</si>
  <si>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</si>
  <si>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</si>
  <si>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</si>
  <si>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</si>
  <si>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</si>
  <si>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</si>
  <si>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</si>
  <si>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</si>
  <si>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</si>
  <si>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</si>
  <si>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</si>
  <si>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</si>
  <si>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</si>
  <si>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</si>
  <si>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</si>
  <si>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</si>
  <si>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</si>
  <si>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</si>
  <si>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</si>
  <si>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</si>
  <si>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</si>
  <si>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</si>
  <si>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</si>
  <si>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</si>
  <si>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</si>
  <si>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</si>
  <si>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</si>
  <si>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</si>
  <si>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</si>
  <si>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</si>
  <si>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</si>
  <si>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</si>
  <si>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</si>
  <si>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</si>
  <si>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</si>
  <si>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</si>
  <si>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</si>
  <si>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</si>
  <si>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</si>
  <si>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</si>
  <si>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</si>
  <si>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</si>
  <si>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</si>
  <si>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</si>
  <si>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</si>
  <si>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</si>
  <si>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</si>
  <si>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</si>
  <si>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</si>
  <si>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</si>
  <si>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</si>
  <si>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</si>
  <si>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</si>
  <si>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</si>
  <si>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</si>
  <si>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</si>
  <si>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</si>
  <si>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</si>
  <si>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</si>
  <si>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</si>
  <si>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</si>
  <si>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</si>
  <si>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</si>
  <si>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</si>
  <si>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</si>
  <si>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</si>
  <si>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</si>
  <si>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</si>
  <si>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</si>
  <si>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</si>
  <si>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</si>
  <si>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</si>
  <si>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</si>
  <si>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</si>
  <si>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</si>
  <si>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</si>
  <si>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</si>
  <si>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</si>
  <si>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</si>
  <si>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</si>
  <si>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</si>
  <si>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</si>
  <si>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</si>
  <si>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</si>
  <si>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</si>
  <si>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</si>
  <si>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</si>
  <si>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</si>
  <si>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</si>
  <si>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</si>
  <si>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</si>
  <si>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</si>
  <si>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</si>
  <si>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</si>
  <si>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</si>
  <si>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</si>
  <si>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</si>
  <si>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</si>
  <si>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</si>
  <si>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</si>
  <si>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</si>
  <si>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</si>
  <si>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</si>
  <si>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</si>
  <si>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</si>
  <si>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</si>
  <si>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</si>
  <si>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</si>
  <si>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</si>
  <si>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</si>
  <si>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</si>
  <si>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</si>
  <si>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</si>
  <si>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</si>
  <si>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</si>
  <si>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</si>
  <si>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</si>
  <si>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</si>
  <si>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</si>
  <si>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</si>
  <si>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</si>
  <si>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</si>
  <si>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</si>
  <si>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</si>
  <si>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</si>
  <si>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</si>
  <si>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</si>
  <si>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</si>
  <si>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</si>
  <si>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</si>
  <si>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</si>
  <si>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</si>
  <si>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</si>
  <si>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</si>
  <si>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</si>
  <si>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</si>
  <si>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</si>
  <si>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</si>
  <si>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</si>
  <si>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</si>
  <si>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</si>
  <si>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</si>
  <si>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</si>
  <si>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</si>
  <si>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</si>
  <si>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</si>
  <si>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</si>
  <si>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</si>
  <si>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</si>
  <si>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</si>
  <si>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</si>
  <si>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</si>
  <si>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</si>
  <si>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</si>
  <si>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</si>
  <si>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</si>
  <si>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</si>
  <si>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</si>
  <si>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</si>
  <si>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</si>
  <si>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</si>
  <si>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</si>
  <si>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</si>
  <si>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</si>
  <si>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</si>
  <si>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</si>
  <si>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</si>
  <si>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</si>
  <si>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</si>
  <si>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</si>
  <si>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</si>
  <si>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</si>
  <si>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</si>
  <si>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</si>
  <si>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</si>
  <si>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</si>
  <si>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</si>
  <si>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</si>
  <si>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</si>
  <si>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</si>
  <si>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</si>
  <si>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</si>
  <si>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</si>
  <si>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</si>
  <si>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</si>
  <si>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</si>
  <si>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</si>
  <si>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</si>
  <si>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</si>
  <si>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</si>
  <si>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</si>
  <si>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</si>
  <si>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</si>
  <si>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</si>
  <si>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</si>
  <si>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</si>
  <si>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</si>
  <si>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</si>
  <si>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</si>
  <si>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</si>
  <si>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</si>
  <si>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</si>
  <si>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</si>
  <si>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</si>
  <si>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</si>
  <si>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</si>
  <si>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</si>
  <si>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</si>
  <si>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</si>
  <si>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</si>
  <si>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</si>
  <si>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</si>
  <si>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</si>
  <si>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</si>
  <si>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</si>
  <si>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</si>
  <si>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</si>
  <si>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</si>
  <si>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</si>
  <si>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</si>
  <si>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</si>
  <si>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</si>
  <si>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</si>
  <si>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</si>
  <si>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</si>
  <si>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</si>
  <si>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</si>
  <si>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</si>
  <si>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</si>
  <si>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</si>
  <si>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</si>
  <si>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</si>
  <si>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</si>
  <si>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</si>
  <si>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</si>
  <si>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</si>
  <si>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</si>
  <si>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</si>
  <si>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</si>
  <si>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</si>
  <si>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</si>
  <si>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</si>
  <si>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</si>
  <si>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</si>
  <si>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</si>
  <si>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</si>
  <si>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</si>
  <si>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</si>
  <si>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年期修正系数</t>
    <phoneticPr fontId="15" type="noConversion"/>
  </si>
  <si>
    <t>年期修正系数</t>
    <phoneticPr fontId="41" type="noConversion"/>
  </si>
  <si>
    <r>
      <t>5.</t>
    </r>
    <r>
      <rPr>
        <sz val="10"/>
        <color indexed="8"/>
        <rFont val="宋体"/>
        <family val="3"/>
        <charset val="134"/>
      </rPr>
      <t>年期修正后土地价格</t>
    </r>
    <phoneticPr fontId="41" type="noConversion"/>
  </si>
  <si>
    <t>商业</t>
  </si>
  <si>
    <t>核定资产</t>
  </si>
  <si>
    <t>市场价格</t>
  </si>
  <si>
    <t>出让</t>
  </si>
  <si>
    <t>剩余法住宅</t>
    <phoneticPr fontId="14" type="noConversion"/>
  </si>
  <si>
    <t>剩余法商业</t>
    <phoneticPr fontId="14" type="noConversion"/>
  </si>
  <si>
    <t>剩余法办公</t>
    <phoneticPr fontId="14" type="noConversion"/>
  </si>
  <si>
    <r>
      <rPr>
        <sz val="11"/>
        <color indexed="8"/>
        <rFont val="仿宋_GB2312"/>
        <family val="3"/>
        <charset val="134"/>
      </rPr>
      <t>不动产比较法-车位</t>
    </r>
    <phoneticPr fontId="14" type="noConversion"/>
  </si>
  <si>
    <r>
      <rPr>
        <sz val="11"/>
        <color indexed="8"/>
        <rFont val="仿宋_GB2312"/>
        <family val="3"/>
        <charset val="134"/>
      </rPr>
      <t>不动产比较法-仓储</t>
    </r>
    <phoneticPr fontId="14" type="noConversion"/>
  </si>
  <si>
    <r>
      <rPr>
        <sz val="11"/>
        <color indexed="8"/>
        <rFont val="仿宋_GB2312"/>
        <family val="3"/>
        <charset val="134"/>
      </rPr>
      <t>不动产收益法-商业</t>
    </r>
    <phoneticPr fontId="14" type="noConversion"/>
  </si>
  <si>
    <r>
      <rPr>
        <sz val="11"/>
        <color indexed="8"/>
        <rFont val="仿宋_GB2312"/>
        <family val="3"/>
        <charset val="134"/>
      </rPr>
      <t>不动产收益法-办公</t>
    </r>
    <phoneticPr fontId="14" type="noConversion"/>
  </si>
  <si>
    <r>
      <rPr>
        <sz val="11"/>
        <color indexed="8"/>
        <rFont val="仿宋_GB2312"/>
        <family val="3"/>
        <charset val="134"/>
      </rPr>
      <t>不动产收益法-车库</t>
    </r>
    <phoneticPr fontId="14" type="noConversion"/>
  </si>
  <si>
    <t>住宅</t>
    <phoneticPr fontId="7" type="noConversion"/>
  </si>
  <si>
    <t>基准地价住宅</t>
    <phoneticPr fontId="14" type="noConversion"/>
  </si>
  <si>
    <t>基准地价商业</t>
    <phoneticPr fontId="14" type="noConversion"/>
  </si>
  <si>
    <t>基准地价办公</t>
    <phoneticPr fontId="14" type="noConversion"/>
  </si>
  <si>
    <t>不动产收益法办公</t>
    <phoneticPr fontId="14" type="noConversion"/>
  </si>
  <si>
    <t>不动产收益法商业</t>
    <phoneticPr fontId="14" type="noConversion"/>
  </si>
  <si>
    <t>房山区邢家坞村</t>
    <phoneticPr fontId="6" type="noConversion"/>
  </si>
  <si>
    <t>居住用地（指二类居住用地）</t>
  </si>
  <si>
    <t>批发零售用地</t>
  </si>
  <si>
    <t>商务金融用地（办公类）</t>
  </si>
  <si>
    <t>不临58条商业街</t>
  </si>
  <si>
    <t>按公示增长率计算</t>
  </si>
  <si>
    <t>容积率修正</t>
  </si>
  <si>
    <t>xxx用地估价结果汇总表</t>
    <phoneticPr fontId="279" type="noConversion"/>
  </si>
  <si>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</si>
  <si>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</si>
  <si>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</si>
  <si>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</si>
  <si>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</si>
  <si>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</si>
  <si>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办公用途熟地价</t>
    <phoneticPr fontId="279" type="noConversion"/>
  </si>
  <si>
    <t>-</t>
    <phoneticPr fontId="279" type="noConversion"/>
  </si>
  <si>
    <t>xx用途熟地价（如有）</t>
    <phoneticPr fontId="279" type="noConversion"/>
  </si>
  <si>
    <t>xx</t>
    <phoneticPr fontId="279" type="noConversion"/>
  </si>
  <si>
    <t>熟地总价</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</si>
  <si>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</si>
  <si>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</si>
  <si>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</si>
  <si>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</si>
  <si>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</si>
  <si>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</si>
  <si>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出让底价建议：建议本项目出让底价不低于熟地总价xxx万元。</t>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</si>
  <si>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</si>
  <si>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</si>
  <si>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陈颖</t>
  </si>
  <si>
    <t>叶凌</t>
  </si>
  <si>
    <t>无</t>
  </si>
  <si>
    <t>1000米以外</t>
  </si>
  <si>
    <t>FS04-0100-6076</t>
    <phoneticPr fontId="3" type="noConversion"/>
  </si>
  <si>
    <t>FS04-0100-6077</t>
    <phoneticPr fontId="3" type="noConversion"/>
  </si>
  <si>
    <t>FS04-0100-6078</t>
  </si>
  <si>
    <t>FS04-0100-6080</t>
    <phoneticPr fontId="3" type="noConversion"/>
  </si>
  <si>
    <t>FS04-0100-6081</t>
    <phoneticPr fontId="3" type="noConversion"/>
  </si>
  <si>
    <t>FS04-0100-6083</t>
    <phoneticPr fontId="3" type="noConversion"/>
  </si>
  <si>
    <t>FS04-0100-6084</t>
    <phoneticPr fontId="3" type="noConversion"/>
  </si>
  <si>
    <t>FS04-0100-6085</t>
  </si>
  <si>
    <t>FS04-0100-6086</t>
  </si>
  <si>
    <t>自定义容积率</t>
  </si>
  <si>
    <t>否</t>
  </si>
  <si>
    <t>地上</t>
  </si>
  <si>
    <t>平层住宅</t>
  </si>
  <si>
    <t>增加</t>
  </si>
  <si>
    <t>燃气</t>
  </si>
  <si>
    <t>通热</t>
  </si>
  <si>
    <t>基准地价住宅</t>
  </si>
  <si>
    <t>建筑面积</t>
    <phoneticPr fontId="233" type="noConversion"/>
  </si>
  <si>
    <t>单价</t>
    <phoneticPr fontId="233" type="noConversion"/>
  </si>
  <si>
    <t>商品房</t>
    <phoneticPr fontId="233" type="noConversion"/>
  </si>
  <si>
    <t>共有产权房</t>
    <phoneticPr fontId="233" type="noConversion"/>
  </si>
  <si>
    <t>宗地号</t>
    <phoneticPr fontId="233" type="noConversion"/>
  </si>
  <si>
    <t>用地性质</t>
    <phoneticPr fontId="233" type="noConversion"/>
  </si>
  <si>
    <t>用地</t>
    <phoneticPr fontId="233" type="noConversion"/>
  </si>
  <si>
    <t>容积率</t>
    <phoneticPr fontId="233" type="noConversion"/>
  </si>
  <si>
    <t>建筑规模</t>
    <phoneticPr fontId="233" type="noConversion"/>
  </si>
  <si>
    <t>共有</t>
    <phoneticPr fontId="233" type="noConversion"/>
  </si>
  <si>
    <t>A33</t>
    <phoneticPr fontId="233" type="noConversion"/>
  </si>
  <si>
    <t>F2</t>
    <phoneticPr fontId="233" type="noConversion"/>
  </si>
  <si>
    <t>S42</t>
    <phoneticPr fontId="233" type="noConversion"/>
  </si>
  <si>
    <t>R2</t>
    <phoneticPr fontId="233" type="noConversion"/>
  </si>
  <si>
    <t>F3</t>
    <phoneticPr fontId="233" type="noConversion"/>
  </si>
  <si>
    <t>差</t>
  </si>
  <si>
    <t>较差</t>
  </si>
  <si>
    <t>一般</t>
  </si>
  <si>
    <t>较好</t>
  </si>
  <si>
    <t>六通一平</t>
  </si>
  <si>
    <t>通讯</t>
  </si>
  <si>
    <t>单价</t>
    <phoneticPr fontId="233" type="noConversion"/>
  </si>
  <si>
    <t>基准地价</t>
    <phoneticPr fontId="233" type="noConversion"/>
  </si>
  <si>
    <t>权重</t>
    <phoneticPr fontId="279" type="noConversion"/>
  </si>
  <si>
    <t>剩余法</t>
    <phoneticPr fontId="233" type="noConversion"/>
  </si>
  <si>
    <t>权重后单价</t>
    <phoneticPr fontId="279" type="noConversion"/>
  </si>
  <si>
    <t>建筑面积</t>
    <phoneticPr fontId="233" type="noConversion"/>
  </si>
  <si>
    <t>商业</t>
    <phoneticPr fontId="279" type="noConversion"/>
  </si>
  <si>
    <t>办公</t>
    <phoneticPr fontId="279" type="noConversion"/>
  </si>
  <si>
    <t>总价</t>
    <phoneticPr fontId="233" type="noConversion"/>
  </si>
  <si>
    <t>权重后总价</t>
    <phoneticPr fontId="279" type="noConversion"/>
  </si>
  <si>
    <t>楼面单价
（元/平方米）</t>
    <phoneticPr fontId="279" type="noConversion"/>
  </si>
  <si>
    <t>建筑规模
（平方米）</t>
    <phoneticPr fontId="279" type="noConversion"/>
  </si>
  <si>
    <t>总价
（万元）</t>
    <phoneticPr fontId="279" type="noConversion"/>
  </si>
  <si>
    <t>政府收益</t>
  </si>
  <si>
    <t>居住用途熟地价</t>
    <phoneticPr fontId="279" type="noConversion"/>
  </si>
  <si>
    <t>单价算</t>
    <phoneticPr fontId="233" type="noConversion"/>
  </si>
  <si>
    <t>商业用途熟地价</t>
    <phoneticPr fontId="279" type="noConversion"/>
  </si>
  <si>
    <t>_</t>
    <phoneticPr fontId="233" type="noConversion"/>
  </si>
  <si>
    <t>办公用途熟地价</t>
    <phoneticPr fontId="279" type="noConversion"/>
  </si>
  <si>
    <t>熟地总价</t>
    <phoneticPr fontId="279" type="noConversion"/>
  </si>
  <si>
    <t>总价算</t>
    <phoneticPr fontId="233" type="noConversion"/>
  </si>
  <si>
    <t>商业用途政府土地出让收益</t>
    <phoneticPr fontId="279" type="noConversion"/>
  </si>
  <si>
    <t>办公用途政府土地出让收益</t>
    <phoneticPr fontId="279" type="noConversion"/>
  </si>
  <si>
    <t>政府土地出让收益总价</t>
    <phoneticPr fontId="279" type="noConversion"/>
  </si>
  <si>
    <t>总价</t>
    <phoneticPr fontId="279" type="noConversion"/>
  </si>
  <si>
    <t>单价</t>
    <phoneticPr fontId="279" type="noConversion"/>
  </si>
  <si>
    <t>剩余法住宅</t>
  </si>
  <si>
    <t>已全部缴纳</t>
  </si>
  <si>
    <t>住宅（共有产权）</t>
    <phoneticPr fontId="233" type="noConversion"/>
  </si>
  <si>
    <t>住宅（商品房）</t>
    <phoneticPr fontId="233" type="noConversion"/>
  </si>
  <si>
    <t>商业</t>
    <phoneticPr fontId="233" type="noConversion"/>
  </si>
  <si>
    <t>办公</t>
    <phoneticPr fontId="233" type="noConversion"/>
  </si>
  <si>
    <t>建安</t>
    <phoneticPr fontId="233" type="noConversion"/>
  </si>
  <si>
    <t>利润率</t>
    <phoneticPr fontId="233" type="noConversion"/>
  </si>
  <si>
    <t>租金</t>
    <phoneticPr fontId="233" type="noConversion"/>
  </si>
  <si>
    <t>——</t>
    <phoneticPr fontId="233" type="noConversion"/>
  </si>
  <si>
    <t>——</t>
    <phoneticPr fontId="233" type="noConversion"/>
  </si>
  <si>
    <t>居住(商品房）</t>
    <phoneticPr fontId="233" type="noConversion"/>
  </si>
  <si>
    <t>居住（共有产权）</t>
    <phoneticPr fontId="279" type="noConversion"/>
  </si>
  <si>
    <t>居住（共有产权）</t>
    <phoneticPr fontId="279" type="noConversion"/>
  </si>
  <si>
    <t>居住（共有产权）</t>
    <phoneticPr fontId="279" type="noConversion"/>
  </si>
  <si>
    <t>居住(商品房）</t>
    <phoneticPr fontId="233" type="noConversion"/>
  </si>
  <si>
    <t>开发周期</t>
    <phoneticPr fontId="233" type="noConversion"/>
  </si>
  <si>
    <t>居住用途（共有产权）政府土地出让收益</t>
    <phoneticPr fontId="279" type="noConversion"/>
  </si>
  <si>
    <t>居住用途（共有产权）熟地价</t>
    <phoneticPr fontId="279" type="noConversion"/>
  </si>
  <si>
    <t>未来售价</t>
    <phoneticPr fontId="233" type="noConversion"/>
  </si>
  <si>
    <t>未来租金</t>
    <phoneticPr fontId="233" type="noConversion"/>
  </si>
  <si>
    <t>北京市房山区良乡镇2号地估价结果汇总表</t>
    <phoneticPr fontId="233" type="noConversion"/>
  </si>
  <si>
    <t>收益还原法</t>
    <phoneticPr fontId="233" type="noConversion"/>
  </si>
  <si>
    <t>收益还原法</t>
    <phoneticPr fontId="233" type="noConversion"/>
  </si>
  <si>
    <t>——</t>
    <phoneticPr fontId="233" type="noConversion"/>
  </si>
  <si>
    <t>建筑物还原利率</t>
    <phoneticPr fontId="233" type="noConversion"/>
  </si>
  <si>
    <t>综合还原利率</t>
    <phoneticPr fontId="233" type="noConversion"/>
  </si>
  <si>
    <t>出让底价建议：建议本项目出让底价不低于熟地总价343786.83万元。</t>
    <phoneticPr fontId="279" type="noConversion"/>
  </si>
  <si>
    <t>宗地形状不规则，但对宗地利用影响较小</t>
    <phoneticPr fontId="3" type="noConversion"/>
  </si>
  <si>
    <t>居住用途政府土地出让收益</t>
    <phoneticPr fontId="2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</si>
</sst>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宋体"/>
      <family val="2"/>
      <charset val="134"/>
      <scheme val="minor"/>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1"/>
      <color indexed="8"/>
      <name val="Arial Unicode MS"/>
      <family val="2"/>
      <charset val="134"/>
    </font>
    <font>
      <sz val="11"/>
      <color theme="1"/>
      <name val="Arial Unicode MS"/>
      <family val="2"/>
      <charset val="134"/>
    </font>
    <font>
      <sz val="11"/>
      <color theme="1"/>
      <name val="黑体"/>
      <family val="3"/>
      <charset val="134"/>
    </font>
    <font>
      <b/>
      <sz val="11"/>
      <color theme="1"/>
      <name val="黑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5" borderId="61" xfId="0" applyFont="1" applyFill="1" applyBorder="1" applyAlignment="1" applyProtection="1">
      <alignment vertical="center"/>
    </xf>
    <xf numFmtId="0" fontId="133" fillId="5" borderId="56" xfId="0" applyFont="1" applyFill="1" applyBorder="1" applyAlignment="1" applyProtection="1"/>
    <xf numFmtId="0" fontId="280" fillId="0" borderId="2" xfId="0" applyFont="1" applyBorder="1" applyAlignment="1">
      <alignment horizontal="center" vertical="center" wrapText="1"/>
    </xf>
    <xf numFmtId="0" fontId="280" fillId="0" borderId="0" xfId="0" applyFont="1" applyBorder="1" applyAlignment="1">
      <alignment horizontal="center" vertical="center" wrapText="1"/>
    </xf>
    <xf numFmtId="0" fontId="281" fillId="0" borderId="2" xfId="0" applyFont="1" applyBorder="1" applyAlignment="1">
      <alignment horizontal="center" vertical="center" wrapText="1"/>
    </xf>
    <xf numFmtId="0" fontId="277" fillId="0" borderId="0" xfId="0" applyFont="1" applyAlignment="1">
      <alignment vertical="center" wrapText="1"/>
    </xf>
    <xf numFmtId="0" fontId="180" fillId="0" borderId="0" xfId="0" applyFont="1" applyAlignment="1">
      <alignment vertical="center" wrapText="1"/>
    </xf>
    <xf numFmtId="0" fontId="282" fillId="0" borderId="0" xfId="0" applyFont="1" applyAlignment="1">
      <alignmen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vertical="center" wrapText="1"/>
    </xf>
    <xf numFmtId="0" fontId="147" fillId="0" borderId="0" xfId="0" applyFont="1" applyAlignment="1">
      <alignment vertical="center" wrapText="1"/>
    </xf>
    <xf numFmtId="0" fontId="288" fillId="0" borderId="0" xfId="0" applyFont="1" applyAlignment="1">
      <alignment vertical="center" wrapText="1"/>
    </xf>
    <xf numFmtId="0" fontId="184" fillId="6" borderId="27" xfId="3" applyFont="1" applyFill="1" applyBorder="1" applyAlignment="1" applyProtection="1">
      <alignment horizontal="center" vertical="center" wrapText="1"/>
      <protection locked="0"/>
    </xf>
    <xf numFmtId="0" fontId="184" fillId="6" borderId="6" xfId="3" applyFont="1" applyFill="1" applyBorder="1" applyAlignment="1" applyProtection="1">
      <alignment horizontal="right" vertical="center" wrapText="1"/>
      <protection locked="0"/>
    </xf>
    <xf numFmtId="0" fontId="184" fillId="6" borderId="6" xfId="3" applyFont="1" applyFill="1" applyBorder="1" applyAlignment="1" applyProtection="1">
      <alignment horizontal="center" vertical="center" wrapText="1"/>
      <protection locked="0"/>
    </xf>
    <xf numFmtId="0" fontId="145" fillId="0" borderId="0" xfId="1">
      <alignment vertical="center"/>
    </xf>
    <xf numFmtId="0" fontId="145" fillId="0" borderId="0" xfId="1" applyFont="1">
      <alignment vertical="center"/>
    </xf>
    <xf numFmtId="0" fontId="145" fillId="0" borderId="0" xfId="1" quotePrefix="1" applyFont="1">
      <alignment vertical="center"/>
    </xf>
    <xf numFmtId="0" fontId="145" fillId="0" borderId="2" xfId="1" applyFont="1" applyBorder="1">
      <alignment vertical="center"/>
    </xf>
    <xf numFmtId="0" fontId="145" fillId="0" borderId="2" xfId="1" applyBorder="1">
      <alignment vertical="center"/>
    </xf>
    <xf numFmtId="0" fontId="145" fillId="6" borderId="2" xfId="1" applyFill="1" applyBorder="1">
      <alignment vertical="center"/>
    </xf>
    <xf numFmtId="0" fontId="145" fillId="6" borderId="2" xfId="1" applyFont="1" applyFill="1" applyBorder="1">
      <alignment vertical="center"/>
    </xf>
    <xf numFmtId="176" fontId="289" fillId="0" borderId="2" xfId="0" applyNumberFormat="1" applyFont="1" applyBorder="1" applyAlignment="1" applyProtection="1">
      <alignment horizontal="center" vertical="center" wrapText="1"/>
      <protection locked="0"/>
    </xf>
    <xf numFmtId="0" fontId="290" fillId="0" borderId="2" xfId="1" applyFont="1" applyBorder="1" applyAlignment="1" applyProtection="1">
      <alignment horizontal="center" vertical="center" wrapText="1"/>
      <protection locked="0"/>
    </xf>
    <xf numFmtId="176" fontId="290" fillId="0" borderId="2" xfId="1" applyNumberFormat="1" applyFont="1" applyBorder="1" applyAlignment="1" applyProtection="1">
      <alignment horizontal="center" vertical="center" wrapText="1"/>
      <protection locked="0"/>
    </xf>
    <xf numFmtId="0" fontId="290" fillId="0" borderId="2" xfId="1" applyFont="1" applyFill="1" applyBorder="1" applyAlignment="1" applyProtection="1">
      <alignment horizontal="center" vertical="center" wrapText="1"/>
      <protection locked="0"/>
    </xf>
    <xf numFmtId="0" fontId="95" fillId="17" borderId="6" xfId="3" applyFont="1" applyFill="1" applyBorder="1" applyAlignment="1" applyProtection="1">
      <alignment horizontal="center" vertical="center" wrapText="1"/>
      <protection locked="0"/>
    </xf>
    <xf numFmtId="0" fontId="145" fillId="0" borderId="0" xfId="1" applyAlignment="1">
      <alignment horizontal="center" vertical="center"/>
    </xf>
    <xf numFmtId="0" fontId="291" fillId="7"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5" fillId="0" borderId="0" xfId="1" applyFont="1" applyAlignment="1">
      <alignment horizontal="center" vertical="center"/>
    </xf>
    <xf numFmtId="0" fontId="292" fillId="9" borderId="2" xfId="1" applyFont="1" applyFill="1" applyBorder="1" applyAlignment="1">
      <alignment horizontal="center" vertical="center" wrapText="1"/>
    </xf>
    <xf numFmtId="0" fontId="145" fillId="15" borderId="2" xfId="1" applyFill="1" applyBorder="1" applyAlignment="1">
      <alignment horizontal="center" vertical="center"/>
    </xf>
    <xf numFmtId="0" fontId="145" fillId="9" borderId="2" xfId="1" applyFill="1" applyBorder="1" applyAlignment="1">
      <alignment horizontal="center" vertical="center"/>
    </xf>
    <xf numFmtId="0" fontId="280" fillId="9" borderId="5" xfId="1" applyFont="1" applyFill="1" applyBorder="1" applyAlignment="1">
      <alignment horizontal="center" vertical="center" wrapText="1"/>
    </xf>
    <xf numFmtId="0" fontId="291" fillId="9" borderId="2" xfId="1" applyFont="1" applyFill="1" applyBorder="1" applyAlignment="1">
      <alignment horizontal="center" vertical="center" wrapText="1"/>
    </xf>
    <xf numFmtId="0" fontId="145" fillId="15" borderId="5" xfId="1" applyFill="1" applyBorder="1" applyAlignment="1">
      <alignment horizontal="center" vertical="center"/>
    </xf>
    <xf numFmtId="0" fontId="145" fillId="0" borderId="0" xfId="1" applyFont="1" applyAlignment="1">
      <alignment horizontal="center" vertical="center"/>
    </xf>
    <xf numFmtId="0" fontId="145" fillId="0" borderId="0" xfId="1" applyAlignment="1">
      <alignment horizontal="center" vertical="center"/>
    </xf>
    <xf numFmtId="0" fontId="280" fillId="0" borderId="2" xfId="1" applyFont="1" applyBorder="1" applyAlignment="1">
      <alignment horizontal="center" vertical="center" wrapText="1"/>
    </xf>
    <xf numFmtId="0" fontId="292" fillId="18" borderId="0" xfId="1" applyFont="1" applyFill="1" applyBorder="1" applyAlignment="1">
      <alignment horizontal="center" vertical="center" wrapText="1"/>
    </xf>
    <xf numFmtId="0" fontId="285" fillId="18" borderId="2" xfId="1" applyFont="1" applyFill="1" applyBorder="1" applyAlignment="1">
      <alignment horizontal="center" vertical="center" wrapText="1"/>
    </xf>
    <xf numFmtId="0" fontId="292" fillId="7" borderId="0" xfId="1" applyFont="1" applyFill="1" applyBorder="1" applyAlignment="1">
      <alignment horizontal="center" vertical="center" wrapText="1"/>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92" fillId="18" borderId="5" xfId="1" applyFont="1" applyFill="1" applyBorder="1" applyAlignment="1">
      <alignment horizontal="center" vertical="center" wrapText="1"/>
    </xf>
    <xf numFmtId="0" fontId="146" fillId="19" borderId="2" xfId="1" applyFont="1" applyFill="1" applyBorder="1" applyAlignment="1">
      <alignment horizontal="center" vertical="center"/>
    </xf>
    <xf numFmtId="0" fontId="146" fillId="14" borderId="2" xfId="1" applyFont="1" applyFill="1" applyBorder="1" applyAlignment="1">
      <alignment horizontal="center" vertical="center"/>
    </xf>
    <xf numFmtId="0" fontId="146" fillId="18" borderId="2" xfId="1" applyFont="1" applyFill="1" applyBorder="1" applyAlignment="1">
      <alignment horizontal="center" vertical="center"/>
    </xf>
    <xf numFmtId="0" fontId="291" fillId="20" borderId="0"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91" fillId="7" borderId="0"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281" fillId="0" borderId="18" xfId="1" applyFont="1" applyFill="1" applyBorder="1" applyAlignment="1">
      <alignment horizontal="center" vertical="center" wrapText="1"/>
    </xf>
    <xf numFmtId="0" fontId="291" fillId="20" borderId="5" xfId="1" applyFont="1" applyFill="1" applyBorder="1" applyAlignment="1">
      <alignment horizontal="center" vertical="center" wrapText="1"/>
    </xf>
    <xf numFmtId="0" fontId="145" fillId="6" borderId="2" xfId="1" applyFill="1" applyBorder="1" applyAlignment="1">
      <alignment horizontal="center" vertical="center"/>
    </xf>
    <xf numFmtId="0" fontId="145" fillId="20" borderId="2" xfId="1" applyFill="1" applyBorder="1" applyAlignment="1">
      <alignment horizontal="center" vertical="center"/>
    </xf>
    <xf numFmtId="0" fontId="145" fillId="20" borderId="0" xfId="1" applyFill="1" applyAlignment="1">
      <alignment horizontal="center" vertical="center"/>
    </xf>
    <xf numFmtId="0" fontId="145" fillId="20" borderId="2" xfId="1" applyFont="1" applyFill="1" applyBorder="1" applyAlignment="1">
      <alignment horizontal="center"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0" applyFont="1">
      <alignment vertical="center"/>
    </xf>
    <xf numFmtId="0" fontId="0" fillId="14" borderId="2" xfId="0" applyFill="1" applyBorder="1" applyAlignment="1">
      <alignment horizontal="center" vertical="center"/>
    </xf>
    <xf numFmtId="0" fontId="145" fillId="14"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9" fontId="0" fillId="6" borderId="2" xfId="0" applyNumberFormat="1" applyFill="1" applyBorder="1" applyAlignment="1">
      <alignment horizontal="center" vertical="center"/>
    </xf>
    <xf numFmtId="0" fontId="145" fillId="21" borderId="2" xfId="0" applyFont="1" applyFill="1" applyBorder="1" applyAlignment="1">
      <alignment horizontal="center" vertical="center"/>
    </xf>
    <xf numFmtId="0" fontId="281" fillId="0" borderId="0" xfId="1" applyFont="1" applyFill="1" applyBorder="1" applyAlignment="1">
      <alignment horizontal="center" vertical="center" wrapText="1"/>
    </xf>
    <xf numFmtId="0" fontId="145" fillId="15" borderId="0" xfId="1" applyFill="1" applyBorder="1" applyAlignment="1">
      <alignment horizontal="center" vertical="center"/>
    </xf>
    <xf numFmtId="0" fontId="145" fillId="9" borderId="0" xfId="1" applyFill="1" applyBorder="1" applyAlignment="1">
      <alignment horizontal="center" vertical="center"/>
    </xf>
    <xf numFmtId="0" fontId="291" fillId="9" borderId="0" xfId="1" applyFont="1" applyFill="1" applyBorder="1" applyAlignment="1">
      <alignment horizontal="center" vertical="center" wrapText="1"/>
    </xf>
    <xf numFmtId="0" fontId="147" fillId="21" borderId="2" xfId="0" applyFont="1" applyFill="1" applyBorder="1" applyAlignment="1">
      <alignment horizontal="center" vertical="center"/>
    </xf>
    <xf numFmtId="0" fontId="147" fillId="0" borderId="0" xfId="0" applyFont="1">
      <alignment vertical="center"/>
    </xf>
    <xf numFmtId="0" fontId="145" fillId="0" borderId="0" xfId="0" applyFont="1" applyFill="1" applyBorder="1">
      <alignment vertical="center"/>
    </xf>
    <xf numFmtId="10" fontId="0" fillId="0" borderId="0" xfId="0" applyNumberForma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1" applyFont="1" applyAlignment="1">
      <alignment horizontal="center" vertical="center"/>
    </xf>
    <xf numFmtId="0" fontId="145" fillId="0" borderId="0" xfId="1" applyAlignment="1">
      <alignment horizontal="center" vertical="center"/>
    </xf>
    <xf numFmtId="0" fontId="145" fillId="0" borderId="19" xfId="1" applyBorder="1" applyAlignment="1">
      <alignment horizontal="center" vertical="center"/>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9" xfId="0" applyFont="1" applyBorder="1" applyAlignment="1">
      <alignment horizontal="center" vertical="center" wrapText="1"/>
    </xf>
    <xf numFmtId="0" fontId="283" fillId="0" borderId="14" xfId="0" applyFont="1" applyBorder="1" applyAlignment="1">
      <alignment horizontal="left" vertical="center" wrapText="1"/>
    </xf>
    <xf numFmtId="0" fontId="280" fillId="0" borderId="14" xfId="0" applyFont="1" applyBorder="1" applyAlignment="1">
      <alignment horizontal="lef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horizontal="center" vertical="center" wrapText="1"/>
    </xf>
    <xf numFmtId="0" fontId="286" fillId="0" borderId="0" xfId="0" applyFont="1" applyAlignment="1">
      <alignment horizontal="left" vertical="top"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0</xdr:rowOff>
    </xdr:from>
    <xdr:to>
      <xdr:col>16</xdr:col>
      <xdr:colOff>132481</xdr:colOff>
      <xdr:row>12</xdr:row>
      <xdr:rowOff>104231</xdr:rowOff>
    </xdr:to>
    <xdr:pic>
      <xdr:nvPicPr>
        <xdr:cNvPr id="2" name="图片 1"/>
        <xdr:cNvPicPr>
          <a:picLocks noChangeAspect="1"/>
        </xdr:cNvPicPr>
      </xdr:nvPicPr>
      <xdr:blipFill>
        <a:blip xmlns:r="http://schemas.openxmlformats.org/officeDocument/2006/relationships" r:embed="rId1"/>
        <a:stretch>
          <a:fillRect/>
        </a:stretch>
      </xdr:blipFill>
      <xdr:spPr>
        <a:xfrm>
          <a:off x="8267700" y="0"/>
          <a:ext cx="6952381" cy="4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0303;&#23429;/&#27979;&#31639;&#25151;&#23665;&#21306;&#33391;&#20065;&#38215;&#20013;&#24515;&#21306;2&#21495;&#22320;&#22303;&#20648;-&#24120;&#30021;20181211-1600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45-F01SGCB6%20&#21271;&#20140;&#24066;&#22823;&#20852;&#28699;&#28023;&#35199;&#21306;YZ00-0803-0802&#12289;6021&#22320;&#22359;R2&#20108;&#31867;&#23621;&#20303;&#29992;&#22320;&#22269;&#26377;&#24314;&#35774;&#29992;&#22320;&#20351;&#29992;&#26435;&#20986;&#35753;&#20215;&#26684;&#35780;&#20272;/&#22823;&#20852;&#22303;&#20648;/&#32456;&#29256;&#22823;&#20852;&#22303;&#20648;&#27979;&#31639;/&#27979;&#31639;&#65288;&#20303;&#23429;&#65289;YZ00-0803-080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65288;&#21830;&#19994;&#65289;&#31199;&#37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65288;&#21150;&#20844;&#65289;&#31199;&#373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65288;&#20303;&#23429;&#65289;&#21830;&#21697;&#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估价结果汇总表"/>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剩余法住宅</v>
          </cell>
        </row>
        <row r="21">
          <cell r="A21" t="str">
            <v>戊类库房</v>
          </cell>
          <cell r="B21" t="str">
            <v>剩余法商业</v>
          </cell>
        </row>
        <row r="22">
          <cell r="A22" t="str">
            <v>燃品库房</v>
          </cell>
          <cell r="B22" t="str">
            <v>剩余法办公</v>
          </cell>
        </row>
        <row r="23">
          <cell r="A23" t="str">
            <v>非燃品库房</v>
          </cell>
          <cell r="B23" t="str">
            <v>基准地价商业</v>
          </cell>
        </row>
        <row r="24">
          <cell r="A24" t="str">
            <v>——</v>
          </cell>
          <cell r="B24" t="str">
            <v>基准地价办公</v>
          </cell>
        </row>
        <row r="25">
          <cell r="A25" t="str">
            <v>限价商品房</v>
          </cell>
          <cell r="B25" t="str">
            <v>不动产收益法商业</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YZ00-0803-0802、YZ00-0803-6021</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3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33"/>
      <sheetData sheetId="34"/>
      <sheetData sheetId="35"/>
      <sheetData sheetId="36"/>
      <sheetData sheetId="37"/>
      <sheetData sheetId="38"/>
      <sheetData sheetId="39"/>
      <sheetData sheetId="40"/>
      <sheetData sheetId="41"/>
      <sheetData sheetId="42"/>
      <sheetData sheetId="4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9">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27846</v>
          </cell>
          <cell r="D19">
            <v>45273</v>
          </cell>
        </row>
        <row r="20">
          <cell r="C20">
            <v>4558</v>
          </cell>
          <cell r="D20">
            <v>7411</v>
          </cell>
        </row>
      </sheetData>
      <sheetData sheetId="18"/>
      <sheetData sheetId="19"/>
      <sheetData sheetId="20"/>
      <sheetData sheetId="21"/>
      <sheetData sheetId="22"/>
      <sheetData sheetId="23">
        <row r="8">
          <cell r="C8">
            <v>18865</v>
          </cell>
        </row>
      </sheetData>
      <sheetData sheetId="24"/>
      <sheetData sheetId="25"/>
      <sheetData sheetId="26">
        <row r="48">
          <cell r="C48">
            <v>3</v>
          </cell>
        </row>
      </sheetData>
      <sheetData sheetId="27">
        <row r="2">
          <cell r="B2">
            <v>26553</v>
          </cell>
        </row>
        <row r="3">
          <cell r="B3">
            <v>4346</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比较法租金-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C20">
            <v>4655</v>
          </cell>
          <cell r="D20">
            <v>7352</v>
          </cell>
        </row>
      </sheetData>
      <sheetData sheetId="18"/>
      <sheetData sheetId="19"/>
      <sheetData sheetId="20"/>
      <sheetData sheetId="21">
        <row r="10">
          <cell r="C10">
            <v>14275</v>
          </cell>
        </row>
      </sheetData>
      <sheetData sheetId="22"/>
      <sheetData sheetId="23"/>
      <sheetData sheetId="24">
        <row r="50">
          <cell r="C50">
            <v>2.2999999999999998</v>
          </cell>
        </row>
      </sheetData>
      <sheetData sheetId="25">
        <row r="2">
          <cell r="B2">
            <v>23824</v>
          </cell>
        </row>
        <row r="3">
          <cell r="B3">
            <v>3900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C19">
            <v>26969</v>
          </cell>
          <cell r="D19">
            <v>93323</v>
          </cell>
        </row>
        <row r="20">
          <cell r="C20">
            <v>5354</v>
          </cell>
          <cell r="D20">
            <v>18527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2652</v>
      </c>
      <c r="B1" s="2893" t="s">
        <v>2749</v>
      </c>
    </row>
    <row r="2" spans="1:55" s="2897" customFormat="1" ht="15" thickTop="1">
      <c r="A2" s="2895" t="s">
        <v>2656</v>
      </c>
      <c r="B2" s="2896" t="str">
        <f>'预评函-封皮'!B37</f>
        <v>北京市房山区邢家坞村出让国有建设用地使用权市场价格预评估</v>
      </c>
      <c r="AX2" s="2898"/>
      <c r="AZ2" s="2898"/>
      <c r="BA2" s="2899"/>
      <c r="BC2" s="2899"/>
    </row>
    <row r="3" spans="1:55" s="2900" customFormat="1">
      <c r="A3" s="2879" t="s">
        <v>2657</v>
      </c>
      <c r="B3" s="2882">
        <f>'预评函-封皮'!B40</f>
        <v>0</v>
      </c>
    </row>
    <row r="4" spans="1:55" s="2881" customFormat="1">
      <c r="A4" s="2879" t="s">
        <v>2658</v>
      </c>
      <c r="B4" s="2880" t="str">
        <f>'预评函-封皮'!B46</f>
        <v>陈颖、叶凌</v>
      </c>
      <c r="N4" s="2881" t="str">
        <f>'预评函-1'!A28</f>
        <v>——</v>
      </c>
    </row>
    <row r="5" spans="1:55" s="2894" customFormat="1" ht="15" thickBot="1">
      <c r="A5" s="2901" t="s">
        <v>2659</v>
      </c>
      <c r="B5" s="2902" t="str">
        <f>'预评函-封皮'!B49</f>
        <v>康正预评字号</v>
      </c>
    </row>
    <row r="6" spans="1:55" s="2903" customFormat="1" ht="15" thickTop="1">
      <c r="A6" s="2895" t="s">
        <v>2701</v>
      </c>
      <c r="B6" s="2896" t="str">
        <f>'预评函-1'!A4</f>
        <v>受贵公司委托，我公司对北京市房山区邢家坞村出让国有建设用地使用权市场价格进行了预评估。</v>
      </c>
      <c r="AM6" s="2904"/>
    </row>
    <row r="7" spans="1:55" s="2878" customFormat="1">
      <c r="A7" s="2879" t="s">
        <v>2653</v>
      </c>
      <c r="B7" s="2880" t="str">
        <f>'预评函-1'!A6</f>
        <v>估价对象为使用的、位于北京市房山区邢家坞村出让国有建设用地使用权。根据《国有土地使用证》[]，估价对象（分摊）出让国有建设用地使用权面积为128587.91平方米。根据《建设工程规划许可证》[]、《出让合同》[]，估价对象规划建筑面积为292155平方米。</v>
      </c>
    </row>
    <row r="8" spans="1:55" s="2878" customFormat="1">
      <c r="A8" s="2879" t="s">
        <v>2654</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2704</v>
      </c>
      <c r="B9" s="2880" t="str">
        <f>'预评函-1'!A9</f>
        <v>本次评估为委托估价方了解标的物之市场价格提供参考依据而评估出让国有建设用地使用权市场价格。</v>
      </c>
    </row>
    <row r="10" spans="1:55" s="2878" customFormat="1">
      <c r="A10" s="2879" t="s">
        <v>2655</v>
      </c>
      <c r="B10" s="2880" t="str">
        <f>'预评函-1'!A11</f>
        <v>2018年11月20日（评估专业人员勘察现场之日）</v>
      </c>
    </row>
    <row r="11" spans="1:55" s="2878" customFormat="1">
      <c r="A11" s="2879" t="s">
        <v>2661</v>
      </c>
      <c r="B11" s="2880" t="str">
        <f>'预评函-1'!A14</f>
        <v>根据《国有土地使用证》[]，本次评估估价对象证载（地类）用途为。</v>
      </c>
    </row>
    <row r="12" spans="1:55" s="2878" customFormat="1">
      <c r="A12" s="2879" t="s">
        <v>2662</v>
      </c>
      <c r="B12" s="2880" t="str">
        <f>'预评函-1'!A15</f>
        <v>本次评估设定用途即为证载用途。</v>
      </c>
    </row>
    <row r="13" spans="1:55" s="2878" customFormat="1">
      <c r="A13" s="2879" t="s">
        <v>2663</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2664</v>
      </c>
      <c r="B14" s="2880" t="str">
        <f>'预评函-1'!A18</f>
        <v>。本次评估设定土地开发程度为红线外市政基础设施达“七通”、宗地红线内场地平整。</v>
      </c>
    </row>
    <row r="15" spans="1:55" s="2878" customFormat="1">
      <c r="A15" s="2879" t="s">
        <v>2660</v>
      </c>
      <c r="B15" s="2880" t="str">
        <f>'预评函-1'!A20</f>
        <v>根据《国有土地使用证》[]，估价对象（分摊）出让国有建设用地使用权面积为128587.91平方米。根据《建设工程规划许可证》[]、《出让合同》[]，估价对象规划建筑面积为292155平方米。</v>
      </c>
    </row>
    <row r="16" spans="1:55" s="2878" customFormat="1">
      <c r="A16" s="2879" t="s">
        <v>2665</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17" spans="1:48" s="2878" customFormat="1">
      <c r="A17" s="2879" t="s">
        <v>2666</v>
      </c>
      <c r="B17" s="2880" t="str">
        <f>'预评函-1'!A23</f>
        <v>本次评估设定估价对象剩余土地使用年限为。</v>
      </c>
    </row>
    <row r="18" spans="1:48" s="2878" customFormat="1">
      <c r="A18" s="2879" t="s">
        <v>2667</v>
      </c>
      <c r="B18" s="2880"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19" spans="1:48" s="2878" customFormat="1">
      <c r="A19" s="2879" t="s">
        <v>2668</v>
      </c>
      <c r="B19" s="2880" t="str">
        <f>'预评函-1'!A26</f>
        <v>——</v>
      </c>
    </row>
    <row r="20" spans="1:48" s="2878" customFormat="1">
      <c r="A20" s="2879" t="s">
        <v>2669</v>
      </c>
      <c r="B20" s="2880" t="str">
        <f>'预评函-1'!A27</f>
        <v>——</v>
      </c>
    </row>
    <row r="21" spans="1:48" s="2894" customFormat="1" ht="15" thickBot="1">
      <c r="A21" s="2901" t="s">
        <v>2670</v>
      </c>
      <c r="B21" s="2902" t="str">
        <f>'预评函-1'!A28</f>
        <v>——</v>
      </c>
    </row>
    <row r="22" spans="1:48" ht="15" thickTop="1">
      <c r="A22" s="2890" t="s">
        <v>2671</v>
      </c>
      <c r="B22" s="289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9" t="s">
        <v>2672</v>
      </c>
      <c r="B23" s="2880" t="str">
        <f>'预评函-2'!K2</f>
        <v>估价期日：2018年11月20日</v>
      </c>
    </row>
    <row r="24" spans="1:48">
      <c r="A24" s="2879" t="s">
        <v>2673</v>
      </c>
      <c r="B24" s="2880" t="str">
        <f>'预评函-2'!R2</f>
        <v>估价期日的国有建设用地使用权性质：出让</v>
      </c>
    </row>
    <row r="25" spans="1:48">
      <c r="A25" s="2879" t="s">
        <v>2729</v>
      </c>
      <c r="B25" s="2880" t="str">
        <f>'预评函-2'!A3</f>
        <v>估价期日土地使用者</v>
      </c>
    </row>
    <row r="26" spans="1:48">
      <c r="A26" s="2879" t="s">
        <v>2705</v>
      </c>
      <c r="B26" s="2880" t="str">
        <f>'预评函-2'!A5</f>
        <v>中信开发</v>
      </c>
    </row>
    <row r="27" spans="1:48">
      <c r="A27" s="2879" t="s">
        <v>2730</v>
      </c>
      <c r="B27" s="2880" t="str">
        <f>'预评函-2'!B3</f>
        <v>宗地编号/不动产单元号</v>
      </c>
    </row>
    <row r="28" spans="1:48">
      <c r="A28" s="2879" t="s">
        <v>2706</v>
      </c>
      <c r="B28" s="2880" t="str">
        <f>'预评函-2'!B5</f>
        <v>11111111111</v>
      </c>
    </row>
    <row r="29" spans="1:48">
      <c r="A29" s="2879" t="s">
        <v>2732</v>
      </c>
      <c r="B29" s="2880">
        <f>'预评函-2'!C5</f>
        <v>22</v>
      </c>
    </row>
    <row r="30" spans="1:48">
      <c r="A30" s="2879" t="s">
        <v>2733</v>
      </c>
      <c r="B30" s="2880" t="str">
        <f>'预评函-2'!D3</f>
        <v>土地使用证编号/不动产权证书编号</v>
      </c>
    </row>
    <row r="31" spans="1:48">
      <c r="A31" s="2879" t="s">
        <v>2707</v>
      </c>
      <c r="B31" s="2880" t="str">
        <f>'预评函-2'!D5</f>
        <v>京国土字第111号</v>
      </c>
    </row>
    <row r="32" spans="1:48">
      <c r="A32" s="2879" t="s">
        <v>2708</v>
      </c>
      <c r="B32" s="2880">
        <f>'预评函-2'!E5</f>
        <v>0</v>
      </c>
      <c r="AV32" s="2884"/>
    </row>
    <row r="33" spans="1:2">
      <c r="A33" s="2879" t="s">
        <v>2709</v>
      </c>
      <c r="B33" s="2880">
        <f>'预评函-2'!F5</f>
        <v>258</v>
      </c>
    </row>
    <row r="34" spans="1:2">
      <c r="A34" s="2879" t="s">
        <v>2710</v>
      </c>
      <c r="B34" s="2880">
        <f>'预评函-2'!G5</f>
        <v>0</v>
      </c>
    </row>
    <row r="35" spans="1:2">
      <c r="A35" s="2879" t="s">
        <v>2711</v>
      </c>
      <c r="B35" s="2880">
        <f>'预评函-2'!H5</f>
        <v>1.5</v>
      </c>
    </row>
    <row r="36" spans="1:2">
      <c r="A36" s="2879" t="s">
        <v>2712</v>
      </c>
      <c r="B36" s="2880">
        <f>'预评函-2'!I5</f>
        <v>1.5</v>
      </c>
    </row>
    <row r="37" spans="1:2">
      <c r="A37" s="2879" t="s">
        <v>2713</v>
      </c>
      <c r="B37" s="2880">
        <f>'预评函-2'!J5</f>
        <v>1.5</v>
      </c>
    </row>
    <row r="38" spans="1:2">
      <c r="A38" s="2879" t="s">
        <v>2714</v>
      </c>
      <c r="B38" s="2880" t="str">
        <f>'预评函-2'!K5</f>
        <v>红线外七通、宗地红线内</v>
      </c>
    </row>
    <row r="39" spans="1:2">
      <c r="A39" s="2879" t="s">
        <v>2715</v>
      </c>
      <c r="B39" s="2880" t="str">
        <f>'预评函-2'!L5</f>
        <v>红线外七通、宗地红线内场地</v>
      </c>
    </row>
    <row r="40" spans="1:2">
      <c r="A40" s="2879" t="s">
        <v>2734</v>
      </c>
      <c r="B40" s="2880" t="str">
        <f>'预评函-2'!M3</f>
        <v>（剩余）土地使用年限/年</v>
      </c>
    </row>
    <row r="41" spans="1:2">
      <c r="A41" s="2879" t="s">
        <v>2716</v>
      </c>
      <c r="B41" s="2880">
        <f>'预评函-2'!M5</f>
        <v>0</v>
      </c>
    </row>
    <row r="42" spans="1:2">
      <c r="A42" s="2879" t="s">
        <v>2735</v>
      </c>
      <c r="B42" s="2880" t="str">
        <f>'预评函-2'!N3</f>
        <v>（分摊）出让国有建设用地使用权面积/㎡</v>
      </c>
    </row>
    <row r="43" spans="1:2">
      <c r="A43" s="2879" t="s">
        <v>2717</v>
      </c>
      <c r="B43" s="2880">
        <f>'预评函-2'!N5</f>
        <v>128587.91</v>
      </c>
    </row>
    <row r="44" spans="1:2">
      <c r="A44" s="2879" t="s">
        <v>2736</v>
      </c>
      <c r="B44" s="2880" t="str">
        <f>'预评函-2'!O3</f>
        <v>规划建筑面积/㎡</v>
      </c>
    </row>
    <row r="45" spans="1:2">
      <c r="A45" s="2879" t="s">
        <v>2718</v>
      </c>
      <c r="B45" s="2880">
        <f>'预评函-2'!O5</f>
        <v>292155</v>
      </c>
    </row>
    <row r="46" spans="1:2">
      <c r="A46" s="2879" t="s">
        <v>2719</v>
      </c>
      <c r="B46" s="2880">
        <f ca="1">'预评函-2'!P5</f>
        <v>19799</v>
      </c>
    </row>
    <row r="47" spans="1:2">
      <c r="A47" s="2879" t="s">
        <v>2720</v>
      </c>
      <c r="B47" s="2880">
        <f ca="1">'预评函-2'!Q5</f>
        <v>8714</v>
      </c>
    </row>
    <row r="48" spans="1:2">
      <c r="A48" s="2879" t="s">
        <v>2721</v>
      </c>
      <c r="B48" s="2880">
        <f ca="1">'预评函-2'!R5</f>
        <v>254587</v>
      </c>
    </row>
    <row r="49" spans="1:2">
      <c r="A49" s="2879" t="s">
        <v>2737</v>
      </c>
      <c r="B49" s="2880" t="str">
        <f>'预评函-2'!A6</f>
        <v>——</v>
      </c>
    </row>
    <row r="50" spans="1:2">
      <c r="A50" s="2879" t="s">
        <v>2722</v>
      </c>
      <c r="B50" s="2880" t="str">
        <f>'预评函-2'!R6</f>
        <v>——</v>
      </c>
    </row>
    <row r="51" spans="1:2">
      <c r="A51" s="2879" t="s">
        <v>2738</v>
      </c>
      <c r="B51" s="2880" t="str">
        <f>'预评函-2'!A7</f>
        <v>——</v>
      </c>
    </row>
    <row r="52" spans="1:2">
      <c r="A52" s="2879" t="s">
        <v>2723</v>
      </c>
      <c r="B52" s="2880" t="str">
        <f>'预评函-2'!R7</f>
        <v>——</v>
      </c>
    </row>
    <row r="53" spans="1:2">
      <c r="A53" s="2879" t="s">
        <v>2739</v>
      </c>
      <c r="B53" s="2880" t="str">
        <f>'预评函-2'!A8</f>
        <v>——</v>
      </c>
    </row>
    <row r="54" spans="1:2" s="2894" customFormat="1" ht="15" thickBot="1">
      <c r="A54" s="2901" t="s">
        <v>2724</v>
      </c>
      <c r="B54" s="2902" t="str">
        <f>'预评函-2'!R8</f>
        <v>——</v>
      </c>
    </row>
    <row r="55" spans="1:2" ht="15" thickTop="1">
      <c r="A55" s="2890" t="s">
        <v>2674</v>
      </c>
      <c r="B55" s="2891" t="str">
        <f>'预评函-3'!A2</f>
        <v>1.权利限制：根据估价对象《不动产权证书》原件、《国有土地使用权》复印件，截至估价期日，估价对象抵押权未见登记。未设定租赁等其他他项权利。</v>
      </c>
    </row>
    <row r="56" spans="1:2">
      <c r="A56" s="2879" t="s">
        <v>2675</v>
      </c>
      <c r="B56" s="2880" t="str">
        <f>'预评函-3'!A3</f>
        <v>2.基础设施条件：估价对象实际开发程度为红线外七通、宗地红线内；本次评估设定开发程度为红线外七通、宗地红线内场地。</v>
      </c>
    </row>
    <row r="57" spans="1:2">
      <c r="A57" s="2879" t="s">
        <v>2676</v>
      </c>
      <c r="B57" s="2880" t="str">
        <f>'预评函-3'!A4</f>
        <v>3.估价规划限制条件：详见《建设工程规划许可证》[]、《出让合同》[]。</v>
      </c>
    </row>
    <row r="58" spans="1:2" s="2894" customFormat="1" ht="15" thickBot="1">
      <c r="A58" s="2901" t="s">
        <v>2725</v>
      </c>
      <c r="B58" s="2902" t="str">
        <f>'预评函-3'!A5</f>
        <v>4.影响价格的其他限定条件：无。</v>
      </c>
    </row>
    <row r="59" spans="1:2" ht="15" thickTop="1">
      <c r="A59" s="2890" t="s">
        <v>2677</v>
      </c>
      <c r="B59" s="2891" t="str">
        <f>'预评函-3'!A8</f>
        <v>2.本次评估设定估价对象宗地权属无争议，未被查封或者以其他形式限制其房地产权利，未设定抵押权等他项权利，不涉及第三方权利义务。</v>
      </c>
    </row>
    <row r="60" spans="1:2">
      <c r="A60" s="2879" t="s">
        <v>2678</v>
      </c>
      <c r="B60" s="2880" t="str">
        <f>'预评函-3'!A9</f>
        <v>——</v>
      </c>
    </row>
    <row r="61" spans="1:2">
      <c r="A61" s="2879" t="s">
        <v>2680</v>
      </c>
      <c r="B61" s="2880" t="str">
        <f>'预评函-3'!A10</f>
        <v>——</v>
      </c>
    </row>
    <row r="62" spans="1:2">
      <c r="A62" s="2879" t="s">
        <v>2679</v>
      </c>
      <c r="B62" s="2880" t="str">
        <f>'预评函-3'!A11</f>
        <v>——</v>
      </c>
    </row>
    <row r="63" spans="1:2">
      <c r="A63" s="2879" t="s">
        <v>2681</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2682</v>
      </c>
      <c r="B64" s="2885" t="str">
        <f>'预评函-3'!A13</f>
        <v>（3）。</v>
      </c>
    </row>
    <row r="65" spans="1:2">
      <c r="A65" s="2879" t="s">
        <v>2683</v>
      </c>
      <c r="B65" s="2886" t="str">
        <f>'预评函-3'!A14</f>
        <v>——</v>
      </c>
    </row>
    <row r="66" spans="1:2">
      <c r="A66" s="2879" t="s">
        <v>2684</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2685</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2688</v>
      </c>
      <c r="B68" s="2905">
        <f>'预评函-3'!D30</f>
        <v>42558</v>
      </c>
    </row>
    <row r="69" spans="1:2" ht="15" thickTop="1">
      <c r="A69" s="2890" t="s">
        <v>2686</v>
      </c>
      <c r="B69" s="2891" t="str">
        <f>'预评函-3'!A20</f>
        <v>陈颖</v>
      </c>
    </row>
    <row r="70" spans="1:2">
      <c r="A70" s="2879" t="s">
        <v>2686</v>
      </c>
      <c r="B70" s="2886">
        <f ca="1">'预评函-3'!B20</f>
        <v>2004110096</v>
      </c>
    </row>
    <row r="71" spans="1:2">
      <c r="A71" s="2879" t="s">
        <v>2687</v>
      </c>
      <c r="B71" s="2880" t="str">
        <f>'预评函-3'!A21</f>
        <v>叶凌</v>
      </c>
    </row>
    <row r="72" spans="1:2" s="2894" customFormat="1" ht="15" thickBot="1">
      <c r="A72" s="2901" t="s">
        <v>2687</v>
      </c>
      <c r="B72" s="2907">
        <f ca="1">'预评函-3'!B21</f>
        <v>94010078</v>
      </c>
    </row>
    <row r="73" spans="1:2" ht="15" thickTop="1">
      <c r="A73" s="2890" t="s">
        <v>2746</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2747</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2748</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2782</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B43" sqref="B43:D44"/>
    </sheetView>
  </sheetViews>
  <sheetFormatPr defaultColWidth="10" defaultRowHeight="14.25"/>
  <cols>
    <col min="1" max="1" width="15.375" style="1691" customWidth="1"/>
    <col min="2" max="2" width="11.375" style="1691" customWidth="1"/>
    <col min="3" max="3" width="12.625" style="1691" customWidth="1"/>
    <col min="4" max="4" width="1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1933</v>
      </c>
      <c r="B1" s="3314" t="str">
        <f>IF(B10="北京市","北京市",C10)&amp;F10&amp;B16&amp;"国有建设用地使用权"&amp;B9&amp;"预评估"</f>
        <v>北京市房山区邢家坞村出让国有建设用地使用权市场价格预评估</v>
      </c>
      <c r="C1" s="3315"/>
      <c r="D1" s="3315"/>
      <c r="E1" s="3315"/>
      <c r="F1" s="3315"/>
      <c r="G1" s="3315"/>
      <c r="H1" s="3315"/>
      <c r="I1" s="3316"/>
      <c r="J1" s="1694"/>
      <c r="K1" s="2456" t="str">
        <f>IF(B10="北京市","北京市",C10)&amp;F10&amp;B16&amp;"国有建设用地使用权"&amp;B9</f>
        <v>北京市房山区邢家坞村出让国有建设用地使用权市场价格</v>
      </c>
      <c r="L1" s="1723"/>
      <c r="M1" s="1723"/>
      <c r="N1" s="1694"/>
      <c r="O1" s="1695"/>
      <c r="P1" s="1694"/>
      <c r="Q1" s="1694"/>
      <c r="R1" s="1694"/>
      <c r="S1" s="1694"/>
      <c r="T1" s="1694"/>
      <c r="U1" s="1694"/>
    </row>
    <row r="2" spans="1:21">
      <c r="A2" s="1660" t="s">
        <v>1934</v>
      </c>
      <c r="B2" s="1842"/>
      <c r="D2" s="1694"/>
      <c r="E2" s="1694"/>
      <c r="F2" s="1694"/>
      <c r="G2" s="1694"/>
      <c r="H2" s="1660"/>
      <c r="I2" s="1695"/>
      <c r="J2" s="1694"/>
      <c r="K2" s="2456" t="str">
        <f>IF(B10="北京市","北京市",C10)&amp;F10&amp;B16&amp;"国有建设用地使用权"</f>
        <v>北京市房山区邢家坞村出让国有建设用地使用权</v>
      </c>
      <c r="L2" s="1723"/>
      <c r="M2" s="1723"/>
      <c r="N2" s="1694"/>
      <c r="O2" s="1695"/>
      <c r="P2" s="1694"/>
      <c r="Q2" s="1694"/>
      <c r="R2" s="1694"/>
      <c r="S2" s="1694"/>
      <c r="T2" s="1694"/>
      <c r="U2" s="1694"/>
    </row>
    <row r="3" spans="1:21">
      <c r="A3" s="1661" t="s">
        <v>1935</v>
      </c>
      <c r="B3" s="1662">
        <f>D3</f>
        <v>43424</v>
      </c>
      <c r="C3" s="1663" t="s">
        <v>1991</v>
      </c>
      <c r="D3" s="1662">
        <v>43424</v>
      </c>
      <c r="E3" s="1694"/>
      <c r="F3" s="1694"/>
      <c r="G3" s="1694"/>
      <c r="H3" s="1660"/>
      <c r="I3" s="1695"/>
      <c r="J3" s="1694"/>
      <c r="K3" s="1774"/>
      <c r="L3" s="1723"/>
      <c r="M3" s="1723"/>
      <c r="N3" s="1694"/>
      <c r="O3" s="1695"/>
      <c r="P3" s="1694"/>
      <c r="Q3" s="1694"/>
      <c r="R3" s="1694"/>
      <c r="S3" s="1694"/>
      <c r="T3" s="1694"/>
      <c r="U3" s="1694"/>
    </row>
    <row r="4" spans="1:21" ht="15" thickBot="1">
      <c r="A4" s="1664" t="s">
        <v>1936</v>
      </c>
      <c r="B4" s="1843" t="s">
        <v>3029</v>
      </c>
      <c r="C4" s="1846">
        <f ca="1">SUMIF(土地估价师,B4,估价师及机构信息!E3:E24)</f>
        <v>2004110096</v>
      </c>
      <c r="D4" s="1843" t="s">
        <v>3030</v>
      </c>
      <c r="E4" s="1846">
        <f ca="1">SUMIF(土地估价师,D4,估价师及机构信息!E3:E24)</f>
        <v>94010078</v>
      </c>
      <c r="F4" s="1843" t="s">
        <v>949</v>
      </c>
      <c r="G4" s="1846">
        <f>SUMIF(土地估价师,F4,估价师及机构信息!E3:E24)</f>
        <v>0</v>
      </c>
      <c r="H4" s="1843" t="s">
        <v>949</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1937</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2702</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1938</v>
      </c>
      <c r="B8" s="1670" t="s">
        <v>2984</v>
      </c>
      <c r="C8" s="1671"/>
      <c r="D8" s="3320" t="s">
        <v>1940</v>
      </c>
      <c r="E8" s="1844"/>
      <c r="F8" s="1672"/>
      <c r="G8" s="1660"/>
      <c r="H8" s="1660"/>
      <c r="I8" s="1707"/>
      <c r="J8" s="1694"/>
      <c r="K8" s="1774"/>
      <c r="L8" s="1723"/>
      <c r="M8" s="1723"/>
      <c r="N8" s="1694"/>
      <c r="O8" s="1695"/>
      <c r="P8" s="1694"/>
      <c r="Q8" s="1694"/>
      <c r="R8" s="1694"/>
      <c r="S8" s="1694"/>
      <c r="T8" s="1694"/>
      <c r="U8" s="1694"/>
    </row>
    <row r="9" spans="1:21" ht="15" thickBot="1">
      <c r="A9" s="1673" t="s">
        <v>1939</v>
      </c>
      <c r="B9" s="1674" t="s">
        <v>2985</v>
      </c>
      <c r="C9" s="1675"/>
      <c r="D9" s="3321"/>
      <c r="E9" s="1674"/>
      <c r="F9" s="1747"/>
      <c r="G9" s="1742"/>
      <c r="H9" s="1742"/>
      <c r="I9" s="1743"/>
      <c r="J9" s="1694"/>
      <c r="K9" s="1774"/>
      <c r="L9" s="1723"/>
      <c r="M9" s="1723"/>
      <c r="N9" s="1694"/>
      <c r="O9" s="1695"/>
      <c r="P9" s="1694"/>
      <c r="Q9" s="1694"/>
      <c r="R9" s="1694"/>
      <c r="S9" s="1694"/>
      <c r="T9" s="1694"/>
      <c r="U9" s="1694"/>
    </row>
    <row r="10" spans="1:21" ht="15" thickTop="1">
      <c r="A10" s="1744" t="s">
        <v>1995</v>
      </c>
      <c r="B10" s="1719" t="s">
        <v>1941</v>
      </c>
      <c r="C10" s="1676"/>
      <c r="D10" s="1667"/>
      <c r="E10" s="1677" t="s">
        <v>1942</v>
      </c>
      <c r="F10" s="1678" t="s">
        <v>3001</v>
      </c>
      <c r="G10" s="1745"/>
      <c r="H10" s="1746"/>
      <c r="I10" s="1667"/>
      <c r="J10" s="1694"/>
      <c r="K10" s="1774"/>
      <c r="L10" s="1723"/>
      <c r="M10" s="1723"/>
      <c r="N10" s="1694"/>
      <c r="O10" s="1695"/>
      <c r="P10" s="1694"/>
      <c r="Q10" s="1694"/>
      <c r="R10" s="1694"/>
      <c r="S10" s="1694"/>
      <c r="T10" s="1694"/>
      <c r="U10" s="1694"/>
    </row>
    <row r="11" spans="1:21">
      <c r="A11" s="1697" t="s">
        <v>1996</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2054</v>
      </c>
      <c r="B12" s="3317"/>
      <c r="C12" s="3318"/>
      <c r="D12" s="3319"/>
      <c r="E12" s="1699" t="s">
        <v>2057</v>
      </c>
      <c r="F12" s="3335" t="s">
        <v>2884</v>
      </c>
      <c r="G12" s="3336"/>
      <c r="H12" s="3336"/>
      <c r="I12" s="3337"/>
      <c r="J12" s="1694"/>
      <c r="K12" s="1774"/>
      <c r="L12" s="1723"/>
      <c r="M12" s="1723"/>
      <c r="N12" s="1694"/>
      <c r="O12" s="1695"/>
      <c r="P12" s="1694"/>
      <c r="Q12" s="1694"/>
      <c r="R12" s="1694"/>
      <c r="S12" s="1694"/>
      <c r="T12" s="1694"/>
      <c r="U12" s="1694"/>
    </row>
    <row r="13" spans="1:21">
      <c r="A13" s="1687" t="s">
        <v>2055</v>
      </c>
      <c r="B13" s="3317"/>
      <c r="C13" s="3318"/>
      <c r="D13" s="3319"/>
      <c r="E13" s="1699" t="s">
        <v>2057</v>
      </c>
      <c r="F13" s="3335" t="s">
        <v>2885</v>
      </c>
      <c r="G13" s="3336"/>
      <c r="H13" s="3336"/>
      <c r="I13" s="3337"/>
      <c r="J13" s="1694"/>
      <c r="K13" s="1774"/>
      <c r="L13" s="1723"/>
      <c r="M13" s="1723"/>
      <c r="N13" s="1694"/>
      <c r="O13" s="1695"/>
      <c r="P13" s="1694"/>
      <c r="Q13" s="1694"/>
      <c r="R13" s="1694"/>
      <c r="S13" s="1694"/>
      <c r="T13" s="1694"/>
      <c r="U13" s="1694"/>
    </row>
    <row r="14" spans="1:21">
      <c r="A14" s="1661" t="s">
        <v>2058</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1945</v>
      </c>
      <c r="E15" s="1766" t="s">
        <v>1946</v>
      </c>
      <c r="F15" s="1766" t="s">
        <v>1947</v>
      </c>
      <c r="G15" s="1686" t="s">
        <v>1948</v>
      </c>
      <c r="H15" s="1686" t="s">
        <v>1949</v>
      </c>
      <c r="I15" s="1686" t="s">
        <v>1950</v>
      </c>
      <c r="J15" s="1694"/>
      <c r="K15" s="1774"/>
      <c r="L15" s="1723"/>
      <c r="M15" s="1723"/>
      <c r="N15" s="1694"/>
      <c r="O15" s="1695"/>
      <c r="P15" s="1694"/>
      <c r="Q15" s="1694"/>
      <c r="R15" s="1694"/>
      <c r="S15" s="1694"/>
      <c r="T15" s="1694"/>
      <c r="U15" s="1694"/>
    </row>
    <row r="16" spans="1:21" ht="42.75">
      <c r="A16" s="1680" t="s">
        <v>1943</v>
      </c>
      <c r="B16" s="1681" t="s">
        <v>2986</v>
      </c>
      <c r="C16" s="1699" t="s">
        <v>1944</v>
      </c>
      <c r="D16" s="2647" t="s">
        <v>1945</v>
      </c>
      <c r="E16" s="1722" t="s">
        <v>2983</v>
      </c>
      <c r="F16" s="1722" t="s">
        <v>1674</v>
      </c>
      <c r="G16" s="1722"/>
      <c r="H16" s="1722"/>
      <c r="I16" s="1686" t="s">
        <v>1950</v>
      </c>
      <c r="J16" s="1694"/>
      <c r="K16" s="2457" t="str">
        <f>IF(D17="","",D16&amp;TEXT(D17,"yyyy年m月d日;;"))</f>
        <v>住宅2088年11月19日</v>
      </c>
      <c r="L16" s="1699" t="str">
        <f>IF(OR(K16="",M16=""),"","、")</f>
        <v>、</v>
      </c>
      <c r="M16" s="2457" t="str">
        <f>IF(E17="","",E16&amp;TEXT(E17,"yyyy年m月d日;;"))</f>
        <v>商业2058年11月19日</v>
      </c>
      <c r="N16" s="1699" t="str">
        <f>IF(OR(M16="",O16=""),"","、")</f>
        <v>、</v>
      </c>
      <c r="O16" s="2457" t="str">
        <f>IF(F17="","",F16&amp;TEXT(F17,"yyyy年m月d日;;"))</f>
        <v>办公2068年11月19日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1951</v>
      </c>
      <c r="D17" s="1700">
        <v>68991</v>
      </c>
      <c r="E17" s="1700">
        <v>58033</v>
      </c>
      <c r="F17" s="1700">
        <v>61686</v>
      </c>
      <c r="G17" s="1700"/>
      <c r="H17" s="1700"/>
      <c r="I17" s="1700"/>
      <c r="J17" s="1694"/>
      <c r="K17" s="2456" t="str">
        <f>CONCATENATE(K16,L16,M16,N16,O16,P16,Q16,R16,S16,T16,,U16)</f>
        <v>住宅2088年11月19日、商业2058年11月19日、办公2068年11月19日</v>
      </c>
      <c r="L17" s="1723"/>
      <c r="M17" s="1723"/>
      <c r="N17" s="1694"/>
      <c r="O17" s="1695"/>
      <c r="P17" s="1694"/>
      <c r="Q17" s="1694"/>
      <c r="R17" s="1694"/>
      <c r="S17" s="1694"/>
      <c r="T17" s="1694"/>
      <c r="U17" s="1694"/>
    </row>
    <row r="18" spans="1:21">
      <c r="A18" s="1763"/>
      <c r="B18" s="1682"/>
      <c r="C18" s="1683" t="s">
        <v>1952</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1953</v>
      </c>
      <c r="D19" s="1758">
        <f>IF(B16="出让",IF(D17="","",ROUNDDOWN(MIN((D17-$D$3)/365,D18),2)),D18)</f>
        <v>70</v>
      </c>
      <c r="E19" s="1685">
        <f>IF(B16="出让",IF(E17="","",ROUNDDOWN(MIN((E17-$D$3)/365,E18),2)),E18)</f>
        <v>40</v>
      </c>
      <c r="F19" s="1685">
        <f>IF(B16="出让",IF(F17="","",ROUNDDOWN(MIN((F17-$D$3)/365,F18),2)),F18)</f>
        <v>50</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2056</v>
      </c>
      <c r="D20" s="3332"/>
      <c r="E20" s="3333"/>
      <c r="F20" s="3333"/>
      <c r="G20" s="3333"/>
      <c r="H20" s="3333"/>
      <c r="I20" s="3334"/>
      <c r="J20" s="1694"/>
      <c r="K20" s="1774"/>
      <c r="L20" s="1723"/>
      <c r="M20" s="1723"/>
      <c r="N20" s="1694"/>
      <c r="O20" s="1695"/>
      <c r="P20" s="1694"/>
      <c r="Q20" s="1694"/>
      <c r="R20" s="1694"/>
      <c r="S20" s="1694"/>
      <c r="T20" s="1694"/>
      <c r="U20" s="1694"/>
    </row>
    <row r="21" spans="1:21">
      <c r="A21" s="1763" t="s">
        <v>1954</v>
      </c>
      <c r="B21" s="1764" t="s">
        <v>1955</v>
      </c>
      <c r="C21" s="1759">
        <f>'数据-汇总表'!E3</f>
        <v>292155</v>
      </c>
      <c r="D21" s="1760" t="s">
        <v>1956</v>
      </c>
      <c r="E21" s="3322" t="s">
        <v>1994</v>
      </c>
      <c r="F21" s="3323"/>
      <c r="G21" s="3323"/>
      <c r="H21" s="3323"/>
      <c r="I21" s="3324"/>
      <c r="J21" s="1694"/>
      <c r="K21" s="1774"/>
      <c r="L21" s="1723"/>
      <c r="M21" s="1723"/>
      <c r="N21" s="1694"/>
      <c r="O21" s="1695"/>
      <c r="P21" s="1694"/>
      <c r="Q21" s="1694"/>
      <c r="R21" s="1694"/>
      <c r="S21" s="1694"/>
      <c r="T21" s="1694"/>
      <c r="U21" s="1694"/>
    </row>
    <row r="22" spans="1:21">
      <c r="A22" s="3150" t="s">
        <v>949</v>
      </c>
      <c r="B22" s="1661" t="s">
        <v>1957</v>
      </c>
      <c r="C22" s="1686">
        <f>'数据-汇总表'!D3</f>
        <v>128587.91</v>
      </c>
      <c r="D22" s="1687" t="s">
        <v>1956</v>
      </c>
      <c r="E22" s="3322" t="s">
        <v>2886</v>
      </c>
      <c r="F22" s="3323"/>
      <c r="G22" s="3323"/>
      <c r="H22" s="3323"/>
      <c r="I22" s="3324"/>
      <c r="J22" s="1694"/>
      <c r="K22" s="1774"/>
      <c r="L22" s="1723"/>
      <c r="M22" s="1723"/>
      <c r="N22" s="1694"/>
      <c r="O22" s="1695"/>
      <c r="P22" s="1694"/>
      <c r="Q22" s="1694"/>
      <c r="R22" s="1694"/>
      <c r="S22" s="1694"/>
      <c r="T22" s="1694"/>
      <c r="U22" s="1694"/>
    </row>
    <row r="23" spans="1:21" ht="29.25" thickBot="1">
      <c r="A23" s="1765" t="s">
        <v>1958</v>
      </c>
      <c r="B23" s="1701" t="s">
        <v>1959</v>
      </c>
      <c r="C23" s="1702"/>
      <c r="D23" s="1703" t="s">
        <v>1960</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1961</v>
      </c>
      <c r="B24" s="3325" t="s">
        <v>1962</v>
      </c>
      <c r="C24" s="3326"/>
      <c r="D24" s="3327" t="s">
        <v>1963</v>
      </c>
      <c r="E24" s="3328"/>
      <c r="F24" s="1708" t="s">
        <v>1964</v>
      </c>
      <c r="G24" s="1694"/>
      <c r="H24" s="1694"/>
      <c r="I24" s="1707"/>
      <c r="J24" s="1694"/>
      <c r="K24" s="3313" t="s">
        <v>1965</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2321</v>
      </c>
      <c r="C25" s="1709" t="s">
        <v>1966</v>
      </c>
      <c r="D25" s="1710"/>
      <c r="E25" s="1711" t="s">
        <v>949</v>
      </c>
      <c r="F25" s="1712"/>
      <c r="G25" s="1694"/>
      <c r="H25" s="1694"/>
      <c r="I25" s="1707"/>
      <c r="J25" s="1694"/>
      <c r="K25" s="3313"/>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1967</v>
      </c>
      <c r="C26" s="1709" t="s">
        <v>2322</v>
      </c>
      <c r="D26" s="1660"/>
      <c r="E26" s="1660"/>
      <c r="F26" s="1688"/>
      <c r="G26" s="1694"/>
      <c r="H26" s="1694"/>
      <c r="I26" s="1707"/>
      <c r="J26" s="1694"/>
      <c r="K26" s="3313"/>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1968</v>
      </c>
      <c r="B27" s="1753" t="s">
        <v>1969</v>
      </c>
      <c r="C27" s="1713"/>
      <c r="D27" s="2652" t="s">
        <v>1969</v>
      </c>
      <c r="E27" s="1714"/>
      <c r="F27" s="1688"/>
      <c r="G27" s="1694"/>
      <c r="H27" s="1694"/>
      <c r="I27" s="1707"/>
      <c r="J27" s="1694"/>
      <c r="K27" s="1774"/>
      <c r="L27" s="1723"/>
      <c r="M27" s="1723"/>
      <c r="N27" s="1694"/>
      <c r="O27" s="1695"/>
      <c r="P27" s="1694"/>
      <c r="Q27" s="1694"/>
      <c r="R27" s="1694"/>
      <c r="S27" s="1694"/>
      <c r="T27" s="1694"/>
      <c r="U27" s="1694"/>
    </row>
    <row r="28" spans="1:21">
      <c r="A28" s="1756"/>
      <c r="B28" s="1753" t="s">
        <v>1970</v>
      </c>
      <c r="C28" s="1715"/>
      <c r="D28" s="2653" t="s">
        <v>1970</v>
      </c>
      <c r="E28" s="1716"/>
      <c r="F28" s="1688"/>
      <c r="G28" s="1694"/>
      <c r="H28" s="1694"/>
      <c r="I28" s="1707"/>
      <c r="J28" s="1694"/>
      <c r="K28" s="1774"/>
      <c r="L28" s="1723"/>
      <c r="M28" s="1723"/>
      <c r="N28" s="1694"/>
      <c r="O28" s="1695"/>
      <c r="P28" s="1694"/>
      <c r="Q28" s="1694"/>
      <c r="R28" s="1694"/>
      <c r="S28" s="1694"/>
      <c r="T28" s="1694"/>
      <c r="U28" s="1694"/>
    </row>
    <row r="29" spans="1:21">
      <c r="A29" s="1756"/>
      <c r="B29" s="1753" t="s">
        <v>1971</v>
      </c>
      <c r="C29" s="1715"/>
      <c r="D29" s="2653" t="s">
        <v>1971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1972</v>
      </c>
      <c r="C30" s="1717"/>
      <c r="D30" s="2654" t="s">
        <v>1972</v>
      </c>
      <c r="E30" s="1718"/>
      <c r="F30" s="1689"/>
      <c r="G30" s="1742"/>
      <c r="H30" s="1742"/>
      <c r="I30" s="1743"/>
      <c r="J30" s="1694"/>
      <c r="K30" s="1774"/>
      <c r="L30" s="1723"/>
      <c r="M30" s="1723"/>
      <c r="N30" s="1694"/>
      <c r="O30" s="1695"/>
      <c r="P30" s="1694"/>
      <c r="Q30" s="1694"/>
      <c r="R30" s="1694"/>
      <c r="S30" s="1694"/>
      <c r="T30" s="1694"/>
      <c r="U30" s="1694"/>
    </row>
    <row r="31" spans="1:21" ht="15" thickTop="1">
      <c r="A31" s="3299" t="s">
        <v>1997</v>
      </c>
      <c r="B31" s="1764" t="s">
        <v>1998</v>
      </c>
      <c r="C31" s="3338"/>
      <c r="D31" s="3339"/>
      <c r="E31" s="1694"/>
      <c r="F31" s="1694"/>
      <c r="G31" s="1694"/>
      <c r="H31" s="1694"/>
      <c r="I31" s="1707"/>
      <c r="J31" s="1694"/>
      <c r="K31" s="2459"/>
      <c r="L31" s="1694"/>
      <c r="M31" s="1694"/>
      <c r="N31" s="1694"/>
      <c r="O31" s="1694"/>
      <c r="P31" s="1694"/>
      <c r="Q31" s="1694"/>
      <c r="R31" s="1694"/>
      <c r="S31" s="1694"/>
      <c r="T31" s="1694"/>
      <c r="U31" s="1694"/>
    </row>
    <row r="32" spans="1:21">
      <c r="A32" s="3299"/>
      <c r="B32" s="1661" t="s">
        <v>1999</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99"/>
      <c r="B33" s="1661" t="s">
        <v>2000</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00"/>
      <c r="B34" s="1661" t="s">
        <v>2001</v>
      </c>
      <c r="C34" s="3301"/>
      <c r="D34" s="3302"/>
      <c r="E34" s="1694"/>
      <c r="F34" s="1694"/>
      <c r="G34" s="1694"/>
      <c r="H34" s="1694"/>
      <c r="I34" s="1707"/>
      <c r="J34" s="1694"/>
      <c r="K34" s="2459"/>
      <c r="L34" s="1694"/>
      <c r="M34" s="1694"/>
      <c r="N34" s="1694"/>
      <c r="O34" s="1694"/>
      <c r="P34" s="1694"/>
      <c r="Q34" s="1694"/>
      <c r="R34" s="1694"/>
      <c r="S34" s="1694"/>
      <c r="T34" s="1694"/>
      <c r="U34" s="1694"/>
    </row>
    <row r="35" spans="1:21">
      <c r="A35" s="3303" t="s">
        <v>844</v>
      </c>
      <c r="B35" s="1722"/>
      <c r="C35" s="1776" t="str">
        <f>IF(B35="场地平整","——","具体情况：")</f>
        <v>具体情况：</v>
      </c>
      <c r="D35" s="3305"/>
      <c r="E35" s="3306"/>
      <c r="F35" s="3306"/>
      <c r="G35" s="3306"/>
      <c r="H35" s="3306"/>
      <c r="I35" s="3307"/>
      <c r="J35" s="1694"/>
      <c r="K35" s="1775"/>
      <c r="L35" s="1723"/>
      <c r="M35" s="1723"/>
      <c r="N35" s="1694"/>
      <c r="O35" s="1695"/>
      <c r="P35" s="1694"/>
      <c r="Q35" s="1694"/>
      <c r="R35" s="1694"/>
      <c r="S35" s="1694"/>
      <c r="T35" s="1694"/>
      <c r="U35" s="1694"/>
    </row>
    <row r="36" spans="1:21">
      <c r="A36" s="3299"/>
      <c r="B36" s="3308" t="s">
        <v>2050</v>
      </c>
      <c r="C36" s="3309"/>
      <c r="D36" s="1792"/>
      <c r="E36" s="3310"/>
      <c r="F36" s="3310"/>
      <c r="G36" s="1687" t="str">
        <f>IF(B35="场地未平整","估价结果处理","")</f>
        <v/>
      </c>
      <c r="H36" s="3311"/>
      <c r="I36" s="3311"/>
      <c r="J36" s="1694"/>
      <c r="K36" s="1775"/>
      <c r="L36" s="1723"/>
      <c r="M36" s="1723"/>
      <c r="N36" s="1694"/>
      <c r="O36" s="1695"/>
      <c r="P36" s="1694"/>
      <c r="Q36" s="1694"/>
      <c r="R36" s="1694"/>
      <c r="S36" s="1694"/>
      <c r="T36" s="1694"/>
      <c r="U36" s="1694"/>
    </row>
    <row r="37" spans="1:21" ht="28.5">
      <c r="A37" s="3299"/>
      <c r="B37" s="3329"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299"/>
      <c r="B38" s="3330"/>
      <c r="C38" s="1669" t="s">
        <v>847</v>
      </c>
      <c r="D38" s="1791">
        <f>ROUNDDOWN(MIN(('数据-取费表'!$B$2-D37)/365,D34),1)</f>
        <v>118.9</v>
      </c>
      <c r="E38" s="1727" t="s">
        <v>848</v>
      </c>
      <c r="F38" s="1694"/>
      <c r="G38" s="1694"/>
      <c r="H38" s="1694"/>
      <c r="I38" s="1707"/>
      <c r="J38" s="1694"/>
      <c r="K38" s="1775"/>
      <c r="L38" s="1694"/>
      <c r="M38" s="1694"/>
      <c r="N38" s="1694"/>
      <c r="O38" s="1694"/>
      <c r="P38" s="1694"/>
      <c r="Q38" s="1694"/>
      <c r="R38" s="1694"/>
      <c r="S38" s="1694"/>
      <c r="T38" s="1694"/>
      <c r="U38" s="1694"/>
    </row>
    <row r="39" spans="1:21">
      <c r="A39" s="3300"/>
      <c r="B39" s="333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1973</v>
      </c>
      <c r="B40" s="1690"/>
      <c r="C40" s="1690"/>
      <c r="D40" s="1690"/>
      <c r="E40" s="1690"/>
      <c r="F40" s="1690"/>
      <c r="G40" s="1690"/>
      <c r="H40" s="1690"/>
      <c r="I40" s="1707"/>
      <c r="J40" s="1694"/>
      <c r="K40" s="1730">
        <f>COUNTIF(B40:H40,"——")</f>
        <v>0</v>
      </c>
      <c r="L40" s="1699" t="s">
        <v>1974</v>
      </c>
      <c r="M40" s="1696" t="s">
        <v>1975</v>
      </c>
      <c r="N40" s="1696" t="s">
        <v>1976</v>
      </c>
      <c r="O40" s="1696" t="s">
        <v>1977</v>
      </c>
      <c r="P40" s="1696" t="s">
        <v>1978</v>
      </c>
      <c r="Q40" s="1696" t="s">
        <v>1979</v>
      </c>
      <c r="R40" s="1696" t="s">
        <v>1980</v>
      </c>
      <c r="S40" s="3312" t="s">
        <v>1981</v>
      </c>
      <c r="T40" s="1731" t="str">
        <f>NUMBERSTRING(7-K40,1)&amp;"通"</f>
        <v>七通</v>
      </c>
      <c r="U40" s="1694"/>
    </row>
    <row r="41" spans="1:21">
      <c r="A41" s="1663"/>
      <c r="B41" s="3304" t="s">
        <v>1715</v>
      </c>
      <c r="C41" s="3304"/>
      <c r="D41" s="3304"/>
      <c r="E41" s="330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312"/>
      <c r="T41" s="1733" t="str">
        <f>IF(T40="一通",L41,IF(T40="二通",M41,IF(T40="三通",N41,IF(T40="四通",O41,IF(T40="五通",P41,IF(T40="六通",Q41,R41))))))</f>
        <v>、、、、、、</v>
      </c>
      <c r="U41" s="1694"/>
    </row>
    <row r="42" spans="1:21">
      <c r="A42" s="1735"/>
      <c r="B42" s="1766" t="s">
        <v>1891</v>
      </c>
      <c r="C42" s="1766" t="s">
        <v>1892</v>
      </c>
      <c r="D42" s="1766" t="s">
        <v>1893</v>
      </c>
      <c r="E42" s="1699" t="s">
        <v>1894</v>
      </c>
      <c r="F42" s="1736"/>
      <c r="G42" s="1694"/>
      <c r="H42" s="1694"/>
      <c r="I42" s="1707"/>
      <c r="J42" s="1694"/>
      <c r="K42" s="1774"/>
      <c r="L42" s="1723"/>
      <c r="M42" s="1723"/>
      <c r="N42" s="1694"/>
      <c r="O42" s="1695"/>
      <c r="P42" s="1694"/>
      <c r="Q42" s="1694"/>
      <c r="R42" s="1694"/>
      <c r="S42" s="1694"/>
      <c r="T42" s="1694"/>
      <c r="U42" s="1694"/>
    </row>
    <row r="43" spans="1:21">
      <c r="A43" s="1737" t="s">
        <v>1700</v>
      </c>
      <c r="B43" s="1738" t="s">
        <v>1413</v>
      </c>
      <c r="C43" s="1738" t="s">
        <v>1413</v>
      </c>
      <c r="D43" s="1738" t="s">
        <v>1413</v>
      </c>
      <c r="E43" s="1738"/>
      <c r="F43" s="1739"/>
      <c r="G43" s="1694"/>
      <c r="H43" s="1694"/>
      <c r="I43" s="1707"/>
      <c r="J43" s="1694"/>
      <c r="K43" s="1774"/>
      <c r="L43" s="1723"/>
      <c r="M43" s="1723"/>
      <c r="N43" s="1694"/>
      <c r="O43" s="1695"/>
      <c r="P43" s="1694"/>
      <c r="Q43" s="1694"/>
      <c r="R43" s="1694"/>
      <c r="S43" s="1694"/>
      <c r="T43" s="1694"/>
      <c r="U43" s="1694"/>
    </row>
    <row r="44" spans="1:21">
      <c r="A44" s="1737" t="s">
        <v>1701</v>
      </c>
      <c r="B44" s="1738" t="s">
        <v>1162</v>
      </c>
      <c r="C44" s="1738" t="s">
        <v>1162</v>
      </c>
      <c r="D44" s="1738" t="s">
        <v>1162</v>
      </c>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2887</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2003</v>
      </c>
      <c r="B48" s="1686" t="s">
        <v>2004</v>
      </c>
      <c r="C48" s="1686" t="s">
        <v>2005</v>
      </c>
      <c r="D48" s="1686" t="s">
        <v>2006</v>
      </c>
      <c r="E48" s="1686" t="s">
        <v>2007</v>
      </c>
      <c r="F48" s="1686" t="s">
        <v>2008</v>
      </c>
      <c r="G48" s="1686" t="s">
        <v>2009</v>
      </c>
      <c r="H48" s="1686" t="s">
        <v>2010</v>
      </c>
      <c r="I48" s="1686" t="s">
        <v>2011</v>
      </c>
      <c r="J48" s="1772" t="s">
        <v>2012</v>
      </c>
      <c r="K48" s="1766" t="s">
        <v>2013</v>
      </c>
      <c r="L48" s="1766" t="s">
        <v>2014</v>
      </c>
      <c r="M48" s="1766" t="s">
        <v>2015</v>
      </c>
      <c r="N48" s="1686" t="s">
        <v>2016</v>
      </c>
      <c r="O48" s="1686" t="s">
        <v>2017</v>
      </c>
      <c r="P48" s="1686" t="s">
        <v>2018</v>
      </c>
      <c r="Q48" s="1699" t="s">
        <v>2019</v>
      </c>
      <c r="R48" s="1699" t="s">
        <v>2020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179055.66</v>
      </c>
      <c r="B3" s="22">
        <f>IF(C3="否",G5-AT5,G5)</f>
        <v>406819</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406819</v>
      </c>
      <c r="H5" s="27">
        <f t="shared" ref="H5:AT5" si="0">SUM(H13:H641)</f>
        <v>406819</v>
      </c>
      <c r="I5" s="27">
        <f t="shared" si="0"/>
        <v>406819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292155</v>
      </c>
      <c r="BA5" s="29">
        <f t="shared" si="1"/>
        <v>292155</v>
      </c>
      <c r="BB5" s="29">
        <f t="shared" si="1"/>
        <v>292155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179055.66</v>
      </c>
      <c r="F6" s="27" t="s">
        <v>1</v>
      </c>
      <c r="G6" s="27" t="s">
        <v>2</v>
      </c>
      <c r="H6" s="33">
        <f>SUMIF(I$12:AB$12,"总值",I6:AB6)</f>
        <v>179055.66</v>
      </c>
      <c r="I6" s="27">
        <f t="shared" ref="I6:AB6" si="2">ROUND($A$3*I5/$B$3,2)</f>
        <v>179055.66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128587.91</v>
      </c>
      <c r="AZ6" s="27" t="s">
        <v>3</v>
      </c>
      <c r="BA6" s="27">
        <f>ROUND($AY$6*BA5/$AZ$5,2)</f>
        <v>128587.91</v>
      </c>
      <c r="BB6" s="27">
        <f>ROUND($AY$6*BB5/$AZ$5,2)</f>
        <v>128587.91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20" t="s">
        <v>3044</v>
      </c>
      <c r="J9" s="51"/>
      <c r="K9" s="3020"/>
      <c r="L9" s="51"/>
      <c r="M9" s="3020"/>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20" t="s">
        <v>920</v>
      </c>
      <c r="J10" s="51"/>
      <c r="K10" s="3022"/>
      <c r="L10" s="51"/>
      <c r="M10" s="3022"/>
      <c r="N10" s="51"/>
      <c r="O10" s="66"/>
      <c r="P10" s="51"/>
      <c r="Q10" s="66"/>
      <c r="R10" s="51"/>
      <c r="S10" s="66"/>
      <c r="T10" s="51"/>
      <c r="U10" s="66"/>
      <c r="V10" s="51"/>
      <c r="W10" s="66"/>
      <c r="X10" s="51"/>
      <c r="Y10" s="66"/>
      <c r="Z10" s="51"/>
      <c r="AA10" s="66"/>
      <c r="AB10" s="51"/>
      <c r="AC10" s="55"/>
      <c r="AD10" s="2315" t="s">
        <v>2313</v>
      </c>
      <c r="AE10" s="2337"/>
      <c r="AF10" s="2315" t="s">
        <v>2313</v>
      </c>
      <c r="AG10" s="2337"/>
      <c r="AH10" s="2315" t="s">
        <v>2314</v>
      </c>
      <c r="AI10" s="2337"/>
      <c r="AJ10" s="26" t="s">
        <v>2327</v>
      </c>
      <c r="AK10" s="2334"/>
      <c r="AL10" s="2315" t="s">
        <v>2315</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3045</v>
      </c>
      <c r="J11" s="71"/>
      <c r="K11" s="3021"/>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5" t="s">
        <v>3033</v>
      </c>
      <c r="B13" s="3015"/>
      <c r="C13" s="3015"/>
      <c r="D13" s="3016" t="s">
        <v>1675</v>
      </c>
      <c r="E13" s="27">
        <f t="shared" ref="E13:E20" si="6">IF($C$3="是",ROUND($A$3*G13/$B$3,2),ROUND($A$3*(G13-AT13)/$B$3,2))</f>
        <v>42581.83</v>
      </c>
      <c r="F13" s="81"/>
      <c r="G13" s="82">
        <f t="shared" ref="G13:G20" si="7">H13+AC13+AT13</f>
        <v>96747</v>
      </c>
      <c r="H13" s="33">
        <f t="shared" ref="H13:H20" si="8">SUMIF(I$12:AB$12,"总值",I13:AB13)</f>
        <v>96747</v>
      </c>
      <c r="I13" s="3214">
        <v>96747</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FS04-0100-6076</v>
      </c>
      <c r="AW13" s="17">
        <f t="shared" si="10"/>
        <v>0</v>
      </c>
      <c r="AX13" s="17">
        <f t="shared" si="10"/>
        <v>0</v>
      </c>
      <c r="AY13" s="996">
        <f t="shared" ref="AY13:AY20" si="11">ROUND($AY$6*AZ13/$AZ$5,2)</f>
        <v>42581.83</v>
      </c>
      <c r="AZ13" s="27">
        <f t="shared" ref="AZ13:AZ20" si="12">BA13+BL13</f>
        <v>96747</v>
      </c>
      <c r="BA13" s="27">
        <f t="shared" ref="BA13:BA20" si="13">SUM(BB13:BK13)</f>
        <v>96747</v>
      </c>
      <c r="BB13" s="27">
        <f t="shared" ref="BB13:BB20" si="14">IF($D13="是",I13-J13,0)</f>
        <v>96747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t="s">
        <v>3034</v>
      </c>
      <c r="B14" s="3015"/>
      <c r="C14" s="3017"/>
      <c r="D14" s="3016" t="s">
        <v>1675</v>
      </c>
      <c r="E14" s="27">
        <f t="shared" si="6"/>
        <v>36584.54</v>
      </c>
      <c r="F14" s="81"/>
      <c r="G14" s="82">
        <f t="shared" si="7"/>
        <v>83121</v>
      </c>
      <c r="H14" s="33">
        <f t="shared" si="8"/>
        <v>83121</v>
      </c>
      <c r="I14" s="3214">
        <v>83121</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t="str">
        <f t="shared" si="10"/>
        <v>FS04-0100-6077</v>
      </c>
      <c r="AW14" s="17">
        <f t="shared" si="10"/>
        <v>0</v>
      </c>
      <c r="AX14" s="17">
        <f t="shared" si="10"/>
        <v>0</v>
      </c>
      <c r="AY14" s="996">
        <f t="shared" si="11"/>
        <v>36584.54</v>
      </c>
      <c r="AZ14" s="27">
        <f t="shared" si="12"/>
        <v>83121</v>
      </c>
      <c r="BA14" s="27">
        <f t="shared" si="13"/>
        <v>83121</v>
      </c>
      <c r="BB14" s="27">
        <f t="shared" si="14"/>
        <v>83121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5" t="s">
        <v>3035</v>
      </c>
      <c r="B15" s="3015"/>
      <c r="C15" s="3017"/>
      <c r="D15" s="3016" t="s">
        <v>1675</v>
      </c>
      <c r="E15" s="27">
        <f t="shared" si="6"/>
        <v>26797.24</v>
      </c>
      <c r="F15" s="81"/>
      <c r="G15" s="82">
        <f t="shared" si="7"/>
        <v>60884</v>
      </c>
      <c r="H15" s="33">
        <f t="shared" si="8"/>
        <v>60884</v>
      </c>
      <c r="I15" s="3214">
        <v>60884</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FS04-0100-6078</v>
      </c>
      <c r="AW15" s="17">
        <f t="shared" si="10"/>
        <v>0</v>
      </c>
      <c r="AX15" s="17">
        <f t="shared" si="10"/>
        <v>0</v>
      </c>
      <c r="AY15" s="996">
        <f t="shared" si="11"/>
        <v>26797.24</v>
      </c>
      <c r="AZ15" s="27">
        <f t="shared" si="12"/>
        <v>60884</v>
      </c>
      <c r="BA15" s="27">
        <f t="shared" si="13"/>
        <v>60884</v>
      </c>
      <c r="BB15" s="27">
        <f t="shared" si="14"/>
        <v>60884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5" t="s">
        <v>3036</v>
      </c>
      <c r="B16" s="3015"/>
      <c r="C16" s="81"/>
      <c r="D16" s="3016" t="s">
        <v>3043</v>
      </c>
      <c r="E16" s="27">
        <f t="shared" si="6"/>
        <v>1408.43</v>
      </c>
      <c r="F16" s="81"/>
      <c r="G16" s="82">
        <f t="shared" si="7"/>
        <v>3200</v>
      </c>
      <c r="H16" s="33">
        <f t="shared" si="8"/>
        <v>3200</v>
      </c>
      <c r="I16" s="3214">
        <v>3200</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t="str">
        <f t="shared" si="10"/>
        <v>FS04-0100-6080</v>
      </c>
      <c r="AW16" s="17">
        <f t="shared" si="10"/>
        <v>0</v>
      </c>
      <c r="AX16" s="17">
        <f>C16</f>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5" t="s">
        <v>3037</v>
      </c>
      <c r="B17" s="3015"/>
      <c r="C17" s="81"/>
      <c r="D17" s="3016" t="s">
        <v>3043</v>
      </c>
      <c r="E17" s="27">
        <f t="shared" si="6"/>
        <v>11318.1</v>
      </c>
      <c r="F17" s="81"/>
      <c r="G17" s="82">
        <f t="shared" si="7"/>
        <v>25715</v>
      </c>
      <c r="H17" s="33">
        <f t="shared" si="8"/>
        <v>25715</v>
      </c>
      <c r="I17" s="3214">
        <v>25715</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t="str">
        <f t="shared" si="10"/>
        <v>FS04-0100-6081</v>
      </c>
      <c r="AW17" s="17">
        <f t="shared" si="10"/>
        <v>0</v>
      </c>
      <c r="AX17" s="17">
        <f>C17</f>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15" t="s">
        <v>3038</v>
      </c>
      <c r="B18" s="85"/>
      <c r="C18" s="88"/>
      <c r="D18" s="3018" t="s">
        <v>3043</v>
      </c>
      <c r="E18" s="87">
        <f t="shared" si="6"/>
        <v>0</v>
      </c>
      <c r="F18" s="88"/>
      <c r="G18" s="89">
        <f t="shared" si="7"/>
        <v>0</v>
      </c>
      <c r="H18" s="90">
        <f t="shared" si="8"/>
        <v>0</v>
      </c>
      <c r="I18" s="3215">
        <v>0</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t="str">
        <f t="shared" si="10"/>
        <v>FS04-0100-6083</v>
      </c>
      <c r="AW18" s="992">
        <f t="shared" si="10"/>
        <v>0</v>
      </c>
      <c r="AX18" s="992">
        <f>C18</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3015" t="s">
        <v>3039</v>
      </c>
      <c r="B19" s="1399"/>
      <c r="C19" s="1395"/>
      <c r="D19" s="80" t="s">
        <v>1675</v>
      </c>
      <c r="E19" s="87">
        <f t="shared" si="6"/>
        <v>22624.31</v>
      </c>
      <c r="F19" s="88"/>
      <c r="G19" s="89">
        <f t="shared" si="7"/>
        <v>51403</v>
      </c>
      <c r="H19" s="90">
        <f t="shared" si="8"/>
        <v>51403</v>
      </c>
      <c r="I19" s="3216">
        <v>51403</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t="str">
        <f t="shared" si="10"/>
        <v>FS04-0100-6084</v>
      </c>
      <c r="AW19" s="992">
        <f t="shared" si="10"/>
        <v>0</v>
      </c>
      <c r="AX19" s="992">
        <f t="shared" si="10"/>
        <v>0</v>
      </c>
      <c r="AY19" s="95">
        <f t="shared" si="11"/>
        <v>22624.31</v>
      </c>
      <c r="AZ19" s="87">
        <f t="shared" si="12"/>
        <v>51403</v>
      </c>
      <c r="BA19" s="87">
        <f t="shared" si="13"/>
        <v>51403</v>
      </c>
      <c r="BB19" s="87">
        <f t="shared" si="14"/>
        <v>51403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015" t="s">
        <v>3040</v>
      </c>
      <c r="B20" s="1399"/>
      <c r="C20" s="1395"/>
      <c r="D20" s="80" t="s">
        <v>3043</v>
      </c>
      <c r="E20" s="87">
        <f t="shared" si="6"/>
        <v>18774.88</v>
      </c>
      <c r="F20" s="88"/>
      <c r="G20" s="89">
        <f t="shared" si="7"/>
        <v>42657</v>
      </c>
      <c r="H20" s="90">
        <f t="shared" si="8"/>
        <v>42657</v>
      </c>
      <c r="I20" s="3216">
        <v>42657</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t="str">
        <f t="shared" si="10"/>
        <v>FS04-0100-6085</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15" t="s">
        <v>3041</v>
      </c>
      <c r="B21" s="1394"/>
      <c r="C21" s="88"/>
      <c r="D21" s="80" t="s">
        <v>3043</v>
      </c>
      <c r="E21" s="87">
        <f t="shared" ref="E21:E112" si="33">IF($C$3="是",ROUND($A$3*G21/$B$3,2),ROUND($A$3*(G21-AT21)/$B$3,2))</f>
        <v>18966.34</v>
      </c>
      <c r="F21" s="88"/>
      <c r="G21" s="89">
        <f t="shared" ref="G21:G109" si="34">H21+AC21+AT21</f>
        <v>43092</v>
      </c>
      <c r="H21" s="90">
        <f t="shared" ref="H21:H109" si="35">SUMIF(I$12:AB$12,"总值",I21:AB21)</f>
        <v>43092</v>
      </c>
      <c r="I21" s="3217">
        <v>43092</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t="str">
        <f t="shared" ref="AV21:AV112" si="37">A21</f>
        <v>FS04-0100-6086</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0" t="s">
        <v>0</v>
      </c>
      <c r="B1" s="3340" t="s">
        <v>4</v>
      </c>
      <c r="C1" s="3340" t="s">
        <v>5</v>
      </c>
      <c r="D1" s="3341" t="s">
        <v>40</v>
      </c>
      <c r="E1" s="3341" t="s">
        <v>41</v>
      </c>
      <c r="F1" s="3341"/>
      <c r="G1" s="3341"/>
      <c r="H1" s="3341"/>
      <c r="I1" s="3341"/>
      <c r="J1" s="3341"/>
      <c r="K1" s="3341"/>
      <c r="L1" s="3341"/>
      <c r="M1" s="3341"/>
    </row>
    <row r="2" spans="1:13" ht="27" customHeight="1">
      <c r="A2" s="3340"/>
      <c r="B2" s="3340"/>
      <c r="C2" s="3340"/>
      <c r="D2" s="3341"/>
      <c r="E2" s="3341" t="s">
        <v>24</v>
      </c>
      <c r="F2" s="3341" t="s">
        <v>25</v>
      </c>
      <c r="G2" s="3341"/>
      <c r="H2" s="3341"/>
      <c r="I2" s="3341"/>
      <c r="J2" s="3341" t="s">
        <v>26</v>
      </c>
      <c r="K2" s="3341"/>
      <c r="L2" s="3341"/>
      <c r="M2" s="3341"/>
    </row>
    <row r="3" spans="1:13" ht="28.5">
      <c r="A3" s="3340"/>
      <c r="B3" s="3340"/>
      <c r="C3" s="3340"/>
      <c r="D3" s="3341"/>
      <c r="E3" s="33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1" t="s">
        <v>42</v>
      </c>
      <c r="B9" s="3341"/>
      <c r="C9" s="33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351" t="s">
        <v>200</v>
      </c>
      <c r="B2" s="3351"/>
      <c r="C2" s="3351"/>
      <c r="D2" s="1976" t="s">
        <v>201</v>
      </c>
      <c r="E2" s="106" t="s">
        <v>202</v>
      </c>
      <c r="F2" s="1985"/>
      <c r="G2" s="1198"/>
      <c r="H2" s="1199"/>
      <c r="I2" s="1200" t="s">
        <v>854</v>
      </c>
      <c r="J2" s="1985"/>
      <c r="K2" s="1985"/>
      <c r="L2" s="1985"/>
    </row>
    <row r="3" spans="1:16" ht="15.75" thickBot="1">
      <c r="A3" s="3352" t="s">
        <v>203</v>
      </c>
      <c r="B3" s="3352"/>
      <c r="C3" s="3352"/>
      <c r="D3" s="107">
        <f>'数据-基础表'!AY6</f>
        <v>128587.91</v>
      </c>
      <c r="E3" s="107">
        <f>'数据-基础表'!AZ5</f>
        <v>292155</v>
      </c>
      <c r="F3" s="1985"/>
      <c r="G3" s="280" t="s">
        <v>855</v>
      </c>
      <c r="H3" s="275" t="s">
        <v>856</v>
      </c>
      <c r="I3" s="1977">
        <f>ROUND('数据-基础表'!B3/'数据-基础表'!A3,2)</f>
        <v>2.27</v>
      </c>
      <c r="J3" s="1985"/>
      <c r="K3" s="1985"/>
      <c r="L3" s="1985"/>
    </row>
    <row r="4" spans="1:16" ht="15">
      <c r="A4" s="3353"/>
      <c r="B4" s="3354"/>
      <c r="C4" s="3355"/>
      <c r="D4" s="108" t="s">
        <v>201</v>
      </c>
      <c r="E4" s="109" t="s">
        <v>202</v>
      </c>
      <c r="F4" s="1985"/>
      <c r="G4" s="1201"/>
      <c r="H4" s="275" t="s">
        <v>857</v>
      </c>
      <c r="I4" s="1977">
        <f>ROUND(SUMIF('数据-基础表'!I9:AS9,"地上",'数据-基础表'!I5:AS5)/'数据-基础表'!A3,2)</f>
        <v>2.27</v>
      </c>
      <c r="J4" s="1985"/>
      <c r="K4" s="1985"/>
      <c r="L4" s="1985"/>
    </row>
    <row r="5" spans="1:16">
      <c r="A5" s="110" t="s">
        <v>204</v>
      </c>
      <c r="B5" s="3356" t="s">
        <v>227</v>
      </c>
      <c r="C5" s="3356"/>
      <c r="D5" s="111">
        <f>ROUND($D$3*E5/$E$3,2)</f>
        <v>128587.91</v>
      </c>
      <c r="E5" s="112">
        <f>SUMIF('数据-基础表'!$11:$11,"住宅",'数据-基础表'!$5:$5)</f>
        <v>292155</v>
      </c>
      <c r="F5" s="1985"/>
      <c r="G5" s="280" t="s">
        <v>858</v>
      </c>
      <c r="H5" s="275" t="s">
        <v>856</v>
      </c>
      <c r="I5" s="1977">
        <f>ROUND(E31/D31,2)</f>
        <v>2.27</v>
      </c>
      <c r="J5" s="1985"/>
      <c r="K5" s="1985"/>
      <c r="L5" s="1985"/>
    </row>
    <row r="6" spans="1:16" ht="15" thickBot="1">
      <c r="A6" s="113"/>
      <c r="B6" s="3356" t="s">
        <v>205</v>
      </c>
      <c r="C6" s="3356"/>
      <c r="D6" s="111">
        <f>ROUND($D$3*E6/$E$3,2)</f>
        <v>0</v>
      </c>
      <c r="E6" s="112">
        <f>E3-E5</f>
        <v>0</v>
      </c>
      <c r="F6" s="1985"/>
      <c r="G6" s="1201"/>
      <c r="H6" s="275" t="s">
        <v>857</v>
      </c>
      <c r="I6" s="1977">
        <f>ROUND(F31/D31,2)</f>
        <v>2.27</v>
      </c>
      <c r="J6" s="1985"/>
      <c r="K6" s="1985"/>
      <c r="L6" s="1985"/>
    </row>
    <row r="7" spans="1:16" ht="15">
      <c r="A7" s="3348"/>
      <c r="B7" s="3349"/>
      <c r="C7" s="3350"/>
      <c r="D7" s="108" t="s">
        <v>201</v>
      </c>
      <c r="E7" s="114" t="s">
        <v>228</v>
      </c>
      <c r="F7" s="1985"/>
      <c r="G7" s="1156" t="s">
        <v>1642</v>
      </c>
      <c r="H7" s="1157"/>
      <c r="I7" s="1847">
        <v>2.25</v>
      </c>
      <c r="J7" s="1985"/>
      <c r="K7" s="1985"/>
      <c r="L7" s="1985"/>
    </row>
    <row r="8" spans="1:16">
      <c r="A8" s="110" t="s">
        <v>206</v>
      </c>
      <c r="B8" s="115" t="s">
        <v>207</v>
      </c>
      <c r="C8" s="111" t="s">
        <v>208</v>
      </c>
      <c r="D8" s="111">
        <f t="shared" ref="D8:D15" si="0">ROUND($D$3*E8/$E$3,2)</f>
        <v>128587.91</v>
      </c>
      <c r="E8" s="116">
        <f>SUMIF('数据-基础表'!BB10:BK10,"地上",'数据-基础表'!BB5:BK5)</f>
        <v>292155</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128587.91</v>
      </c>
      <c r="E16" s="120">
        <f>SUM(E8:E15)</f>
        <v>292155</v>
      </c>
      <c r="F16" s="1985"/>
      <c r="G16" s="1987"/>
      <c r="H16" s="968" t="s">
        <v>216</v>
      </c>
      <c r="I16" s="969"/>
      <c r="J16" s="1985"/>
      <c r="K16" s="3342" t="s">
        <v>2562</v>
      </c>
      <c r="L16" s="3343"/>
      <c r="M16" s="3343"/>
      <c r="N16" s="3343"/>
      <c r="O16" s="3343"/>
      <c r="P16" s="3344"/>
    </row>
    <row r="17" spans="1:19" ht="15">
      <c r="A17" s="121" t="s">
        <v>213</v>
      </c>
      <c r="B17" s="122" t="s">
        <v>214</v>
      </c>
      <c r="C17" s="2299" t="s">
        <v>2309</v>
      </c>
      <c r="D17" s="108" t="s">
        <v>201</v>
      </c>
      <c r="E17" s="124" t="s">
        <v>202</v>
      </c>
      <c r="F17" s="125"/>
      <c r="G17" s="1366"/>
      <c r="H17" s="970" t="s">
        <v>215</v>
      </c>
      <c r="I17" s="971" t="s">
        <v>2308</v>
      </c>
      <c r="J17" s="1985"/>
      <c r="K17" s="3345" t="s">
        <v>2563</v>
      </c>
      <c r="L17" s="3346"/>
      <c r="M17" s="3347"/>
      <c r="N17" s="3345" t="s">
        <v>2564</v>
      </c>
      <c r="O17" s="3346"/>
      <c r="P17" s="3347"/>
      <c r="R17" s="2300" t="s">
        <v>2307</v>
      </c>
      <c r="S17" s="144"/>
    </row>
    <row r="18" spans="1:19" ht="15">
      <c r="A18" s="117"/>
      <c r="B18" s="128"/>
      <c r="C18" s="129"/>
      <c r="D18" s="2643"/>
      <c r="E18" s="130" t="s">
        <v>217</v>
      </c>
      <c r="F18" s="131" t="s">
        <v>218</v>
      </c>
      <c r="G18" s="1367" t="s">
        <v>219</v>
      </c>
      <c r="H18" s="972" t="s">
        <v>220</v>
      </c>
      <c r="I18" s="973" t="s">
        <v>221</v>
      </c>
      <c r="J18" s="1985"/>
      <c r="K18" s="2606" t="s">
        <v>2565</v>
      </c>
      <c r="L18" s="2607" t="s">
        <v>2566</v>
      </c>
      <c r="M18" s="2608" t="s">
        <v>2567</v>
      </c>
      <c r="N18" s="2606" t="s">
        <v>2565</v>
      </c>
      <c r="O18" s="2607" t="s">
        <v>2566</v>
      </c>
      <c r="P18" s="2608" t="s">
        <v>2567</v>
      </c>
      <c r="R18" s="2301" t="s">
        <v>2305</v>
      </c>
      <c r="S18" s="2301" t="s">
        <v>2306</v>
      </c>
    </row>
    <row r="19" spans="1:19">
      <c r="A19" s="133"/>
      <c r="B19" s="115" t="s">
        <v>222</v>
      </c>
      <c r="C19" s="3026" t="s">
        <v>2995</v>
      </c>
      <c r="D19" s="111">
        <f t="shared" ref="D19:D26" si="1">ROUND($D$3*E19/$E$3,2)</f>
        <v>128587.91</v>
      </c>
      <c r="E19" s="134">
        <f t="shared" ref="E19:E26" si="2">SUM(F19:G19)</f>
        <v>292155</v>
      </c>
      <c r="F19" s="135">
        <f>E3</f>
        <v>292155</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128587.91</v>
      </c>
      <c r="S19" s="2302">
        <f t="shared" si="5"/>
        <v>292155</v>
      </c>
    </row>
    <row r="20" spans="1:19">
      <c r="A20" s="138"/>
      <c r="B20" s="115" t="s">
        <v>223</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223</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212</v>
      </c>
      <c r="D27" s="134">
        <f>SUM(D19:D26)</f>
        <v>128587.91</v>
      </c>
      <c r="E27" s="143">
        <f>IF(SUM(E19:E26)='数据-基础表'!BA5,SUM(E19:E26),IF(F27="地上面积有误","面积有误","地下面积有误"))</f>
        <v>292155</v>
      </c>
      <c r="F27" s="134">
        <f>IF(SUM(F19:F26)=E8,SUM(F19:F26),"地上面积有误")</f>
        <v>292155</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128587.91</v>
      </c>
      <c r="S27" s="275">
        <f>IF(SUM(S19:S26)=$E$3,SUM(S19:S26),SUM(S19:S26)&amp;"误差"&amp;ROUND(SUM(S19:S26)-E3,2))</f>
        <v>292155</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2318</v>
      </c>
      <c r="D31" s="1372">
        <f>D27+D30</f>
        <v>128587.91</v>
      </c>
      <c r="E31" s="1372">
        <f>E27+E30</f>
        <v>292155</v>
      </c>
      <c r="F31" s="1373">
        <f>F27+F30</f>
        <v>292155</v>
      </c>
      <c r="G31" s="1374">
        <f>G27+G30</f>
        <v>0</v>
      </c>
      <c r="H31" s="1985"/>
      <c r="I31" s="1985"/>
      <c r="J31" s="1985"/>
      <c r="K31" s="1985"/>
      <c r="L31" s="1985"/>
    </row>
    <row r="32" spans="1:19">
      <c r="A32" s="1985"/>
      <c r="B32" s="2364" t="s">
        <v>2317</v>
      </c>
      <c r="C32" s="2648"/>
      <c r="D32" s="1201"/>
      <c r="E32" s="1201">
        <f>SUMIF(C19:C26,"*住宅*",E19:E26)</f>
        <v>292155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43424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2320</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2823</v>
      </c>
      <c r="O5" s="163" t="s">
        <v>243</v>
      </c>
      <c r="P5" s="165" t="s">
        <v>244</v>
      </c>
      <c r="Q5" s="166" t="s">
        <v>245</v>
      </c>
      <c r="R5" s="167" t="s">
        <v>246</v>
      </c>
      <c r="S5" s="2622" t="s">
        <v>2568</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2319</v>
      </c>
      <c r="AI5" s="171" t="s">
        <v>2288</v>
      </c>
      <c r="AJ5" s="171" t="s">
        <v>255</v>
      </c>
      <c r="AK5" s="159" t="s">
        <v>256</v>
      </c>
      <c r="AL5" s="159" t="s">
        <v>257</v>
      </c>
      <c r="AM5" s="172" t="s">
        <v>258</v>
      </c>
      <c r="AN5" s="2392" t="s">
        <v>2369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920</v>
      </c>
      <c r="D6" s="2309">
        <f>SUMIF(项目基本情况!D$15:I$15,C6,项目基本情况!D$18:I$18)</f>
        <v>70</v>
      </c>
      <c r="E6" s="2310">
        <f>IF(B6="","",SUMIF(项目基本情况!D$15:I$15,C6,项目基本情况!D$17:I$17))</f>
        <v>68991</v>
      </c>
      <c r="F6" s="174">
        <f>SUMIF(项目基本情况!D$15:I$15,C6,项目基本情况!D$19:I$19)</f>
        <v>70</v>
      </c>
      <c r="G6" s="175">
        <f>IF(ISERROR(ROUND(POWER(1+H6,D6-F6)*(POWER(1+H6,F6)-1)/(POWER(1+H6,D6)-1),3)),0,ROUND(POWER(1+H6,D6-F6)*(POWER(1+H6,F6)-1)/(POWER(1+H6,D6)-1),3))</f>
        <v>1</v>
      </c>
      <c r="H6" s="3027">
        <v>3.5000000000000003E-2</v>
      </c>
      <c r="I6" s="3027">
        <v>0.04</v>
      </c>
      <c r="J6" s="176">
        <v>0.05</v>
      </c>
      <c r="K6" s="179">
        <f>SUMIF('数据-汇总表'!C$19:C$33,'数据-取费表'!A6,'数据-汇总表'!E$19:E$33)</f>
        <v>292155</v>
      </c>
      <c r="L6" s="3028">
        <f>建安取值!C5</f>
        <v>5000</v>
      </c>
      <c r="M6" s="177">
        <f t="shared" ref="M6:M14" si="0">ROUND(K6*L6/10000,0)</f>
        <v>146078</v>
      </c>
      <c r="N6" s="3029">
        <v>0</v>
      </c>
      <c r="O6" s="177">
        <f>IF($N$5="成新度","——",ROUND(M6*N6,0))</f>
        <v>0</v>
      </c>
      <c r="P6" s="178">
        <f>IF($N$5="成新度","——",M6-O6)</f>
        <v>146078</v>
      </c>
      <c r="Q6" s="3030">
        <f>建安取值!C6</f>
        <v>0.35</v>
      </c>
      <c r="R6" s="179">
        <f>SUMIF('数据-汇总表'!C$19:C$33,A6,'数据-汇总表'!R$19:R$33)</f>
        <v>128587.91</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v>0</v>
      </c>
      <c r="W6" s="181">
        <v>0.05</v>
      </c>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41">
        <v>0.01</v>
      </c>
      <c r="AN6" s="2393"/>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2983</v>
      </c>
      <c r="D7" s="2309">
        <f>SUMIF(项目基本情况!D$15:I$15,C7,项目基本情况!D$18:I$18)</f>
        <v>40</v>
      </c>
      <c r="E7" s="2310" t="str">
        <f>IF(B7="","",SUMIF(项目基本情况!D$15:I$15,C7,项目基本情况!D$17:I$17))</f>
        <v/>
      </c>
      <c r="F7" s="174">
        <f>SUMIF(项目基本情况!D$15:I$15,C7,项目基本情况!D$19:I$19)</f>
        <v>40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t="s">
        <v>1674</v>
      </c>
      <c r="D8" s="2309">
        <f>SUMIF(项目基本情况!D$15:I$15,C8,项目基本情况!D$18:I$18)</f>
        <v>50</v>
      </c>
      <c r="E8" s="2310" t="str">
        <f>IF(B8="","",SUMIF(项目基本情况!D$15:I$15,C8,项目基本情况!D$17:I$17))</f>
        <v/>
      </c>
      <c r="F8" s="174">
        <f>SUMIF(项目基本情况!D$15:I$15,C8,项目基本情况!D$19:I$19)</f>
        <v>50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2310</v>
      </c>
      <c r="B14" s="2307" t="s">
        <v>1676</v>
      </c>
      <c r="C14" s="2308" t="s">
        <v>2310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2312</v>
      </c>
      <c r="B15" s="2307" t="s">
        <v>1676</v>
      </c>
      <c r="C15" s="2308" t="s">
        <v>2311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1</v>
      </c>
      <c r="H16" s="203">
        <f>ROUND(SUMPRODUCT(H6:H13,K6:K13)/SUMPRODUCT((H6:H13&gt;0)*(K6:K13)),3)</f>
        <v>3.5000000000000003E-2</v>
      </c>
      <c r="I16" s="204"/>
      <c r="J16" s="204"/>
      <c r="K16" s="205">
        <f>SUM(K6:K15)</f>
        <v>292155</v>
      </c>
      <c r="L16" s="206">
        <f>ROUND(M16*10000/SUM(K6:K14),0)</f>
        <v>5000</v>
      </c>
      <c r="M16" s="206">
        <f>SUM(M6:M14)</f>
        <v>146078</v>
      </c>
      <c r="N16" s="207">
        <f>ROUND(SUMPRODUCT(M6:M14,N6:N14)/M16,3)</f>
        <v>0</v>
      </c>
      <c r="O16" s="206">
        <f>SUM(O6:O14)</f>
        <v>0</v>
      </c>
      <c r="P16" s="206">
        <f>SUM(P6:P14)</f>
        <v>146078</v>
      </c>
      <c r="Q16" s="208">
        <f>ROUND(SUMPRODUCT(Q6:Q13,K6:K13)/SUMPRODUCT((Q6:Q13&gt;0)*(K6:K13)),2)</f>
        <v>0.35</v>
      </c>
      <c r="R16" s="2312">
        <f>SUM(R6:R13)</f>
        <v>128587.91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f>建安取值!C8</f>
        <v>3</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3.5" customHeight="1">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160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2889</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2453</v>
      </c>
      <c r="B40" s="2482">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076"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077"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077"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1407</v>
      </c>
      <c r="C53" s="3078" t="s">
        <v>2899</v>
      </c>
      <c r="D53" s="3079"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2901</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2902</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2903</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2904</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2905</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2906</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57" t="s">
        <v>1660</v>
      </c>
      <c r="B1" s="3358"/>
      <c r="C1" s="3358"/>
      <c r="D1" s="3358"/>
      <c r="E1" s="3358"/>
      <c r="F1" s="3358"/>
      <c r="G1" s="3358"/>
      <c r="H1" s="2003"/>
      <c r="I1" s="2004"/>
      <c r="J1" s="2005"/>
      <c r="K1" s="2003"/>
      <c r="L1" s="2004"/>
      <c r="M1" s="2005"/>
      <c r="N1" s="2003"/>
      <c r="O1" s="2004"/>
      <c r="P1" s="2005"/>
      <c r="Q1" s="2006"/>
      <c r="R1" s="2007"/>
    </row>
    <row r="2" spans="1:18" ht="14.25" thickBot="1">
      <c r="A2" s="1221"/>
      <c r="B2" s="1222"/>
      <c r="C2" s="1223" t="s">
        <v>1661</v>
      </c>
      <c r="D2" s="1224"/>
      <c r="E2" s="1225"/>
      <c r="F2" s="1226"/>
      <c r="G2" s="1223" t="s">
        <v>1662</v>
      </c>
      <c r="H2" s="2009"/>
      <c r="I2" s="2009"/>
      <c r="J2" s="2009"/>
      <c r="K2" s="2009"/>
      <c r="L2" s="2009"/>
      <c r="M2" s="2009"/>
      <c r="N2" s="2009"/>
      <c r="O2" s="2009"/>
      <c r="P2" s="2009"/>
      <c r="Q2" s="2009"/>
      <c r="R2" s="2009"/>
    </row>
    <row r="3" spans="1:18" ht="54">
      <c r="A3" s="1227" t="s">
        <v>1663</v>
      </c>
      <c r="B3" s="1228" t="s">
        <v>1650</v>
      </c>
      <c r="C3" s="3083" t="s">
        <v>2917</v>
      </c>
      <c r="D3" s="2010"/>
      <c r="E3" s="1229" t="s">
        <v>1663</v>
      </c>
      <c r="F3" s="1230" t="s">
        <v>1651</v>
      </c>
      <c r="G3" s="3087" t="s">
        <v>2916</v>
      </c>
      <c r="H3" s="2009"/>
      <c r="I3" s="2009"/>
      <c r="J3" s="2009"/>
      <c r="K3" s="2009"/>
      <c r="L3" s="2009"/>
      <c r="M3" s="2009"/>
      <c r="N3" s="2009"/>
      <c r="O3" s="2009"/>
      <c r="P3" s="2009"/>
      <c r="Q3" s="2009"/>
      <c r="R3" s="2009"/>
    </row>
    <row r="4" spans="1:18" ht="41.25">
      <c r="A4" s="1229"/>
      <c r="B4" s="1231" t="s">
        <v>1664</v>
      </c>
      <c r="C4" s="3084" t="s">
        <v>2918</v>
      </c>
      <c r="D4" s="2010"/>
      <c r="E4" s="1232"/>
      <c r="F4" s="1233" t="s">
        <v>1665</v>
      </c>
      <c r="G4" s="3085" t="s">
        <v>2913</v>
      </c>
      <c r="H4" s="2009"/>
      <c r="I4" s="2009"/>
      <c r="J4" s="2009"/>
      <c r="K4" s="2009"/>
      <c r="L4" s="2009"/>
      <c r="M4" s="2009"/>
      <c r="N4" s="2009"/>
      <c r="O4" s="2009"/>
      <c r="P4" s="2009"/>
      <c r="Q4" s="2009"/>
      <c r="R4" s="2009"/>
    </row>
    <row r="5" spans="1:18" ht="41.25">
      <c r="A5" s="1229"/>
      <c r="B5" s="1231" t="s">
        <v>1666</v>
      </c>
      <c r="C5" s="3084" t="s">
        <v>2919</v>
      </c>
      <c r="D5" s="2010"/>
      <c r="E5" s="1232"/>
      <c r="F5" s="1231" t="s">
        <v>2542</v>
      </c>
      <c r="G5" s="3085" t="s">
        <v>2914</v>
      </c>
      <c r="H5" s="2009"/>
      <c r="I5" s="2009"/>
      <c r="J5" s="2009"/>
      <c r="K5" s="2009"/>
      <c r="L5" s="2009"/>
      <c r="M5" s="2009"/>
      <c r="N5" s="2009"/>
      <c r="O5" s="2009"/>
      <c r="P5" s="2009"/>
      <c r="Q5" s="2009"/>
      <c r="R5" s="2009"/>
    </row>
    <row r="6" spans="1:18" ht="54">
      <c r="A6" s="1229"/>
      <c r="B6" s="1231" t="s">
        <v>1652</v>
      </c>
      <c r="C6" s="3085" t="s">
        <v>2913</v>
      </c>
      <c r="D6" s="2010"/>
      <c r="E6" s="1232"/>
      <c r="F6" s="1231" t="s">
        <v>2543</v>
      </c>
      <c r="G6" s="3085" t="s">
        <v>2911</v>
      </c>
      <c r="H6" s="2009"/>
      <c r="I6" s="2009"/>
      <c r="J6" s="2009"/>
      <c r="K6" s="2009"/>
      <c r="L6" s="2009"/>
      <c r="M6" s="2009"/>
      <c r="N6" s="2009"/>
      <c r="O6" s="2009"/>
      <c r="P6" s="2009"/>
      <c r="Q6" s="2009"/>
      <c r="R6" s="2009"/>
    </row>
    <row r="7" spans="1:18" ht="41.25" thickBot="1">
      <c r="A7" s="1229"/>
      <c r="B7" s="1231" t="s">
        <v>2542</v>
      </c>
      <c r="C7" s="3085" t="s">
        <v>2914</v>
      </c>
      <c r="D7" s="2011"/>
      <c r="E7" s="1234"/>
      <c r="F7" s="1235" t="s">
        <v>1667</v>
      </c>
      <c r="G7" s="3088" t="s">
        <v>2915</v>
      </c>
      <c r="H7" s="2009"/>
      <c r="I7" s="2009"/>
      <c r="J7" s="2009"/>
      <c r="K7" s="2009"/>
      <c r="L7" s="2009"/>
      <c r="M7" s="2009"/>
      <c r="N7" s="2009"/>
      <c r="O7" s="2009"/>
      <c r="P7" s="2009"/>
      <c r="Q7" s="2009"/>
      <c r="R7" s="2009"/>
    </row>
    <row r="8" spans="1:18" ht="27">
      <c r="A8" s="1229"/>
      <c r="B8" s="1231" t="s">
        <v>2543</v>
      </c>
      <c r="C8" s="3085" t="s">
        <v>2911</v>
      </c>
      <c r="D8" s="2011"/>
      <c r="E8" s="2011"/>
      <c r="F8" s="1554"/>
      <c r="G8" s="1554"/>
      <c r="H8" s="2009"/>
      <c r="I8" s="2009"/>
      <c r="J8" s="2009"/>
      <c r="K8" s="2009"/>
      <c r="L8" s="2009"/>
      <c r="M8" s="2009"/>
      <c r="N8" s="2009"/>
      <c r="O8" s="2009"/>
      <c r="P8" s="2009"/>
      <c r="Q8" s="2009"/>
      <c r="R8" s="2009"/>
    </row>
    <row r="9" spans="1:18" ht="40.5">
      <c r="A9" s="1229"/>
      <c r="B9" s="1231" t="s">
        <v>1653</v>
      </c>
      <c r="C9" s="3084" t="s">
        <v>2912</v>
      </c>
      <c r="D9" s="2010"/>
      <c r="E9" s="2011"/>
      <c r="F9" s="1554"/>
      <c r="G9" s="1554"/>
      <c r="H9" s="2009"/>
      <c r="I9" s="2009"/>
      <c r="J9" s="2009"/>
      <c r="K9" s="2009"/>
      <c r="L9" s="2009"/>
      <c r="M9" s="2009"/>
      <c r="N9" s="2009"/>
      <c r="O9" s="2009"/>
      <c r="P9" s="2009"/>
      <c r="Q9" s="2009"/>
      <c r="R9" s="2009"/>
    </row>
    <row r="10" spans="1:18" s="2017" customFormat="1" ht="15" thickBot="1">
      <c r="A10" s="1236"/>
      <c r="B10" s="1237" t="s">
        <v>1668</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1669</v>
      </c>
      <c r="B13" s="2579"/>
      <c r="C13" s="2579"/>
      <c r="D13" s="1224"/>
      <c r="E13" s="2579"/>
      <c r="F13" s="2579"/>
      <c r="G13" s="2579"/>
    </row>
    <row r="14" spans="1:18" ht="14.25" thickBot="1">
      <c r="A14" s="1238"/>
      <c r="B14" s="1239"/>
      <c r="C14" s="1240" t="s">
        <v>1661</v>
      </c>
      <c r="D14" s="2010"/>
      <c r="E14" s="1241"/>
      <c r="F14" s="1241"/>
      <c r="G14" s="1223" t="s">
        <v>1662</v>
      </c>
    </row>
    <row r="15" spans="1:18" ht="54">
      <c r="A15" s="2589" t="s">
        <v>1654</v>
      </c>
      <c r="B15" s="1242" t="s">
        <v>1650</v>
      </c>
      <c r="C15" s="1243" t="str">
        <f>C3</f>
        <v>估价对象周边居住用地比例、居住小区规模和社区发展完善程度，综合评价居住社区成熟度一般</v>
      </c>
      <c r="D15" s="2010"/>
      <c r="E15" s="2586" t="s">
        <v>1655</v>
      </c>
      <c r="F15" s="1242" t="s">
        <v>1670</v>
      </c>
      <c r="G15" s="1244" t="str">
        <f>G3</f>
        <v>估价对象位于XX开发区，园区建设成熟度XX，产业集聚程度XX</v>
      </c>
    </row>
    <row r="16" spans="1:18" ht="40.5">
      <c r="A16" s="2590"/>
      <c r="B16" s="1245" t="s">
        <v>1664</v>
      </c>
      <c r="C16" s="1246" t="str">
        <f>C4</f>
        <v>估价对象位于XX商圈，周边商业氛围成熟，人流量大，商业繁华度好</v>
      </c>
      <c r="D16" s="2010"/>
      <c r="E16" s="2587"/>
      <c r="F16" s="1247" t="s">
        <v>1665</v>
      </c>
      <c r="G16" s="1005" t="str">
        <f>G4</f>
        <v>估价对象周边道路状况、公共交通通达情况、停车便捷程度，综合评价交通便捷度较好</v>
      </c>
    </row>
    <row r="17" spans="1:7" ht="40.5">
      <c r="A17" s="2590"/>
      <c r="B17" s="1245" t="s">
        <v>1666</v>
      </c>
      <c r="C17" s="1246" t="str">
        <f>C5</f>
        <v>估价对象位于XX商圈，周边办公楼项目较多，入驻率高，办公集聚程度较好</v>
      </c>
      <c r="D17" s="2011"/>
      <c r="E17" s="2587"/>
      <c r="F17" s="1247" t="s">
        <v>1671</v>
      </c>
      <c r="G17" s="2795"/>
    </row>
    <row r="18" spans="1:7" ht="54">
      <c r="A18" s="2590"/>
      <c r="B18" s="1247" t="s">
        <v>1652</v>
      </c>
      <c r="C18" s="1005" t="str">
        <f>C6</f>
        <v>估价对象周边道路状况、公共交通通达情况、停车便捷程度，综合评价交通便捷度较好</v>
      </c>
      <c r="D18" s="2011"/>
      <c r="E18" s="2587"/>
      <c r="F18" s="1247" t="s">
        <v>1667</v>
      </c>
      <c r="G18" s="1005" t="str">
        <f>G7</f>
        <v>该园区内是否有污染型企业，绿化情况，卫生条件，整体环境状况判断</v>
      </c>
    </row>
    <row r="19" spans="1:7" ht="27">
      <c r="A19" s="2590"/>
      <c r="B19" s="1247" t="s">
        <v>1656</v>
      </c>
      <c r="C19" s="2795"/>
      <c r="D19" s="2010"/>
      <c r="E19" s="2587"/>
      <c r="F19" s="1231" t="s">
        <v>2542</v>
      </c>
      <c r="G19" s="1005" t="str">
        <f>G5</f>
        <v>估价对象所在区域公共配套设施齐备情况</v>
      </c>
    </row>
    <row r="20" spans="1:7" ht="40.5">
      <c r="A20" s="2590"/>
      <c r="B20" s="1247" t="s">
        <v>1657</v>
      </c>
      <c r="C20" s="1246" t="str">
        <f>C9</f>
        <v>区域自然环境：；人文环境；综合评价环境状况一般</v>
      </c>
      <c r="D20" s="2011"/>
      <c r="E20" s="2587"/>
      <c r="F20" s="1231" t="s">
        <v>2543</v>
      </c>
      <c r="G20" s="1005" t="str">
        <f>G6</f>
        <v>估价对象所在区域基础设施水平</v>
      </c>
    </row>
    <row r="21" spans="1:7" ht="27">
      <c r="A21" s="2590"/>
      <c r="B21" s="1231" t="s">
        <v>2542</v>
      </c>
      <c r="C21" s="1005" t="str">
        <f>C7</f>
        <v>估价对象所在区域公共配套设施齐备情况</v>
      </c>
      <c r="D21" s="2010"/>
      <c r="E21" s="2587"/>
      <c r="F21" s="1247" t="s">
        <v>1658</v>
      </c>
      <c r="G21" s="3089"/>
    </row>
    <row r="22" spans="1:7" ht="27">
      <c r="A22" s="2590"/>
      <c r="B22" s="1231" t="s">
        <v>2543</v>
      </c>
      <c r="C22" s="1005" t="str">
        <f>C8</f>
        <v>估价对象所在区域基础设施水平</v>
      </c>
      <c r="D22" s="2010"/>
      <c r="E22" s="2587"/>
      <c r="F22" s="1247" t="s">
        <v>1668</v>
      </c>
      <c r="G22" s="2795"/>
    </row>
    <row r="23" spans="1:7" ht="15" thickBot="1">
      <c r="A23" s="2590"/>
      <c r="B23" s="1247" t="s">
        <v>1658</v>
      </c>
      <c r="C23" s="3089"/>
      <c r="E23" s="2588"/>
      <c r="F23" s="1248" t="s">
        <v>1672</v>
      </c>
      <c r="G23" s="3090"/>
    </row>
    <row r="24" spans="1:7" ht="14.25" thickBot="1">
      <c r="A24" s="2591"/>
      <c r="B24" s="1248" t="s">
        <v>1659</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3047" t="s">
        <v>2839</v>
      </c>
      <c r="B1" s="3047">
        <f>'数据-基础表'!B3</f>
        <v>406819</v>
      </c>
      <c r="C1" s="3048"/>
      <c r="D1" s="3048"/>
      <c r="E1" s="3048"/>
      <c r="F1" s="3048"/>
    </row>
    <row r="2" spans="1:9" ht="16.5">
      <c r="A2" s="3047" t="s">
        <v>2840</v>
      </c>
      <c r="B2" s="3047">
        <f>'数据-基础表'!A3</f>
        <v>179055.66</v>
      </c>
      <c r="C2" s="3048"/>
      <c r="D2" s="3048"/>
      <c r="E2" s="3048"/>
      <c r="F2" s="3048"/>
    </row>
    <row r="3" spans="1:9" ht="16.5">
      <c r="A3" s="3047" t="s">
        <v>2841</v>
      </c>
      <c r="B3" s="3049">
        <f>项目基本情况!D3</f>
        <v>43424</v>
      </c>
      <c r="C3" s="3048"/>
      <c r="D3" s="3048"/>
      <c r="E3" s="3048"/>
      <c r="F3" s="3048"/>
    </row>
    <row r="4" spans="1:9" ht="33">
      <c r="A4" s="3047" t="s">
        <v>2842</v>
      </c>
      <c r="B4" s="3047" t="s">
        <v>2843</v>
      </c>
      <c r="C4" s="3047" t="s">
        <v>2844</v>
      </c>
      <c r="D4" s="3047" t="s">
        <v>2845</v>
      </c>
      <c r="E4" s="3048"/>
      <c r="F4" s="3048"/>
    </row>
    <row r="5" spans="1:9" ht="16.5">
      <c r="A5" s="3047" t="s">
        <v>2846</v>
      </c>
      <c r="B5" s="3047">
        <f ca="1">结果表汇总!E12</f>
        <v>343644.12</v>
      </c>
      <c r="C5" s="3047">
        <f ca="1">ROUND(B5*10000/$B$1,0)</f>
        <v>8447</v>
      </c>
      <c r="D5" s="3047">
        <f ca="1">ROUND(B5*10000/$B$2,0)</f>
        <v>19192</v>
      </c>
      <c r="E5" s="3048"/>
      <c r="F5" s="3048"/>
    </row>
    <row r="6" spans="1:9" ht="16.5">
      <c r="A6" s="3047" t="s">
        <v>2847</v>
      </c>
      <c r="B6" s="3047">
        <f>SUM(G14:G23)</f>
        <v>0</v>
      </c>
      <c r="C6" s="3047">
        <f t="shared" ref="C6:C8" si="0">ROUND(B6*10000/$B$1,0)</f>
        <v>0</v>
      </c>
      <c r="D6" s="3047">
        <f t="shared" ref="D6:D8" si="1">ROUND(B6*10000/$B$2,0)</f>
        <v>0</v>
      </c>
      <c r="E6" s="3048"/>
      <c r="F6" s="3048"/>
    </row>
    <row r="7" spans="1:9" ht="16.5">
      <c r="A7" s="3047" t="s">
        <v>2848</v>
      </c>
      <c r="B7" s="3047">
        <f>SUM(H14:H23)</f>
        <v>0</v>
      </c>
      <c r="C7" s="3047">
        <f t="shared" si="0"/>
        <v>0</v>
      </c>
      <c r="D7" s="3047">
        <f t="shared" si="1"/>
        <v>0</v>
      </c>
      <c r="E7" s="3048"/>
      <c r="F7" s="3048"/>
    </row>
    <row r="8" spans="1:9" ht="16.5">
      <c r="A8" s="3047" t="s">
        <v>2849</v>
      </c>
      <c r="B8" s="3047">
        <f>SUM(I14:I23)</f>
        <v>0</v>
      </c>
      <c r="C8" s="3047">
        <f t="shared" si="0"/>
        <v>0</v>
      </c>
      <c r="D8" s="3047">
        <f t="shared" si="1"/>
        <v>0</v>
      </c>
      <c r="E8" s="3048"/>
      <c r="F8" s="3048"/>
    </row>
    <row r="9" spans="1:9" ht="16.5">
      <c r="A9" s="3047" t="s">
        <v>2850</v>
      </c>
      <c r="B9" s="3050"/>
      <c r="C9" s="3048"/>
      <c r="D9" s="3048"/>
      <c r="E9" s="3048"/>
      <c r="F9" s="3048"/>
    </row>
    <row r="10" spans="1:9" ht="16.5">
      <c r="A10" s="3047" t="s">
        <v>2851</v>
      </c>
      <c r="B10" s="3050"/>
      <c r="C10" s="3048"/>
      <c r="D10" s="3048"/>
      <c r="E10" s="3048"/>
      <c r="F10" s="3048"/>
    </row>
    <row r="11" spans="1:9" ht="16.5">
      <c r="A11" s="3047" t="s">
        <v>2868</v>
      </c>
      <c r="B11" s="3050"/>
      <c r="C11" s="3048"/>
      <c r="D11" s="3048"/>
      <c r="E11" s="3048"/>
      <c r="F11" s="3048"/>
    </row>
    <row r="12" spans="1:9" ht="16.5">
      <c r="A12" s="3048"/>
      <c r="B12" s="3048"/>
      <c r="C12" s="3048"/>
      <c r="D12" s="3048"/>
      <c r="E12" s="3048"/>
      <c r="F12" s="3048"/>
    </row>
    <row r="13" spans="1:9" ht="33">
      <c r="A13" s="3053" t="s">
        <v>2867</v>
      </c>
      <c r="B13" s="3051" t="s">
        <v>2839</v>
      </c>
      <c r="C13" s="3051" t="s">
        <v>2840</v>
      </c>
      <c r="D13" s="3051" t="s">
        <v>2852</v>
      </c>
      <c r="E13" s="3047" t="s">
        <v>2866</v>
      </c>
      <c r="F13" s="3047" t="s">
        <v>2845</v>
      </c>
      <c r="G13" s="3051" t="s">
        <v>2853</v>
      </c>
      <c r="H13" s="3051" t="s">
        <v>2854</v>
      </c>
      <c r="I13" s="3051" t="s">
        <v>2855</v>
      </c>
    </row>
    <row r="14" spans="1:9" ht="16.5">
      <c r="A14" s="3054" t="s">
        <v>2865</v>
      </c>
      <c r="B14" s="3051">
        <f>B1</f>
        <v>406819</v>
      </c>
      <c r="C14" s="3051">
        <f>B2</f>
        <v>179055.66</v>
      </c>
      <c r="D14" s="3051">
        <f ca="1">B5</f>
        <v>343644.12</v>
      </c>
      <c r="E14" s="3051">
        <f ca="1">ROUND(D14*10000/B14,0)</f>
        <v>8447</v>
      </c>
      <c r="F14" s="3051">
        <f ca="1">ROUND(D14*10000/C14,0)</f>
        <v>19192</v>
      </c>
      <c r="G14" s="3051" t="str">
        <f>结果表!C44</f>
        <v>——</v>
      </c>
      <c r="H14" s="3051" t="str">
        <f>结果表!C45</f>
        <v>——</v>
      </c>
      <c r="I14" s="3051" t="str">
        <f>结果表!C46</f>
        <v>——</v>
      </c>
    </row>
    <row r="15" spans="1:9" ht="16.5">
      <c r="A15" s="3054" t="s">
        <v>2856</v>
      </c>
      <c r="B15" s="3055"/>
      <c r="C15" s="3055"/>
      <c r="D15" s="3055"/>
      <c r="E15" s="3051" t="e">
        <f t="shared" ref="E15:E23" si="2">ROUND(D15*10000/B15,0)</f>
        <v>#DIV/0!</v>
      </c>
      <c r="F15" s="3051" t="e">
        <f t="shared" ref="F15:F23" si="3">ROUND(D15*10000/C15,0)</f>
        <v>#DIV/0!</v>
      </c>
      <c r="G15" s="3052"/>
      <c r="H15" s="3052"/>
      <c r="I15" s="3055"/>
    </row>
    <row r="16" spans="1:9" ht="16.5">
      <c r="A16" s="3054" t="s">
        <v>2857</v>
      </c>
      <c r="B16" s="3055"/>
      <c r="C16" s="3055"/>
      <c r="D16" s="3055"/>
      <c r="E16" s="3051" t="e">
        <f t="shared" si="2"/>
        <v>#DIV/0!</v>
      </c>
      <c r="F16" s="3051" t="e">
        <f t="shared" si="3"/>
        <v>#DIV/0!</v>
      </c>
      <c r="G16" s="3052"/>
      <c r="H16" s="3052"/>
      <c r="I16" s="3055"/>
    </row>
    <row r="17" spans="1:9" ht="16.5">
      <c r="A17" s="3054" t="s">
        <v>2858</v>
      </c>
      <c r="B17" s="3055"/>
      <c r="C17" s="3055"/>
      <c r="D17" s="3055"/>
      <c r="E17" s="3051" t="e">
        <f t="shared" si="2"/>
        <v>#DIV/0!</v>
      </c>
      <c r="F17" s="3051" t="e">
        <f t="shared" si="3"/>
        <v>#DIV/0!</v>
      </c>
      <c r="G17" s="3052"/>
      <c r="H17" s="3052"/>
      <c r="I17" s="3055"/>
    </row>
    <row r="18" spans="1:9" ht="16.5">
      <c r="A18" s="3054" t="s">
        <v>2859</v>
      </c>
      <c r="B18" s="3055"/>
      <c r="C18" s="3055"/>
      <c r="D18" s="3055"/>
      <c r="E18" s="3051" t="e">
        <f t="shared" si="2"/>
        <v>#DIV/0!</v>
      </c>
      <c r="F18" s="3051" t="e">
        <f t="shared" si="3"/>
        <v>#DIV/0!</v>
      </c>
      <c r="G18" s="3055"/>
      <c r="H18" s="3055"/>
      <c r="I18" s="3055"/>
    </row>
    <row r="19" spans="1:9" ht="16.5">
      <c r="A19" s="3054" t="s">
        <v>2860</v>
      </c>
      <c r="B19" s="3055"/>
      <c r="C19" s="3055"/>
      <c r="D19" s="3055"/>
      <c r="E19" s="3051" t="e">
        <f t="shared" si="2"/>
        <v>#DIV/0!</v>
      </c>
      <c r="F19" s="3051" t="e">
        <f t="shared" si="3"/>
        <v>#DIV/0!</v>
      </c>
      <c r="G19" s="3055"/>
      <c r="H19" s="3055"/>
      <c r="I19" s="3055"/>
    </row>
    <row r="20" spans="1:9" ht="16.5">
      <c r="A20" s="3054" t="s">
        <v>2861</v>
      </c>
      <c r="B20" s="3055"/>
      <c r="C20" s="3055"/>
      <c r="D20" s="3055"/>
      <c r="E20" s="3051" t="e">
        <f t="shared" si="2"/>
        <v>#DIV/0!</v>
      </c>
      <c r="F20" s="3051" t="e">
        <f t="shared" si="3"/>
        <v>#DIV/0!</v>
      </c>
      <c r="G20" s="3055"/>
      <c r="H20" s="3055"/>
      <c r="I20" s="3055"/>
    </row>
    <row r="21" spans="1:9" ht="16.5">
      <c r="A21" s="3054" t="s">
        <v>2862</v>
      </c>
      <c r="B21" s="3055"/>
      <c r="C21" s="3055"/>
      <c r="D21" s="3055"/>
      <c r="E21" s="3051" t="e">
        <f t="shared" si="2"/>
        <v>#DIV/0!</v>
      </c>
      <c r="F21" s="3051" t="e">
        <f t="shared" si="3"/>
        <v>#DIV/0!</v>
      </c>
      <c r="G21" s="3055"/>
      <c r="H21" s="3055"/>
      <c r="I21" s="3055"/>
    </row>
    <row r="22" spans="1:9" ht="16.5">
      <c r="A22" s="3054" t="s">
        <v>2863</v>
      </c>
      <c r="B22" s="3055"/>
      <c r="C22" s="3055"/>
      <c r="D22" s="3055"/>
      <c r="E22" s="3051" t="e">
        <f t="shared" si="2"/>
        <v>#DIV/0!</v>
      </c>
      <c r="F22" s="3051" t="e">
        <f t="shared" si="3"/>
        <v>#DIV/0!</v>
      </c>
      <c r="G22" s="3055"/>
      <c r="H22" s="3055"/>
      <c r="I22" s="3055"/>
    </row>
    <row r="23" spans="1:9" ht="16.5">
      <c r="A23" s="3054" t="s">
        <v>2864</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2051</v>
      </c>
      <c r="B1" s="1778"/>
      <c r="C1" s="1806" t="s">
        <v>2052</v>
      </c>
      <c r="D1" s="1807"/>
      <c r="E1" s="1806" t="s">
        <v>2053</v>
      </c>
      <c r="F1" s="1808"/>
      <c r="G1" s="311"/>
      <c r="H1" s="311"/>
      <c r="I1" s="311"/>
      <c r="J1" s="2030"/>
      <c r="K1" s="2030"/>
      <c r="L1" s="2030"/>
      <c r="M1" s="2030"/>
      <c r="N1" s="2030"/>
      <c r="O1" s="2030"/>
      <c r="P1" s="2030"/>
      <c r="Q1" s="2030"/>
      <c r="R1" s="2030"/>
      <c r="S1" s="2030"/>
      <c r="T1" s="2030"/>
      <c r="U1" s="2030"/>
      <c r="V1" s="2030"/>
    </row>
    <row r="2" spans="1:22" ht="21.75" customHeight="1" thickBot="1">
      <c r="A2" s="3395" t="str">
        <f>项目基本情况!K2</f>
        <v>北京市房山区邢家坞村出让国有建设用地使用权</v>
      </c>
      <c r="B2" s="3396"/>
      <c r="C2" s="3397"/>
      <c r="D2" s="3397"/>
      <c r="E2" s="3397"/>
      <c r="F2" s="3397"/>
      <c r="G2" s="3396"/>
      <c r="H2" s="3396"/>
      <c r="I2" s="3398"/>
      <c r="J2" s="2031"/>
      <c r="K2" s="2030"/>
      <c r="L2" s="2030"/>
      <c r="M2" s="2030"/>
      <c r="N2" s="2030"/>
      <c r="O2" s="2030"/>
      <c r="P2" s="2030"/>
      <c r="Q2" s="2030"/>
      <c r="R2" s="2030"/>
      <c r="S2" s="2030"/>
      <c r="T2" s="2030"/>
      <c r="U2" s="2030"/>
      <c r="V2" s="2030"/>
    </row>
    <row r="3" spans="1:22" ht="14.25">
      <c r="A3" s="3388" t="s">
        <v>295</v>
      </c>
      <c r="B3" s="3389"/>
      <c r="C3" s="3389"/>
      <c r="D3" s="3389"/>
      <c r="E3" s="3389"/>
      <c r="F3" s="3389"/>
      <c r="G3" s="3389"/>
      <c r="H3" s="3389"/>
      <c r="I3" s="3389"/>
      <c r="J3" s="2031"/>
      <c r="K3" s="2030"/>
      <c r="L3" s="2030"/>
      <c r="M3" s="2030"/>
      <c r="N3" s="2030"/>
      <c r="O3" s="2030"/>
      <c r="P3" s="2030"/>
      <c r="Q3" s="2030"/>
      <c r="R3" s="2030"/>
      <c r="S3" s="2030"/>
      <c r="T3" s="2030"/>
      <c r="U3" s="2030"/>
      <c r="V3" s="2030"/>
    </row>
    <row r="4" spans="1:22" ht="14.25">
      <c r="A4" s="258" t="s">
        <v>296</v>
      </c>
      <c r="B4" s="259" t="s">
        <v>297</v>
      </c>
      <c r="C4" s="260" t="s">
        <v>3049</v>
      </c>
      <c r="D4" s="260" t="s">
        <v>3097</v>
      </c>
      <c r="E4" s="3360" t="s">
        <v>298</v>
      </c>
      <c r="F4" s="3361"/>
      <c r="G4" s="3361"/>
      <c r="H4" s="3361"/>
      <c r="I4" s="3390"/>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59" t="s">
        <v>299</v>
      </c>
      <c r="B5" s="3385">
        <v>25</v>
      </c>
      <c r="C5" s="3383">
        <v>0.3</v>
      </c>
      <c r="D5" s="3387">
        <f>1-C5</f>
        <v>0.7</v>
      </c>
      <c r="E5" s="261" t="s">
        <v>300</v>
      </c>
      <c r="F5" s="262"/>
      <c r="G5" s="262"/>
      <c r="H5" s="262"/>
      <c r="I5" s="263"/>
      <c r="J5" s="2031"/>
      <c r="K5" s="2030"/>
      <c r="L5" s="2030"/>
      <c r="M5" s="2030"/>
      <c r="N5" s="2030"/>
      <c r="O5" s="2030"/>
      <c r="P5" s="2030"/>
      <c r="Q5" s="2030"/>
      <c r="R5" s="2030"/>
      <c r="S5" s="2030"/>
      <c r="T5" s="2030"/>
      <c r="U5" s="2030"/>
      <c r="V5" s="2030"/>
    </row>
    <row r="6" spans="1:22" ht="14.25">
      <c r="A6" s="3359"/>
      <c r="B6" s="3385"/>
      <c r="C6" s="3386"/>
      <c r="D6" s="3387"/>
      <c r="E6" s="261" t="s">
        <v>301</v>
      </c>
      <c r="F6" s="262"/>
      <c r="G6" s="262"/>
      <c r="H6" s="262"/>
      <c r="I6" s="263"/>
      <c r="J6" s="2031"/>
      <c r="K6" s="2030"/>
      <c r="L6" s="2030"/>
      <c r="M6" s="2030"/>
      <c r="N6" s="2030"/>
      <c r="O6" s="2030"/>
      <c r="P6" s="2030"/>
      <c r="Q6" s="2030"/>
      <c r="R6" s="2030"/>
      <c r="S6" s="2030"/>
      <c r="T6" s="2030"/>
      <c r="U6" s="2030"/>
      <c r="V6" s="2030"/>
    </row>
    <row r="7" spans="1:22" ht="14.25">
      <c r="A7" s="3359"/>
      <c r="B7" s="3385"/>
      <c r="C7" s="3384"/>
      <c r="D7" s="3387"/>
      <c r="E7" s="261" t="s">
        <v>302</v>
      </c>
      <c r="F7" s="262"/>
      <c r="G7" s="262"/>
      <c r="H7" s="262"/>
      <c r="I7" s="263"/>
      <c r="J7" s="2031"/>
      <c r="K7" s="2030"/>
      <c r="L7" s="2030"/>
      <c r="M7" s="2030"/>
      <c r="N7" s="2030"/>
      <c r="O7" s="2030"/>
      <c r="P7" s="2030"/>
      <c r="Q7" s="2030"/>
      <c r="R7" s="2030"/>
      <c r="S7" s="2030"/>
      <c r="T7" s="2030"/>
      <c r="U7" s="2030"/>
      <c r="V7" s="2030"/>
    </row>
    <row r="8" spans="1:22" ht="14.25">
      <c r="A8" s="3359" t="s">
        <v>303</v>
      </c>
      <c r="B8" s="3385">
        <v>15</v>
      </c>
      <c r="C8" s="3383"/>
      <c r="D8" s="3387"/>
      <c r="E8" s="261" t="s">
        <v>304</v>
      </c>
      <c r="F8" s="262"/>
      <c r="G8" s="262"/>
      <c r="H8" s="262"/>
      <c r="I8" s="263"/>
      <c r="J8" s="2031"/>
      <c r="K8" s="2030"/>
      <c r="L8" s="2030"/>
      <c r="M8" s="2030"/>
      <c r="N8" s="2030"/>
      <c r="O8" s="2030"/>
      <c r="P8" s="2030"/>
      <c r="Q8" s="2030"/>
      <c r="R8" s="2030"/>
      <c r="S8" s="2030"/>
      <c r="T8" s="2030"/>
      <c r="U8" s="2030"/>
      <c r="V8" s="2030"/>
    </row>
    <row r="9" spans="1:22" ht="14.25">
      <c r="A9" s="3359"/>
      <c r="B9" s="3385"/>
      <c r="C9" s="3384"/>
      <c r="D9" s="3387"/>
      <c r="E9" s="261" t="s">
        <v>305</v>
      </c>
      <c r="F9" s="262"/>
      <c r="G9" s="262"/>
      <c r="H9" s="262"/>
      <c r="I9" s="263"/>
      <c r="J9" s="2031"/>
      <c r="K9" s="2030"/>
      <c r="L9" s="2030"/>
      <c r="M9" s="2030"/>
      <c r="N9" s="2030"/>
      <c r="O9" s="2030"/>
      <c r="P9" s="2030"/>
      <c r="Q9" s="2030"/>
      <c r="R9" s="2030"/>
      <c r="S9" s="2030"/>
      <c r="T9" s="2030"/>
      <c r="U9" s="2030"/>
      <c r="V9" s="2030"/>
    </row>
    <row r="10" spans="1:22" ht="14.25">
      <c r="A10" s="3359" t="s">
        <v>306</v>
      </c>
      <c r="B10" s="3385">
        <v>15</v>
      </c>
      <c r="C10" s="3383"/>
      <c r="D10" s="3387"/>
      <c r="E10" s="261" t="s">
        <v>307</v>
      </c>
      <c r="F10" s="262"/>
      <c r="G10" s="262"/>
      <c r="H10" s="262"/>
      <c r="I10" s="263"/>
      <c r="J10" s="2031"/>
      <c r="K10" s="2030"/>
      <c r="L10" s="2030"/>
      <c r="M10" s="2030"/>
      <c r="N10" s="2030"/>
      <c r="O10" s="2030"/>
      <c r="P10" s="2030"/>
      <c r="Q10" s="2030"/>
      <c r="R10" s="2030"/>
      <c r="S10" s="2030"/>
      <c r="T10" s="2030"/>
      <c r="U10" s="2030"/>
      <c r="V10" s="2030"/>
    </row>
    <row r="11" spans="1:22" ht="14.25">
      <c r="A11" s="3359"/>
      <c r="B11" s="3385"/>
      <c r="C11" s="3384"/>
      <c r="D11" s="3387"/>
      <c r="E11" s="261" t="s">
        <v>308</v>
      </c>
      <c r="F11" s="262"/>
      <c r="G11" s="262"/>
      <c r="H11" s="262"/>
      <c r="I11" s="263"/>
      <c r="J11" s="2031"/>
      <c r="K11" s="2030"/>
      <c r="L11" s="2030"/>
      <c r="M11" s="2030"/>
      <c r="N11" s="2030"/>
      <c r="O11" s="2030"/>
      <c r="P11" s="2030"/>
      <c r="Q11" s="2030"/>
      <c r="R11" s="2030"/>
      <c r="S11" s="2030"/>
      <c r="T11" s="2030"/>
      <c r="U11" s="2030"/>
      <c r="V11" s="2030"/>
    </row>
    <row r="12" spans="1:22" ht="14.25">
      <c r="A12" s="3359" t="s">
        <v>309</v>
      </c>
      <c r="B12" s="3385">
        <v>15</v>
      </c>
      <c r="C12" s="3383"/>
      <c r="D12" s="3387"/>
      <c r="E12" s="261" t="s">
        <v>310</v>
      </c>
      <c r="F12" s="262"/>
      <c r="G12" s="262"/>
      <c r="H12" s="262"/>
      <c r="I12" s="263"/>
      <c r="J12" s="2031"/>
      <c r="K12" s="2030"/>
      <c r="L12" s="2030"/>
      <c r="M12" s="2030"/>
      <c r="N12" s="2030"/>
      <c r="O12" s="2030"/>
      <c r="P12" s="2030"/>
      <c r="Q12" s="2030"/>
      <c r="R12" s="2030"/>
      <c r="S12" s="2030"/>
      <c r="T12" s="2030"/>
      <c r="U12" s="2030"/>
      <c r="V12" s="2030"/>
    </row>
    <row r="13" spans="1:22" ht="14.25">
      <c r="A13" s="3359"/>
      <c r="B13" s="3385"/>
      <c r="C13" s="3384"/>
      <c r="D13" s="3387"/>
      <c r="E13" s="261" t="s">
        <v>311</v>
      </c>
      <c r="F13" s="262"/>
      <c r="G13" s="262"/>
      <c r="H13" s="262"/>
      <c r="I13" s="263"/>
      <c r="J13" s="2031"/>
      <c r="K13" s="2030"/>
      <c r="L13" s="2030"/>
      <c r="M13" s="2030"/>
      <c r="N13" s="2030"/>
      <c r="O13" s="2030"/>
      <c r="P13" s="2030"/>
      <c r="Q13" s="2030"/>
      <c r="R13" s="2030"/>
      <c r="S13" s="2030"/>
      <c r="T13" s="2030"/>
      <c r="U13" s="2030"/>
      <c r="V13" s="2030"/>
    </row>
    <row r="14" spans="1:22" ht="14.25">
      <c r="A14" s="3359" t="s">
        <v>312</v>
      </c>
      <c r="B14" s="3385">
        <v>30</v>
      </c>
      <c r="C14" s="3383"/>
      <c r="D14" s="3387"/>
      <c r="E14" s="261" t="s">
        <v>313</v>
      </c>
      <c r="F14" s="262"/>
      <c r="G14" s="262"/>
      <c r="H14" s="262"/>
      <c r="I14" s="263"/>
      <c r="J14" s="2031"/>
      <c r="K14" s="2030"/>
      <c r="L14" s="2030"/>
      <c r="M14" s="2030"/>
      <c r="N14" s="2030"/>
      <c r="O14" s="2030"/>
      <c r="P14" s="2030"/>
      <c r="Q14" s="2030"/>
      <c r="R14" s="2030"/>
      <c r="S14" s="2030"/>
      <c r="T14" s="2030"/>
      <c r="U14" s="2030"/>
      <c r="V14" s="2030"/>
    </row>
    <row r="15" spans="1:22" ht="14.25">
      <c r="A15" s="3359"/>
      <c r="B15" s="3385"/>
      <c r="C15" s="3386"/>
      <c r="D15" s="3387"/>
      <c r="E15" s="261" t="s">
        <v>314</v>
      </c>
      <c r="F15" s="262"/>
      <c r="G15" s="262"/>
      <c r="H15" s="262"/>
      <c r="I15" s="263"/>
      <c r="J15" s="2031"/>
      <c r="K15" s="2030"/>
      <c r="L15" s="2030"/>
      <c r="M15" s="2030"/>
      <c r="N15" s="2030"/>
      <c r="O15" s="2030"/>
      <c r="P15" s="2030"/>
      <c r="Q15" s="2030"/>
      <c r="R15" s="2030"/>
      <c r="S15" s="2030"/>
      <c r="T15" s="2030"/>
      <c r="U15" s="2030"/>
      <c r="V15" s="2030"/>
    </row>
    <row r="16" spans="1:22" ht="14.25">
      <c r="A16" s="3359"/>
      <c r="B16" s="3385"/>
      <c r="C16" s="3384"/>
      <c r="D16" s="3387"/>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0.3</v>
      </c>
      <c r="D17" s="265">
        <f>SUM(D5:D16)</f>
        <v>0.7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156420</v>
      </c>
      <c r="D19" s="271">
        <f ca="1">SUMIF(INDIRECT("'"&amp;D4&amp;"'"&amp;"!A:A"),结果表!B19,INDIRECT("'"&amp;D4&amp;"'"&amp;"!B:B"))</f>
        <v>296658</v>
      </c>
      <c r="E19" s="268" t="s">
        <v>320</v>
      </c>
      <c r="F19" s="269" t="s">
        <v>319</v>
      </c>
      <c r="G19" s="272">
        <f ca="1">ROUND(C19*$C$18+D19*$D$18,0)</f>
        <v>254587</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5354</v>
      </c>
      <c r="D20" s="277">
        <f ca="1">SUMIF(INDIRECT("'"&amp;D4&amp;"'"&amp;"!A:A"),结果表!B20,INDIRECT("'"&amp;D4&amp;"'"&amp;"!B:B"))</f>
        <v>10154</v>
      </c>
      <c r="E20" s="274"/>
      <c r="F20" s="275" t="s">
        <v>322</v>
      </c>
      <c r="G20" s="278">
        <f ca="1">ROUND(C20*$C$18+D20*$D$18,0)</f>
        <v>8714</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8736</v>
      </c>
      <c r="D21" s="151">
        <f ca="1">SUMIF(INDIRECT("'"&amp;D4&amp;"'"&amp;"!A:A"),结果表!B21,INDIRECT("'"&amp;D4&amp;"'"&amp;"!B:B"))</f>
        <v>23070</v>
      </c>
      <c r="E21" s="274"/>
      <c r="F21" s="280" t="s">
        <v>324</v>
      </c>
      <c r="G21" s="282">
        <f ca="1">ROUND(C21*$C$18+D21*$D$18,0)</f>
        <v>18770</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0.896547756041427</v>
      </c>
      <c r="E22" s="284"/>
      <c r="F22" s="285"/>
      <c r="G22" s="286">
        <f ca="1">ROUND(G19/('数据-汇总表'!D3/666.67),0)</f>
        <v>1320</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65"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66"/>
      <c r="B25" s="1321" t="s">
        <v>328</v>
      </c>
      <c r="C25" s="290">
        <f>IF(B30=0,0,C30)</f>
        <v>0</v>
      </c>
      <c r="D25" s="291"/>
      <c r="E25" s="311"/>
      <c r="F25" s="311"/>
      <c r="G25" s="311"/>
      <c r="H25" s="311"/>
      <c r="I25" s="311"/>
      <c r="J25" s="2030"/>
      <c r="K25" s="1255" t="str">
        <f ca="1">项目基本情况!B16&amp;"国有建设用地使用权价格："&amp;O38&amp;"万元"</f>
        <v>出让国有建设用地使用权价格：254587万元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大写金额：人民币贰拾伍亿肆仟伍佰捌拾柒万元整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单位面积地价：19799元/平方米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楼面地价：8714元/平方米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333</v>
      </c>
      <c r="B30" s="309"/>
      <c r="C30" s="309"/>
      <c r="D30" s="310"/>
      <c r="E30" s="3133"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334</v>
      </c>
      <c r="B32" s="1382" t="s">
        <v>1682</v>
      </c>
      <c r="C32" s="1383">
        <f ca="1">G19-C24</f>
        <v>254587</v>
      </c>
      <c r="D32" s="1384" t="s">
        <v>1683</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337</v>
      </c>
      <c r="B33" s="1385" t="s">
        <v>1684</v>
      </c>
      <c r="C33" s="264">
        <f ca="1">ROUND(C32*10000/'数据-汇总表'!E3,0)</f>
        <v>8714</v>
      </c>
      <c r="D33" s="1386" t="s">
        <v>1685</v>
      </c>
      <c r="E33" s="3365"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1686</v>
      </c>
      <c r="C34" s="264">
        <f ca="1">ROUND(C32*10000/'数据-汇总表'!D3,0)</f>
        <v>19799</v>
      </c>
      <c r="D34" s="1388" t="s">
        <v>1685</v>
      </c>
      <c r="E34" s="3406"/>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1320</v>
      </c>
      <c r="D35" s="1391" t="s">
        <v>1687</v>
      </c>
      <c r="E35" s="3407"/>
      <c r="F35" s="301" t="s">
        <v>339</v>
      </c>
      <c r="G35" s="982"/>
      <c r="H35" s="981" t="s">
        <v>340</v>
      </c>
      <c r="I35" s="311"/>
      <c r="J35" s="2030"/>
      <c r="K35" s="3380" t="s">
        <v>347</v>
      </c>
      <c r="L35" s="3380" t="s">
        <v>348</v>
      </c>
      <c r="M35" s="1264" t="s">
        <v>349</v>
      </c>
      <c r="N35" s="3380" t="s">
        <v>350</v>
      </c>
      <c r="O35" s="3380" t="s">
        <v>351</v>
      </c>
      <c r="P35" s="2030"/>
      <c r="V35" s="2030"/>
    </row>
    <row r="36" spans="1:26" ht="16.5" customHeight="1">
      <c r="A36" s="303" t="s">
        <v>341</v>
      </c>
      <c r="B36" s="304" t="s">
        <v>330</v>
      </c>
      <c r="C36" s="305" t="s">
        <v>342</v>
      </c>
      <c r="D36" s="305" t="s">
        <v>343</v>
      </c>
      <c r="E36" s="306" t="s">
        <v>344</v>
      </c>
      <c r="F36" s="311"/>
      <c r="G36" s="311"/>
      <c r="H36" s="311"/>
      <c r="I36" s="311"/>
      <c r="J36" s="2032"/>
      <c r="K36" s="3381"/>
      <c r="L36" s="3381"/>
      <c r="M36" s="1266" t="s">
        <v>352</v>
      </c>
      <c r="N36" s="3381"/>
      <c r="O36" s="3381"/>
      <c r="P36" s="2030"/>
      <c r="V36" s="2030"/>
    </row>
    <row r="37" spans="1:26" ht="16.5" customHeight="1" thickBot="1">
      <c r="A37" s="1260" t="s">
        <v>345</v>
      </c>
      <c r="B37" s="307"/>
      <c r="C37" s="294"/>
      <c r="D37" s="294"/>
      <c r="E37" s="295"/>
      <c r="F37" s="311"/>
      <c r="G37" s="311"/>
      <c r="H37" s="311"/>
      <c r="I37" s="311"/>
      <c r="J37" s="2032"/>
      <c r="K37" s="3382"/>
      <c r="L37" s="3382"/>
      <c r="M37" s="1267"/>
      <c r="N37" s="3382"/>
      <c r="O37" s="3382"/>
      <c r="P37" s="2030"/>
      <c r="V37" s="2030"/>
    </row>
    <row r="38" spans="1:26" ht="16.5" customHeight="1" thickBot="1">
      <c r="A38" s="1260" t="s">
        <v>346</v>
      </c>
      <c r="B38" s="307"/>
      <c r="C38" s="294"/>
      <c r="D38" s="294"/>
      <c r="E38" s="295"/>
      <c r="F38" s="311"/>
      <c r="G38" s="311"/>
      <c r="H38" s="311"/>
      <c r="I38" s="311"/>
      <c r="J38" s="2032"/>
      <c r="K38" s="1268">
        <f>'数据-汇总表'!D3</f>
        <v>128587.91</v>
      </c>
      <c r="L38" s="1269">
        <f>'数据-汇总表'!E3</f>
        <v>292155</v>
      </c>
      <c r="M38" s="1269">
        <f ca="1">C34</f>
        <v>19799</v>
      </c>
      <c r="N38" s="1269">
        <f ca="1">C33</f>
        <v>8714</v>
      </c>
      <c r="O38" s="1270">
        <f ca="1">C32</f>
        <v>254587</v>
      </c>
      <c r="P38" s="2030"/>
      <c r="V38" s="2030"/>
    </row>
    <row r="39" spans="1:26" ht="16.5" customHeight="1" thickBot="1">
      <c r="A39" s="1265"/>
      <c r="B39" s="308"/>
      <c r="C39" s="309"/>
      <c r="D39" s="309"/>
      <c r="E39" s="310"/>
      <c r="F39" s="311"/>
      <c r="G39" s="311"/>
      <c r="H39" s="311"/>
      <c r="I39" s="311"/>
      <c r="J39" s="2032"/>
      <c r="K39" s="3425" t="str">
        <f>MID(A44,3,LEN(A44)-2)</f>
        <v/>
      </c>
      <c r="L39" s="3426"/>
      <c r="M39" s="3426"/>
      <c r="N39" s="3427"/>
      <c r="O39" s="1393" t="str">
        <f>C44</f>
        <v>——</v>
      </c>
      <c r="P39" s="2030"/>
      <c r="V39" s="2030"/>
    </row>
    <row r="40" spans="1:26" ht="19.5" thickBot="1">
      <c r="A40" s="104" t="s">
        <v>870</v>
      </c>
      <c r="B40" s="311"/>
      <c r="C40" s="311"/>
      <c r="D40" s="311"/>
      <c r="E40" s="311"/>
      <c r="F40" s="311"/>
      <c r="G40" s="311"/>
      <c r="H40" s="311"/>
      <c r="I40" s="311"/>
      <c r="J40" s="2032"/>
      <c r="K40" s="3425" t="str">
        <f t="shared" ref="K40:K41" si="0">MID(A45,3,LEN(A45)-2)</f>
        <v/>
      </c>
      <c r="L40" s="3426"/>
      <c r="M40" s="3426"/>
      <c r="N40" s="3427"/>
      <c r="O40" s="1393" t="str">
        <f>C45</f>
        <v>——</v>
      </c>
      <c r="P40" s="2030"/>
      <c r="V40" s="2030"/>
    </row>
    <row r="41" spans="1:26" ht="16.5" thickBot="1">
      <c r="A41" s="312" t="s">
        <v>353</v>
      </c>
      <c r="B41" s="313"/>
      <c r="C41" s="314" t="s">
        <v>354</v>
      </c>
      <c r="D41" s="315" t="s">
        <v>355</v>
      </c>
      <c r="E41" s="315" t="s">
        <v>356</v>
      </c>
      <c r="F41" s="316" t="s">
        <v>357</v>
      </c>
      <c r="G41" s="311"/>
      <c r="H41" s="311"/>
      <c r="I41" s="311"/>
      <c r="J41" s="2032"/>
      <c r="K41" s="3425" t="str">
        <f t="shared" si="0"/>
        <v/>
      </c>
      <c r="L41" s="3426"/>
      <c r="M41" s="3426"/>
      <c r="N41" s="3427"/>
      <c r="O41" s="1393" t="str">
        <f>C46</f>
        <v>——</v>
      </c>
      <c r="P41" s="2030"/>
      <c r="V41" s="2030"/>
    </row>
    <row r="42" spans="1:26" ht="29.25">
      <c r="A42" s="3367" t="s">
        <v>2063</v>
      </c>
      <c r="B42" s="3368"/>
      <c r="C42" s="264">
        <f ca="1">C32</f>
        <v>254587</v>
      </c>
      <c r="D42" s="317">
        <f ca="1">C33</f>
        <v>8714</v>
      </c>
      <c r="E42" s="317">
        <f ca="1">C34</f>
        <v>19799</v>
      </c>
      <c r="F42" s="318">
        <f ca="1">C35</f>
        <v>1320</v>
      </c>
      <c r="G42" s="311"/>
      <c r="H42" s="311"/>
      <c r="I42" s="319"/>
      <c r="J42" s="2032"/>
      <c r="K42" s="1271" t="s">
        <v>358</v>
      </c>
      <c r="L42" s="2049" t="s">
        <v>359</v>
      </c>
      <c r="M42" s="1272" t="s">
        <v>360</v>
      </c>
      <c r="N42" s="2050" t="s">
        <v>361</v>
      </c>
      <c r="O42" s="2051" t="s">
        <v>362</v>
      </c>
      <c r="P42" s="2030"/>
      <c r="V42" s="2030"/>
    </row>
    <row r="43" spans="1:26" ht="30">
      <c r="A43" s="3378" t="s">
        <v>2726</v>
      </c>
      <c r="B43" s="3379"/>
      <c r="C43" s="264">
        <f>IF(H33="正常操作",G33+G34+G35,G34+G35)</f>
        <v>0</v>
      </c>
      <c r="D43" s="317" t="s">
        <v>43</v>
      </c>
      <c r="E43" s="317" t="s">
        <v>44</v>
      </c>
      <c r="F43" s="318" t="s">
        <v>44</v>
      </c>
      <c r="G43" s="2868" t="s">
        <v>949</v>
      </c>
      <c r="H43" s="311"/>
      <c r="I43" s="319"/>
      <c r="J43" s="2032"/>
      <c r="K43" s="1273" t="str">
        <f>C4</f>
        <v>基准地价住宅</v>
      </c>
      <c r="L43" s="1274">
        <f ca="1">IF(L42="估价结果/万元",C19,C20)</f>
        <v>156420</v>
      </c>
      <c r="M43" s="1275">
        <f>C18</f>
        <v>0.3</v>
      </c>
      <c r="N43" s="1276">
        <f ca="1">IF(N42="测算结果/万元",G19,G20)</f>
        <v>254587</v>
      </c>
      <c r="O43" s="1277">
        <f ca="1">IF(O42="最终结果/万元",C32,C33)</f>
        <v>254587</v>
      </c>
      <c r="P43" s="2030"/>
      <c r="V43" s="2030"/>
    </row>
    <row r="44" spans="1:26" ht="18.75" thickBot="1">
      <c r="A44" s="3367" t="str">
        <f>IF(OR(项目基本情况!E8="抵押价格",项目基本情况!E8="已注销及未注销"),"3.抵押价格","——")</f>
        <v>——</v>
      </c>
      <c r="B44" s="3368"/>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剩余法住宅</v>
      </c>
      <c r="L44" s="1279">
        <f ca="1">IF(L42="估价结果/万元",D19,D20)</f>
        <v>296658</v>
      </c>
      <c r="M44" s="1280">
        <f>D18</f>
        <v>0.7</v>
      </c>
      <c r="N44" s="1281"/>
      <c r="O44" s="1282"/>
      <c r="P44" s="2030"/>
      <c r="V44" s="2030"/>
    </row>
    <row r="45" spans="1:26" ht="15">
      <c r="A45" s="3373" t="str">
        <f>IF(项目基本情况!E8="已注销及未注销","4.抵押担保权已注销时的抵押价格",IF(项目基本情况!E8="已注销","3.抵押担保权已注销时的抵押价格","——"))</f>
        <v>——</v>
      </c>
      <c r="B45" s="3374"/>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69" t="str">
        <f>IF(项目基本情况!E9="抵押净值",IF(A45="——","4.抵押净值","5.抵押净值"),"——")</f>
        <v>——</v>
      </c>
      <c r="B46" s="3370"/>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14" t="s">
        <v>371</v>
      </c>
      <c r="B63" s="3415"/>
      <c r="C63" s="3416"/>
      <c r="D63" s="341">
        <f ca="1">ROUND(C42*F63,0)</f>
        <v>152752</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375" t="s">
        <v>375</v>
      </c>
      <c r="B64" s="3376"/>
      <c r="C64" s="3376"/>
      <c r="D64" s="3376"/>
      <c r="E64" s="3376"/>
      <c r="F64" s="3376"/>
      <c r="G64" s="3377"/>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371" t="s">
        <v>383</v>
      </c>
      <c r="B66" s="3372"/>
      <c r="C66" s="3372"/>
      <c r="D66" s="261">
        <f ca="1">IF(H66="情况1",0,IF(H66="情况2",D70,IF(H66="情况3",D71,IF(H66="情况4",D72))))</f>
        <v>8001</v>
      </c>
      <c r="E66" s="993" t="str">
        <f>IF(H66="情况4","(销售额-原购置价)×税（费）率","销售额×税（费）率")</f>
        <v>销售额×税（费）率</v>
      </c>
      <c r="F66" s="350">
        <f>IF(H66="情况1","免征",'数据-取费表'!B41)</f>
        <v>5.5000000000000007E-2</v>
      </c>
      <c r="G66" s="351" t="s">
        <v>384</v>
      </c>
      <c r="H66" s="191" t="s">
        <v>385</v>
      </c>
      <c r="I66" s="1288"/>
      <c r="J66" s="2036"/>
      <c r="K66" s="1291">
        <v>1</v>
      </c>
      <c r="L66" s="3429" t="s">
        <v>382</v>
      </c>
      <c r="M66" s="3430"/>
      <c r="N66" s="2460"/>
      <c r="O66" s="2461"/>
      <c r="P66" s="2462"/>
      <c r="Q66" s="2030"/>
      <c r="R66" s="2030"/>
      <c r="S66" s="2030"/>
      <c r="T66" s="2030"/>
      <c r="U66" s="2030"/>
      <c r="V66" s="2030"/>
    </row>
    <row r="67" spans="1:22" ht="25.5" customHeight="1">
      <c r="A67" s="352" t="s">
        <v>387</v>
      </c>
      <c r="B67" s="3362" t="s">
        <v>388</v>
      </c>
      <c r="C67" s="3362"/>
      <c r="D67" s="353">
        <v>0</v>
      </c>
      <c r="E67" s="41" t="s">
        <v>389</v>
      </c>
      <c r="F67" s="62" t="s">
        <v>21</v>
      </c>
      <c r="G67" s="3417"/>
      <c r="H67" s="311"/>
      <c r="I67" s="1292"/>
      <c r="J67" s="2037"/>
      <c r="K67" s="1978">
        <v>2</v>
      </c>
      <c r="L67" s="3428" t="s">
        <v>386</v>
      </c>
      <c r="M67" s="3428"/>
      <c r="N67" s="1325">
        <f>'数据-取费表'!B2</f>
        <v>43424</v>
      </c>
      <c r="O67" s="1325"/>
      <c r="P67" s="1325"/>
      <c r="Q67" s="2030"/>
      <c r="R67" s="2030"/>
      <c r="S67" s="2030"/>
      <c r="T67" s="2030"/>
      <c r="U67" s="2030"/>
      <c r="V67" s="2030"/>
    </row>
    <row r="68" spans="1:22" ht="25.5" customHeight="1">
      <c r="A68" s="354"/>
      <c r="B68" s="3362" t="s">
        <v>391</v>
      </c>
      <c r="C68" s="3362"/>
      <c r="D68" s="355"/>
      <c r="E68" s="77"/>
      <c r="F68" s="356"/>
      <c r="G68" s="3418"/>
      <c r="H68" s="311"/>
      <c r="I68" s="1292"/>
      <c r="J68" s="2037"/>
      <c r="K68" s="1978">
        <v>3</v>
      </c>
      <c r="L68" s="3428" t="s">
        <v>390</v>
      </c>
      <c r="M68" s="3428"/>
      <c r="N68" s="1293">
        <f ca="1">C42</f>
        <v>254587</v>
      </c>
      <c r="O68" s="1293"/>
      <c r="P68" s="1293"/>
      <c r="Q68" s="2030"/>
      <c r="R68" s="2030"/>
      <c r="S68" s="2030"/>
      <c r="T68" s="2030"/>
      <c r="U68" s="2030"/>
      <c r="V68" s="2030"/>
    </row>
    <row r="69" spans="1:22" ht="12" customHeight="1">
      <c r="A69" s="357"/>
      <c r="B69" s="3362" t="s">
        <v>392</v>
      </c>
      <c r="C69" s="3362"/>
      <c r="D69" s="358"/>
      <c r="E69" s="73"/>
      <c r="F69" s="356"/>
      <c r="G69" s="3419"/>
      <c r="H69" s="311"/>
      <c r="I69" s="1292"/>
      <c r="J69" s="2037"/>
      <c r="K69" s="1294">
        <v>4</v>
      </c>
      <c r="L69" s="3433" t="s">
        <v>2878</v>
      </c>
      <c r="M69" s="3434"/>
      <c r="N69" s="1295" t="str">
        <f>C44</f>
        <v>——</v>
      </c>
      <c r="O69" s="1295"/>
      <c r="P69" s="1295"/>
      <c r="Q69" s="2030"/>
      <c r="R69" s="2030"/>
      <c r="S69" s="2030"/>
      <c r="T69" s="2030"/>
      <c r="U69" s="2030"/>
      <c r="V69" s="2030"/>
    </row>
    <row r="70" spans="1:22" ht="24" customHeight="1">
      <c r="A70" s="359" t="s">
        <v>393</v>
      </c>
      <c r="B70" s="3362" t="s">
        <v>394</v>
      </c>
      <c r="C70" s="3362"/>
      <c r="D70" s="358">
        <f ca="1">ROUND(D63*'数据-取费表'!B41/(1+'数据-取费表'!C42),0)</f>
        <v>8001</v>
      </c>
      <c r="E70" s="17" t="s">
        <v>395</v>
      </c>
      <c r="F70" s="360">
        <f>'数据-取费表'!B41</f>
        <v>5.5000000000000007E-2</v>
      </c>
      <c r="G70" s="361"/>
      <c r="H70" s="311"/>
      <c r="I70" s="1292"/>
      <c r="J70" s="2037"/>
      <c r="K70" s="3064"/>
      <c r="L70" s="3065"/>
      <c r="M70" s="3065"/>
      <c r="N70" s="3066" t="s">
        <v>2883</v>
      </c>
      <c r="O70" s="3065"/>
      <c r="P70" s="3067"/>
      <c r="Q70" s="2030"/>
      <c r="R70" s="2030"/>
      <c r="S70" s="2030"/>
      <c r="T70" s="2030"/>
      <c r="U70" s="2030"/>
      <c r="V70" s="2030"/>
    </row>
    <row r="71" spans="1:22" ht="12" customHeight="1">
      <c r="A71" s="359" t="s">
        <v>401</v>
      </c>
      <c r="B71" s="3363" t="s">
        <v>402</v>
      </c>
      <c r="C71" s="3364"/>
      <c r="D71" s="358">
        <f ca="1">ROUND(D63*'数据-取费表'!B41/(1+'数据-取费表'!C42),0)</f>
        <v>8001</v>
      </c>
      <c r="E71" s="17" t="s">
        <v>395</v>
      </c>
      <c r="F71" s="360">
        <f>'数据-取费表'!B41</f>
        <v>5.5000000000000007E-2</v>
      </c>
      <c r="G71" s="361"/>
      <c r="H71" s="311"/>
      <c r="I71" s="1292"/>
      <c r="J71" s="2037"/>
      <c r="K71" s="3063" t="s">
        <v>396</v>
      </c>
      <c r="L71" s="3435" t="s">
        <v>397</v>
      </c>
      <c r="M71" s="3435"/>
      <c r="N71" s="3063" t="s">
        <v>398</v>
      </c>
      <c r="O71" s="3063" t="s">
        <v>399</v>
      </c>
      <c r="P71" s="3063" t="s">
        <v>400</v>
      </c>
      <c r="Q71" s="2030"/>
      <c r="R71" s="2030"/>
      <c r="S71" s="2030"/>
      <c r="T71" s="2030"/>
      <c r="U71" s="2030"/>
      <c r="V71" s="2030"/>
    </row>
    <row r="72" spans="1:22" ht="12" customHeight="1">
      <c r="A72" s="359" t="s">
        <v>404</v>
      </c>
      <c r="B72" s="3363" t="s">
        <v>405</v>
      </c>
      <c r="C72" s="3364"/>
      <c r="D72" s="358">
        <f ca="1">C86</f>
        <v>7891</v>
      </c>
      <c r="E72" s="73" t="s">
        <v>406</v>
      </c>
      <c r="F72" s="360">
        <f>'数据-取费表'!B41</f>
        <v>5.5000000000000007E-2</v>
      </c>
      <c r="G72" s="361"/>
      <c r="H72" s="1298"/>
      <c r="I72" s="1292"/>
      <c r="J72" s="2037"/>
      <c r="K72" s="1978">
        <v>1</v>
      </c>
      <c r="L72" s="3410" t="s">
        <v>403</v>
      </c>
      <c r="M72" s="3410"/>
      <c r="N72" s="1296">
        <f ca="1">D66</f>
        <v>8001</v>
      </c>
      <c r="O72" s="1861" t="str">
        <f>E66</f>
        <v>销售额×税（费）率</v>
      </c>
      <c r="P72" s="1297">
        <f>F66</f>
        <v>5.5000000000000007E-2</v>
      </c>
      <c r="Q72" s="2030"/>
      <c r="R72" s="2030"/>
      <c r="S72" s="2030"/>
      <c r="T72" s="2030"/>
      <c r="U72" s="2030"/>
      <c r="V72" s="2030"/>
    </row>
    <row r="73" spans="1:22" ht="24" customHeight="1">
      <c r="A73" s="3404" t="s">
        <v>408</v>
      </c>
      <c r="B73" s="3372"/>
      <c r="C73" s="3372"/>
      <c r="D73" s="362">
        <f>IF(H73="个人住宅",0,ROUND(D63*I73,0))</f>
        <v>0</v>
      </c>
      <c r="E73" s="17" t="s">
        <v>409</v>
      </c>
      <c r="F73" s="360" t="str">
        <f>IF(H73="正常",I73,"免征")</f>
        <v>免征</v>
      </c>
      <c r="G73" s="361"/>
      <c r="H73" s="191" t="s">
        <v>2451</v>
      </c>
      <c r="I73" s="360">
        <f>'数据-取费表'!B49</f>
        <v>5.0000000000000001E-4</v>
      </c>
      <c r="J73" s="2037"/>
      <c r="K73" s="1978">
        <v>2</v>
      </c>
      <c r="L73" s="3410" t="s">
        <v>407</v>
      </c>
      <c r="M73" s="3410"/>
      <c r="N73" s="1296">
        <f t="shared" ref="N73:P74" si="1">D73</f>
        <v>0</v>
      </c>
      <c r="O73" s="1861" t="str">
        <f t="shared" si="1"/>
        <v>销售额×税（费）率</v>
      </c>
      <c r="P73" s="1297" t="str">
        <f t="shared" si="1"/>
        <v>免征</v>
      </c>
      <c r="Q73" s="2030"/>
      <c r="R73" s="2030"/>
      <c r="S73" s="2030"/>
      <c r="T73" s="2030"/>
      <c r="U73" s="2030"/>
      <c r="V73" s="2030"/>
    </row>
    <row r="74" spans="1:22" ht="24.75">
      <c r="A74" s="3404" t="s">
        <v>412</v>
      </c>
      <c r="B74" s="3372"/>
      <c r="C74" s="3372"/>
      <c r="D74" s="362">
        <f ca="1">IF(H74="个人住宅",D75,D76)</f>
        <v>85941</v>
      </c>
      <c r="E74" s="17" t="s">
        <v>413</v>
      </c>
      <c r="F74" s="360" t="str">
        <f>IF(H74="正常",F76,"免征")</f>
        <v>——</v>
      </c>
      <c r="G74" s="983" t="s">
        <v>414</v>
      </c>
      <c r="H74" s="363" t="s">
        <v>410</v>
      </c>
      <c r="I74" s="42"/>
      <c r="J74" s="2037"/>
      <c r="K74" s="1978">
        <v>3</v>
      </c>
      <c r="L74" s="3410" t="s">
        <v>411</v>
      </c>
      <c r="M74" s="3410"/>
      <c r="N74" s="1296">
        <f t="shared" ca="1" si="1"/>
        <v>85941</v>
      </c>
      <c r="O74" s="1861" t="str">
        <f t="shared" si="1"/>
        <v>增值额×税（费）率</v>
      </c>
      <c r="P74" s="1299" t="str">
        <f t="shared" si="1"/>
        <v>——</v>
      </c>
      <c r="Q74" s="2030"/>
      <c r="R74" s="2030"/>
      <c r="S74" s="2030"/>
      <c r="T74" s="2030"/>
      <c r="U74" s="2030"/>
      <c r="V74" s="2030"/>
    </row>
    <row r="75" spans="1:22" ht="24">
      <c r="A75" s="359" t="s">
        <v>415</v>
      </c>
      <c r="B75" s="3360" t="s">
        <v>416</v>
      </c>
      <c r="C75" s="3390"/>
      <c r="D75" s="364">
        <v>0</v>
      </c>
      <c r="E75" s="41" t="s">
        <v>417</v>
      </c>
      <c r="F75" s="365"/>
      <c r="G75" s="361"/>
      <c r="H75" s="42"/>
      <c r="I75" s="42"/>
      <c r="J75" s="2037"/>
      <c r="K75" s="3056">
        <f>IF(H77="非个人房产","",4)</f>
        <v>4</v>
      </c>
      <c r="L75" s="3410" t="str">
        <f>IF(H77="非个人房产","——","个人所得税")</f>
        <v>个人所得税</v>
      </c>
      <c r="M75" s="3410"/>
      <c r="N75" s="1300">
        <f ca="1">D77</f>
        <v>1528</v>
      </c>
      <c r="O75" s="1874" t="str">
        <f>E77</f>
        <v>销售额×税（费）率</v>
      </c>
      <c r="P75" s="1301">
        <f>F77</f>
        <v>0.01</v>
      </c>
      <c r="Q75" s="2030"/>
      <c r="R75" s="2030"/>
      <c r="S75" s="2030"/>
      <c r="T75" s="2030"/>
      <c r="U75" s="2030"/>
      <c r="V75" s="2030"/>
    </row>
    <row r="76" spans="1:22" ht="24.75">
      <c r="A76" s="359" t="s">
        <v>393</v>
      </c>
      <c r="B76" s="3360" t="s">
        <v>419</v>
      </c>
      <c r="C76" s="3361"/>
      <c r="D76" s="362">
        <f ca="1">IF(H76="转让取得",C99,C115)</f>
        <v>85941</v>
      </c>
      <c r="E76" s="17" t="s">
        <v>420</v>
      </c>
      <c r="F76" s="53" t="s">
        <v>21</v>
      </c>
      <c r="G76" s="361"/>
      <c r="H76" s="363" t="s">
        <v>421</v>
      </c>
      <c r="I76" s="42"/>
      <c r="J76" s="2037"/>
      <c r="K76" s="3056" t="str">
        <f>IF(项目基本情况!K6="上海银行",IF(K75="",4,K75+1),"")</f>
        <v/>
      </c>
      <c r="L76" s="3421" t="str">
        <f>IF(项目基本情况!K6="上海银行","其他处置费用","")</f>
        <v/>
      </c>
      <c r="M76" s="3422"/>
      <c r="N76" s="1296" t="str">
        <f>IF(项目基本情况!K6="上海银行",N89,"")</f>
        <v/>
      </c>
      <c r="O76" s="3423" t="str">
        <f>IF(项目基本情况!K6="上海银行","包含处置中涉及的律师、诉讼、拍卖、评估等费用","")</f>
        <v/>
      </c>
      <c r="P76" s="3424"/>
      <c r="Q76" s="2030"/>
      <c r="R76" s="2030"/>
      <c r="S76" s="2030"/>
      <c r="T76" s="2030"/>
      <c r="U76" s="2030"/>
      <c r="V76" s="2030"/>
    </row>
    <row r="77" spans="1:22" ht="26.25" thickBot="1">
      <c r="A77" s="3412" t="s">
        <v>423</v>
      </c>
      <c r="B77" s="3413"/>
      <c r="C77" s="3413"/>
      <c r="D77" s="366">
        <f ca="1">IF(H77="非个人房产","——",IF(H77="个人住宅",0,ROUND(D63*I77,0)))</f>
        <v>1528</v>
      </c>
      <c r="E77" s="367" t="str">
        <f>IF(H77="非个人房产","——","销售额×税（费）率")</f>
        <v>销售额×税（费）率</v>
      </c>
      <c r="F77" s="368">
        <f>IF(H77="非个人房产","——",IF(H77="个人住宅","免征",I77))</f>
        <v>0.01</v>
      </c>
      <c r="G77" s="984" t="s">
        <v>414</v>
      </c>
      <c r="H77" s="363" t="s">
        <v>2879</v>
      </c>
      <c r="I77" s="369">
        <v>0.01</v>
      </c>
      <c r="J77" s="2037"/>
      <c r="K77" s="3411">
        <f>IF(AND(K75="",K76=""),4,IF(项目基本情况!K6="上海银行",K76+1,K75+1))</f>
        <v>5</v>
      </c>
      <c r="L77" s="3410" t="s">
        <v>2880</v>
      </c>
      <c r="M77" s="3062" t="s">
        <v>418</v>
      </c>
      <c r="N77" s="1302"/>
      <c r="O77" s="1303">
        <f ca="1">SUMIF(N72:N76,"&lt;9e307")</f>
        <v>95470</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411"/>
      <c r="L78" s="3410"/>
      <c r="M78" s="3062" t="s">
        <v>422</v>
      </c>
      <c r="N78" s="1302"/>
      <c r="O78" s="1303" t="str">
        <f ca="1">NUMBERSTRING(INT(O77*10000),2)&amp;"元整"</f>
        <v>玖亿伍仟肆佰柒拾万元整</v>
      </c>
      <c r="P78" s="1304"/>
      <c r="Q78" s="2030"/>
      <c r="R78" s="2030"/>
      <c r="S78" s="2030"/>
      <c r="T78" s="2030"/>
      <c r="U78" s="2030"/>
      <c r="V78" s="2030"/>
    </row>
    <row r="79" spans="1:22" ht="13.5" thickBot="1">
      <c r="A79" s="3405" t="s">
        <v>424</v>
      </c>
      <c r="B79" s="3405"/>
      <c r="C79" s="3405"/>
      <c r="D79" s="3405"/>
      <c r="E79" s="3405"/>
      <c r="F79" s="42"/>
      <c r="G79" s="42"/>
      <c r="H79" s="1003"/>
      <c r="I79" s="311"/>
      <c r="J79" s="2037"/>
      <c r="K79" s="3431">
        <f>K77+1</f>
        <v>6</v>
      </c>
      <c r="L79" s="3410" t="s">
        <v>2881</v>
      </c>
      <c r="M79" s="3062" t="s">
        <v>418</v>
      </c>
      <c r="N79" s="1302"/>
      <c r="O79" s="1303" t="e">
        <f ca="1">N69-O77</f>
        <v>#VALUE!</v>
      </c>
      <c r="P79" s="1304"/>
      <c r="Q79" s="2030"/>
      <c r="R79" s="2030"/>
      <c r="S79" s="2030"/>
      <c r="T79" s="2030"/>
      <c r="U79" s="2030"/>
      <c r="V79" s="2030"/>
    </row>
    <row r="80" spans="1:22" ht="12.75">
      <c r="A80" s="3400" t="s">
        <v>425</v>
      </c>
      <c r="B80" s="3401"/>
      <c r="C80" s="994"/>
      <c r="D80" s="994" t="s">
        <v>426</v>
      </c>
      <c r="E80" s="370" t="s">
        <v>427</v>
      </c>
      <c r="F80" s="42"/>
      <c r="G80" s="42"/>
      <c r="H80" s="1003"/>
      <c r="I80" s="311"/>
      <c r="J80" s="2030"/>
      <c r="K80" s="3432"/>
      <c r="L80" s="3410"/>
      <c r="M80" s="3062" t="s">
        <v>422</v>
      </c>
      <c r="N80" s="1302"/>
      <c r="O80" s="1303" t="e">
        <f ca="1">NUMBERSTRING(INT(O79*10000),2)&amp;"元整"</f>
        <v>#VALUE!</v>
      </c>
      <c r="P80" s="1304"/>
      <c r="Q80" s="2030"/>
      <c r="R80" s="2030"/>
      <c r="S80" s="2030"/>
      <c r="T80" s="2030"/>
      <c r="U80" s="2030"/>
      <c r="V80" s="2030"/>
    </row>
    <row r="81" spans="1:26" ht="13.5" thickBot="1">
      <c r="A81" s="381" t="s">
        <v>1817</v>
      </c>
      <c r="B81" s="371" t="s">
        <v>428</v>
      </c>
      <c r="C81" s="372">
        <f ca="1">ROUND((C82+C83)/(1+'数据-取费表'!C42),0)</f>
        <v>145478</v>
      </c>
      <c r="D81" s="373"/>
      <c r="E81" s="374"/>
      <c r="F81" s="42"/>
      <c r="G81" s="42"/>
      <c r="H81" s="1003"/>
      <c r="I81" s="311"/>
      <c r="J81" s="2030"/>
      <c r="K81" s="3056">
        <f>K79+1</f>
        <v>7</v>
      </c>
      <c r="L81" s="3408" t="s">
        <v>2882</v>
      </c>
      <c r="M81" s="3409"/>
      <c r="N81" s="1306"/>
      <c r="O81" s="1307" t="e">
        <f ca="1">ROUND(O79*10000/'数据-汇总表'!E3,0)</f>
        <v>#VALUE!</v>
      </c>
      <c r="P81" s="1308"/>
      <c r="Q81" s="2030"/>
      <c r="R81" s="2030"/>
      <c r="S81" s="2030"/>
      <c r="T81" s="2030"/>
      <c r="U81" s="2030"/>
      <c r="V81" s="2030"/>
    </row>
    <row r="82" spans="1:26" ht="13.5" thickTop="1">
      <c r="A82" s="375" t="s">
        <v>1818</v>
      </c>
      <c r="B82" s="376" t="s">
        <v>429</v>
      </c>
      <c r="C82" s="377">
        <f ca="1">D63</f>
        <v>152752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1819</v>
      </c>
      <c r="B83" s="376" t="s">
        <v>430</v>
      </c>
      <c r="C83" s="380">
        <v>0</v>
      </c>
      <c r="D83" s="378"/>
      <c r="E83" s="379"/>
      <c r="F83" s="42"/>
      <c r="G83" s="42"/>
      <c r="H83" s="1003"/>
      <c r="I83" s="311"/>
      <c r="J83" s="2030"/>
      <c r="K83" s="3420" t="s">
        <v>2869</v>
      </c>
      <c r="L83" s="3068" t="s">
        <v>2870</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1820</v>
      </c>
      <c r="B84" s="382" t="s">
        <v>431</v>
      </c>
      <c r="C84" s="383">
        <v>2000</v>
      </c>
      <c r="D84" s="384" t="s">
        <v>19</v>
      </c>
      <c r="E84" s="3103" t="s">
        <v>2937</v>
      </c>
      <c r="F84" s="42"/>
      <c r="G84" s="42"/>
      <c r="H84" s="1003"/>
      <c r="I84" s="311"/>
      <c r="J84" s="2030"/>
      <c r="K84" s="3420"/>
      <c r="L84" s="3068" t="s">
        <v>2871</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2872</v>
      </c>
      <c r="P84" s="2030"/>
      <c r="Q84" s="2030"/>
      <c r="R84" s="2030"/>
      <c r="S84" s="2030"/>
      <c r="T84" s="2030"/>
      <c r="U84" s="2030"/>
      <c r="V84" s="2030"/>
    </row>
    <row r="85" spans="1:26" ht="12.75">
      <c r="A85" s="381" t="s">
        <v>1821</v>
      </c>
      <c r="B85" s="382" t="s">
        <v>432</v>
      </c>
      <c r="C85" s="385">
        <f ca="1">C81-C84</f>
        <v>143478</v>
      </c>
      <c r="D85" s="378" t="s">
        <v>19</v>
      </c>
      <c r="E85" s="379"/>
      <c r="F85" s="42"/>
      <c r="G85" s="42"/>
      <c r="H85" s="1003"/>
      <c r="I85" s="311"/>
      <c r="J85" s="2030"/>
      <c r="K85" s="3420"/>
      <c r="L85" s="3068" t="s">
        <v>2873</v>
      </c>
      <c r="M85" s="3058" t="e">
        <f>IF(N69&gt;1000,N69*0.1%,IF(AND(N69&gt;500,N69&lt;=1000),N69*0.5%,IF(AND(N69&gt;50,N69&lt;=500),N69*1%,IF(AND(N69&gt;1,N69&lt;=50),N69*1.5%))))</f>
        <v>#VALUE!</v>
      </c>
      <c r="N85" s="53" t="e">
        <f t="shared" si="2"/>
        <v>#VALUE!</v>
      </c>
      <c r="O85" s="2030" t="s">
        <v>2872</v>
      </c>
      <c r="P85" s="2030"/>
      <c r="Q85" s="2030"/>
      <c r="R85" s="2030"/>
      <c r="S85" s="2030"/>
      <c r="T85" s="2030"/>
      <c r="U85" s="2030"/>
      <c r="V85" s="2030"/>
    </row>
    <row r="86" spans="1:26" ht="13.5" thickBot="1">
      <c r="A86" s="386" t="s">
        <v>1822</v>
      </c>
      <c r="B86" s="387" t="s">
        <v>433</v>
      </c>
      <c r="C86" s="388">
        <f ca="1">IF(C85&lt;=0,0,ROUND(C85*D86,0))</f>
        <v>7891</v>
      </c>
      <c r="D86" s="389">
        <f>'数据-取费表'!B41</f>
        <v>5.5000000000000007E-2</v>
      </c>
      <c r="E86" s="390"/>
      <c r="F86" s="42"/>
      <c r="G86" s="42"/>
      <c r="H86" s="1003"/>
      <c r="I86" s="311"/>
      <c r="J86" s="2030"/>
      <c r="K86" s="3420"/>
      <c r="L86" s="3068" t="s">
        <v>2874</v>
      </c>
      <c r="M86" s="3058" t="e">
        <f>N69*0.5%</f>
        <v>#VALUE!</v>
      </c>
      <c r="N86" s="53" t="e">
        <f>IF(M86&gt;0.5,0.5,ROUND(M86,0))</f>
        <v>#VALUE!</v>
      </c>
      <c r="O86" s="2030" t="s">
        <v>2875</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20"/>
      <c r="L87" s="3068" t="s">
        <v>2876</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402" t="s">
        <v>434</v>
      </c>
      <c r="B88" s="3403"/>
      <c r="C88" s="3403"/>
      <c r="D88" s="3403"/>
      <c r="E88" s="3403"/>
      <c r="F88" s="3403"/>
      <c r="G88" s="3403"/>
      <c r="H88" s="3403"/>
      <c r="I88" s="1315"/>
      <c r="J88" s="2038"/>
      <c r="K88" s="3420"/>
      <c r="L88" s="3068" t="s">
        <v>2877</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400" t="s">
        <v>425</v>
      </c>
      <c r="B89" s="3401"/>
      <c r="C89" s="994"/>
      <c r="D89" s="994" t="s">
        <v>426</v>
      </c>
      <c r="E89" s="391" t="s">
        <v>435</v>
      </c>
      <c r="F89" s="392"/>
      <c r="G89" s="392"/>
      <c r="H89" s="393"/>
      <c r="I89" s="1316"/>
      <c r="J89" s="2040"/>
      <c r="K89" s="3420"/>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1817</v>
      </c>
      <c r="B90" s="382" t="s">
        <v>436</v>
      </c>
      <c r="C90" s="385">
        <f ca="1">ROUND(D63/(1+'数据-取费表'!C42),0)</f>
        <v>145478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1823</v>
      </c>
      <c r="B91" s="348" t="s">
        <v>437</v>
      </c>
      <c r="C91" s="385">
        <f ca="1">C92+C96</f>
        <v>3288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1824</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1825</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1826</v>
      </c>
      <c r="B94" s="400" t="s">
        <v>443</v>
      </c>
      <c r="C94" s="378">
        <f>IF(F93="购房发票",ROUND(C93*H93*5%,0),0)</f>
        <v>500</v>
      </c>
      <c r="D94" s="401">
        <v>0.05</v>
      </c>
      <c r="E94" s="3363" t="s">
        <v>444</v>
      </c>
      <c r="F94" s="3362"/>
      <c r="G94" s="3362"/>
      <c r="H94" s="339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1827</v>
      </c>
      <c r="B95" s="376" t="s">
        <v>445</v>
      </c>
      <c r="C95" s="378">
        <f>ROUND(IF(G95="个人买卖住房",0,IF(G95="2016年5月1日前购买",C93*D95,C93*D95/(1+'数据-取费表'!C42))),0)</f>
        <v>61</v>
      </c>
      <c r="D95" s="402">
        <f>'数据-取费表'!B48+'数据-取费表'!B49</f>
        <v>3.0499999999999999E-2</v>
      </c>
      <c r="E95" s="26" t="s">
        <v>446</v>
      </c>
      <c r="F95" s="403"/>
      <c r="G95" s="404" t="s">
        <v>2425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1828</v>
      </c>
      <c r="B96" s="376" t="s">
        <v>447</v>
      </c>
      <c r="C96" s="405">
        <f ca="1">ROUND(D63*D96/(1+'数据-取费表'!C42),0)</f>
        <v>727</v>
      </c>
      <c r="D96" s="406">
        <f>'数据-取费表'!B43</f>
        <v>5.000000000000001E-3</v>
      </c>
      <c r="E96" s="3391" t="s">
        <v>2424</v>
      </c>
      <c r="F96" s="3392"/>
      <c r="G96" s="3392"/>
      <c r="H96" s="339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1829</v>
      </c>
      <c r="B97" s="382" t="s">
        <v>448</v>
      </c>
      <c r="C97" s="385">
        <f ca="1">C90-C91</f>
        <v>142190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1830</v>
      </c>
      <c r="B98" s="382" t="s">
        <v>449</v>
      </c>
      <c r="C98" s="407">
        <f ca="1">IF(C97&lt;=0,0,C97/C91)</f>
        <v>43.245133819951342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1831</v>
      </c>
      <c r="B99" s="387" t="s">
        <v>450</v>
      </c>
      <c r="C99" s="408">
        <f ca="1">ROUND(IF(C97&lt;=0,0,IF(C98&gt;=200%,C97*60%-C91*35%,IF(C98&gt;=100%,C97*50%-C91*15%,IF(C98&gt;=50%,C97*40%-C91*5%,IF(C98&lt;50%,C97*30%,0))))),0)</f>
        <v>84163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02" t="s">
        <v>451</v>
      </c>
      <c r="B101" s="3403"/>
      <c r="C101" s="3403"/>
      <c r="D101" s="3403"/>
      <c r="E101" s="3403"/>
      <c r="F101" s="3403"/>
      <c r="G101" s="3403"/>
      <c r="H101" s="3403"/>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400" t="s">
        <v>425</v>
      </c>
      <c r="B102" s="3401"/>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1817</v>
      </c>
      <c r="B103" s="382" t="s">
        <v>436</v>
      </c>
      <c r="C103" s="385">
        <f ca="1">ROUND(D63/(1+'数据-取费表'!C42),0)</f>
        <v>145478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1823</v>
      </c>
      <c r="B104" s="348" t="s">
        <v>437</v>
      </c>
      <c r="C104" s="385">
        <f ca="1">IF(H106="仅含出让金",C105+C108+C109+C110+C111+C112,C105+C109+C110+C111+C112)</f>
        <v>1417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1824</v>
      </c>
      <c r="B105" s="376" t="s">
        <v>452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1825</v>
      </c>
      <c r="B106" s="376" t="s">
        <v>453</v>
      </c>
      <c r="C106" s="416">
        <v>555</v>
      </c>
      <c r="D106" s="406"/>
      <c r="E106" s="417" t="s">
        <v>454</v>
      </c>
      <c r="F106" s="986"/>
      <c r="G106" s="418" t="s">
        <v>455</v>
      </c>
      <c r="H106" s="419" t="s">
        <v>2435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1826</v>
      </c>
      <c r="B107" s="376" t="s">
        <v>445</v>
      </c>
      <c r="C107" s="405">
        <f>ROUND(C106*D107,0)</f>
        <v>17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1828</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1832</v>
      </c>
      <c r="B109" s="376" t="s">
        <v>458</v>
      </c>
      <c r="C109" s="405">
        <f>IF(H109="——",IF(F1="现房",'剩余法-现房'!C18,剩余法住宅!C18),I109)</f>
        <v>55</v>
      </c>
      <c r="D109" s="406"/>
      <c r="E109" s="3394" t="s">
        <v>459</v>
      </c>
      <c r="F109" s="3392"/>
      <c r="G109" s="3392"/>
      <c r="H109" s="1943" t="s">
        <v>2275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1833</v>
      </c>
      <c r="B110" s="376" t="s">
        <v>460</v>
      </c>
      <c r="C110" s="405">
        <f>ROUND((C105+C108+C109)*D110,0)</f>
        <v>63</v>
      </c>
      <c r="D110" s="406">
        <v>0.1</v>
      </c>
      <c r="E110" s="3394" t="s">
        <v>461</v>
      </c>
      <c r="F110" s="3392"/>
      <c r="G110" s="3392"/>
      <c r="H110" s="339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1834</v>
      </c>
      <c r="B111" s="376" t="s">
        <v>447</v>
      </c>
      <c r="C111" s="405">
        <f ca="1">ROUND(D63*D111/(1+'数据-取费表'!C42),0)</f>
        <v>727</v>
      </c>
      <c r="D111" s="406">
        <f>'数据-取费表'!B43</f>
        <v>5.000000000000001E-3</v>
      </c>
      <c r="E111" s="3391" t="s">
        <v>2424</v>
      </c>
      <c r="F111" s="3392"/>
      <c r="G111" s="3392"/>
      <c r="H111" s="339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1835</v>
      </c>
      <c r="B112" s="376" t="s">
        <v>462</v>
      </c>
      <c r="C112" s="405">
        <f>ROUND(C108*D112,0)</f>
        <v>0</v>
      </c>
      <c r="D112" s="406">
        <v>0.2</v>
      </c>
      <c r="E112" s="3394" t="s">
        <v>2449</v>
      </c>
      <c r="F112" s="3392"/>
      <c r="G112" s="3392"/>
      <c r="H112" s="339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1829</v>
      </c>
      <c r="B113" s="382" t="s">
        <v>448</v>
      </c>
      <c r="C113" s="385">
        <f ca="1">ROUND(C103-C104,0)</f>
        <v>144061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1830</v>
      </c>
      <c r="B114" s="382" t="s">
        <v>449</v>
      </c>
      <c r="C114" s="407">
        <f ca="1">IF(C113&lt;=0,0,C113/C104)</f>
        <v>101.66619618913197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1831</v>
      </c>
      <c r="B115" s="387" t="s">
        <v>450</v>
      </c>
      <c r="C115" s="408">
        <f ca="1">ROUND(IF(C113&lt;=0,0,IF(C114&gt;=200%,C113*60%-C104*35%,IF(C114&gt;=100%,C113*50%-C104*15%,IF(C114&gt;=50%,C113*40%-C104*5%,IF(C114&lt;50%,C113*30%,0))))),0)</f>
        <v>85941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4:F12"/>
  <sheetViews>
    <sheetView workbookViewId="0">
      <selection activeCell="F6" sqref="F6"/>
    </sheetView>
  </sheetViews>
  <sheetFormatPr defaultRowHeight="13.5"/>
  <cols>
    <col min="3" max="3" width="18.625" customWidth="1"/>
    <col min="4" max="4" width="17.5" customWidth="1"/>
    <col min="5" max="5" width="13.25" customWidth="1"/>
    <col min="6" max="6" width="13.75" customWidth="1"/>
  </cols>
  <sheetData>
    <row r="4" spans="2:6" ht="39.75" customHeight="1">
      <c r="B4" s="3256"/>
      <c r="C4" s="3257" t="s">
        <v>3099</v>
      </c>
      <c r="D4" s="3257" t="s">
        <v>3100</v>
      </c>
      <c r="E4" s="3257" t="s">
        <v>3101</v>
      </c>
      <c r="F4" s="3257" t="s">
        <v>3102</v>
      </c>
    </row>
    <row r="5" spans="2:6" ht="32.25" customHeight="1">
      <c r="B5" s="3258" t="s">
        <v>3103</v>
      </c>
      <c r="C5" s="3259">
        <v>5000</v>
      </c>
      <c r="D5" s="3259">
        <v>4000</v>
      </c>
      <c r="E5" s="3259">
        <v>4500</v>
      </c>
      <c r="F5" s="3259">
        <v>3500</v>
      </c>
    </row>
    <row r="6" spans="2:6" ht="40.5" customHeight="1">
      <c r="B6" s="3260" t="s">
        <v>3104</v>
      </c>
      <c r="C6" s="3261">
        <v>0.35</v>
      </c>
      <c r="D6" s="3261">
        <v>0.35</v>
      </c>
      <c r="E6" s="3261">
        <v>0.5</v>
      </c>
      <c r="F6" s="3261">
        <v>0.25</v>
      </c>
    </row>
    <row r="7" spans="2:6" ht="28.5" customHeight="1">
      <c r="B7" s="3262" t="s">
        <v>3105</v>
      </c>
      <c r="C7" s="3262" t="s">
        <v>3106</v>
      </c>
      <c r="D7" s="3262" t="s">
        <v>3107</v>
      </c>
      <c r="E7" s="3267">
        <f>'[3]比较法租金-商业'!$C$48</f>
        <v>3</v>
      </c>
      <c r="F7" s="3267">
        <f>'[4]比较法租金-办公'!$C$50</f>
        <v>2.2999999999999998</v>
      </c>
    </row>
    <row r="8" spans="2:6">
      <c r="B8" s="3255" t="s">
        <v>3113</v>
      </c>
      <c r="C8">
        <v>3</v>
      </c>
    </row>
    <row r="9" spans="2:6">
      <c r="B9" s="3255" t="s">
        <v>3116</v>
      </c>
      <c r="C9">
        <v>26000</v>
      </c>
      <c r="D9">
        <v>39000</v>
      </c>
      <c r="E9" s="3268">
        <f ca="1">[3]不动产开发完成后价值总表!$C$8</f>
        <v>18865</v>
      </c>
      <c r="F9" s="3268">
        <f ca="1">[4]不动产开发完成价值总表!$C$10</f>
        <v>14275</v>
      </c>
    </row>
    <row r="10" spans="2:6">
      <c r="B10" s="3255" t="s">
        <v>3117</v>
      </c>
      <c r="E10">
        <f>E7</f>
        <v>3</v>
      </c>
      <c r="F10">
        <f>F7</f>
        <v>2.2999999999999998</v>
      </c>
    </row>
    <row r="11" spans="2:6">
      <c r="B11" s="3269" t="s">
        <v>3122</v>
      </c>
      <c r="E11" s="3270">
        <v>5.5E-2</v>
      </c>
      <c r="F11" s="3270">
        <f>E11-0.005</f>
        <v>0.05</v>
      </c>
    </row>
    <row r="12" spans="2:6">
      <c r="B12" s="3269" t="s">
        <v>3123</v>
      </c>
      <c r="E12" s="3270">
        <v>6.5000000000000002E-2</v>
      </c>
      <c r="F12" s="3270">
        <f>E12</f>
        <v>6.5000000000000002E-2</v>
      </c>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40"/>
  <sheetViews>
    <sheetView topLeftCell="B4" workbookViewId="0">
      <selection activeCell="B14" sqref="B14"/>
    </sheetView>
  </sheetViews>
  <sheetFormatPr defaultRowHeight="13.5"/>
  <cols>
    <col min="1" max="1" width="3.875" style="3207" hidden="1" customWidth="1"/>
    <col min="2" max="2" width="26.25" style="3207" customWidth="1"/>
    <col min="3" max="3" width="21.875" style="3207" customWidth="1"/>
    <col min="4" max="4" width="19.375" style="3207" customWidth="1"/>
    <col min="5" max="5" width="24.875" style="3207" customWidth="1"/>
    <col min="6" max="6" width="4" style="3207" customWidth="1"/>
    <col min="7" max="7" width="17" style="3207" customWidth="1"/>
    <col min="8" max="8" width="16.125" style="3207" customWidth="1"/>
    <col min="9" max="9" width="9" style="3207"/>
    <col min="10" max="10" width="12" style="3207" bestFit="1" customWidth="1"/>
    <col min="11" max="11" width="9" style="3207"/>
    <col min="12" max="12" width="0" hidden="1" customWidth="1"/>
    <col min="13" max="13" width="11.625" style="3207" bestFit="1" customWidth="1"/>
    <col min="14" max="14" width="9" style="3207"/>
    <col min="15" max="15" width="15.375" style="3207" customWidth="1"/>
    <col min="16" max="16384" width="9" style="3207"/>
  </cols>
  <sheetData>
    <row r="1" spans="2:20" hidden="1"/>
    <row r="2" spans="2:20" hidden="1"/>
    <row r="3" spans="2:20" hidden="1"/>
    <row r="4" spans="2:20" ht="30" customHeight="1">
      <c r="D4" s="3219"/>
      <c r="E4" s="3219"/>
      <c r="G4" s="3220" t="s">
        <v>3071</v>
      </c>
      <c r="H4" s="3221" t="s">
        <v>3072</v>
      </c>
      <c r="I4" s="3221" t="s">
        <v>3073</v>
      </c>
      <c r="J4" s="3221" t="s">
        <v>3074</v>
      </c>
      <c r="K4" s="3221" t="s">
        <v>3073</v>
      </c>
      <c r="M4" s="3221" t="s">
        <v>3119</v>
      </c>
      <c r="N4" s="3221" t="s">
        <v>3073</v>
      </c>
      <c r="O4" s="3221" t="s">
        <v>3075</v>
      </c>
    </row>
    <row r="5" spans="2:20" ht="32.25" customHeight="1">
      <c r="B5" s="3438" t="s">
        <v>3118</v>
      </c>
      <c r="C5" s="3439"/>
      <c r="D5" s="3439"/>
      <c r="E5" s="3439"/>
      <c r="G5" s="3223" t="s">
        <v>3110</v>
      </c>
      <c r="H5" s="3224">
        <f ca="1">结果表!C20</f>
        <v>5354</v>
      </c>
      <c r="I5" s="3225">
        <v>0.4</v>
      </c>
      <c r="J5" s="3224">
        <f ca="1">结果表!D20</f>
        <v>10154</v>
      </c>
      <c r="K5" s="3225">
        <f>1-I5</f>
        <v>0.6</v>
      </c>
      <c r="M5" s="3224" t="s">
        <v>3121</v>
      </c>
      <c r="N5" s="3225" t="s">
        <v>3121</v>
      </c>
      <c r="O5" s="3224">
        <f ca="1">ROUND(H5*I5+J5*K5,0)</f>
        <v>8234</v>
      </c>
      <c r="T5" s="3222" t="s">
        <v>3076</v>
      </c>
    </row>
    <row r="6" spans="2:20" ht="29.25" customHeight="1">
      <c r="B6" s="3440"/>
      <c r="C6" s="3440"/>
      <c r="D6" s="3440"/>
      <c r="E6" s="3440"/>
      <c r="G6" s="3223" t="s">
        <v>3108</v>
      </c>
      <c r="H6" s="3224">
        <f ca="1">[5]结果表!$C$20</f>
        <v>5354</v>
      </c>
      <c r="I6" s="3225">
        <v>0.4</v>
      </c>
      <c r="J6" s="3224">
        <f ca="1">[5]结果表!$D$20</f>
        <v>18527</v>
      </c>
      <c r="K6" s="3225">
        <f>1-I6</f>
        <v>0.6</v>
      </c>
      <c r="M6" s="3224" t="s">
        <v>3121</v>
      </c>
      <c r="N6" s="3225" t="s">
        <v>3121</v>
      </c>
      <c r="O6" s="3224">
        <f ca="1">ROUND(H6*I6+J6*K6,0)</f>
        <v>13258</v>
      </c>
      <c r="T6" s="3229"/>
    </row>
    <row r="7" spans="2:20" ht="27.75" customHeight="1">
      <c r="B7" s="3231"/>
      <c r="C7" s="3231" t="s">
        <v>3081</v>
      </c>
      <c r="D7" s="3231" t="s">
        <v>3082</v>
      </c>
      <c r="E7" s="3231" t="s">
        <v>3083</v>
      </c>
      <c r="G7" s="3223" t="s">
        <v>3077</v>
      </c>
      <c r="H7" s="3224">
        <f ca="1">[3]结果表!$C$20</f>
        <v>4558</v>
      </c>
      <c r="I7" s="3225">
        <v>0.3</v>
      </c>
      <c r="J7" s="3224">
        <f ca="1">[3]结果表!$D$20</f>
        <v>7411</v>
      </c>
      <c r="K7" s="3225">
        <v>0.5</v>
      </c>
      <c r="M7" s="3224">
        <f ca="1">'[3]收益还原法-商业'!$B$3</f>
        <v>4346</v>
      </c>
      <c r="N7" s="3225">
        <f>1-I7-K7</f>
        <v>0.19999999999999996</v>
      </c>
      <c r="O7" s="3224">
        <f ca="1">ROUND(H7*I7+J7*K7+M7*N7,0)</f>
        <v>5942</v>
      </c>
      <c r="T7" s="3219">
        <f>D8</f>
        <v>50371.5</v>
      </c>
    </row>
    <row r="8" spans="2:20" ht="26.25" customHeight="1">
      <c r="B8" s="3231" t="s">
        <v>3085</v>
      </c>
      <c r="C8" s="3231">
        <f ca="1">O6</f>
        <v>13258</v>
      </c>
      <c r="D8" s="3231">
        <f>'数据-基础表'!I17*0.3+'数据-基础表'!I20</f>
        <v>50371.5</v>
      </c>
      <c r="E8" s="3231">
        <f ca="1">ROUND(C8*D8/10000,2)</f>
        <v>66782.53</v>
      </c>
      <c r="G8" s="3223" t="s">
        <v>3078</v>
      </c>
      <c r="H8" s="3224">
        <f ca="1">[4]结果表!$C$20</f>
        <v>4655</v>
      </c>
      <c r="I8" s="3225">
        <v>0.3</v>
      </c>
      <c r="J8" s="3224">
        <f ca="1">[4]结果表!$D$20</f>
        <v>7352</v>
      </c>
      <c r="K8" s="3225">
        <v>0.5</v>
      </c>
      <c r="M8" s="3224">
        <f ca="1">'[4]收益还原法--办公'!$B$3</f>
        <v>3900</v>
      </c>
      <c r="N8" s="3225">
        <f>1-I8-K8</f>
        <v>0.19999999999999996</v>
      </c>
      <c r="O8" s="3224">
        <f ca="1">ROUND(H8*I8+J8*K8+M8*N8,0)</f>
        <v>5853</v>
      </c>
    </row>
    <row r="9" spans="2:20" customFormat="1" ht="26.25" customHeight="1">
      <c r="B9" s="3231" t="s">
        <v>3115</v>
      </c>
      <c r="C9" s="3231">
        <f ca="1">O5</f>
        <v>8234</v>
      </c>
      <c r="D9" s="3231">
        <f>'数据-取费表'!K6</f>
        <v>292155</v>
      </c>
      <c r="E9" s="3231">
        <f t="shared" ref="E9:E10" ca="1" si="0">ROUND(C9*D9/10000,2)</f>
        <v>240560.43</v>
      </c>
    </row>
    <row r="10" spans="2:20" ht="33" customHeight="1">
      <c r="B10" s="3231" t="s">
        <v>3087</v>
      </c>
      <c r="C10" s="3231">
        <f ca="1">O7</f>
        <v>5942</v>
      </c>
      <c r="D10" s="3231">
        <f>'数据-基础表'!I17*0.7+'数据-基础表'!I21</f>
        <v>61092.5</v>
      </c>
      <c r="E10" s="3231">
        <f t="shared" ca="1" si="0"/>
        <v>36301.160000000003</v>
      </c>
      <c r="G10" s="3219"/>
      <c r="H10" s="3219"/>
      <c r="I10" s="3219"/>
      <c r="J10" s="3219"/>
      <c r="K10" s="3219"/>
      <c r="M10" s="3219"/>
      <c r="O10" s="3219"/>
    </row>
    <row r="11" spans="2:20" ht="28.5" customHeight="1">
      <c r="B11" s="3231" t="s">
        <v>3089</v>
      </c>
      <c r="C11" s="3231">
        <f ca="1">O8</f>
        <v>5853</v>
      </c>
      <c r="D11" s="3231" t="s">
        <v>3088</v>
      </c>
      <c r="E11" s="3231" t="s">
        <v>3088</v>
      </c>
      <c r="G11" s="3220" t="s">
        <v>3079</v>
      </c>
      <c r="H11" s="3221" t="s">
        <v>3072</v>
      </c>
      <c r="I11" s="3221" t="s">
        <v>3073</v>
      </c>
      <c r="J11" s="3221" t="s">
        <v>3074</v>
      </c>
      <c r="K11" s="3221" t="s">
        <v>3073</v>
      </c>
      <c r="M11" s="3221" t="s">
        <v>3120</v>
      </c>
      <c r="N11" s="3221" t="s">
        <v>3073</v>
      </c>
      <c r="O11" s="3226" t="s">
        <v>3080</v>
      </c>
    </row>
    <row r="12" spans="2:20" ht="25.5" customHeight="1">
      <c r="B12" s="3231" t="s">
        <v>3090</v>
      </c>
      <c r="C12" s="3231" t="s">
        <v>3088</v>
      </c>
      <c r="D12" s="3231" t="s">
        <v>3088</v>
      </c>
      <c r="E12" s="3231">
        <f ca="1">SUM(E8:E11)</f>
        <v>343644.12</v>
      </c>
      <c r="G12" s="3223" t="s">
        <v>3111</v>
      </c>
      <c r="H12" s="3224">
        <f ca="1">结果表!C19</f>
        <v>156420</v>
      </c>
      <c r="I12" s="3225">
        <f>I5</f>
        <v>0.4</v>
      </c>
      <c r="J12" s="3224">
        <f ca="1">结果表!D19</f>
        <v>296658</v>
      </c>
      <c r="K12" s="3225">
        <f>K5</f>
        <v>0.6</v>
      </c>
      <c r="M12" s="3224" t="s">
        <v>3121</v>
      </c>
      <c r="N12" s="3225" t="s">
        <v>3121</v>
      </c>
      <c r="O12" s="3228">
        <f ca="1">E8</f>
        <v>66782.53</v>
      </c>
    </row>
    <row r="13" spans="2:20" ht="25.5" customHeight="1">
      <c r="G13" s="3223" t="s">
        <v>3108</v>
      </c>
      <c r="H13" s="3224">
        <f ca="1">[5]结果表!$C$19</f>
        <v>26969</v>
      </c>
      <c r="I13" s="3225">
        <f>I6</f>
        <v>0.4</v>
      </c>
      <c r="J13" s="3224">
        <f ca="1">[5]结果表!$D$19</f>
        <v>93323</v>
      </c>
      <c r="K13" s="3225">
        <f>K6</f>
        <v>0.6</v>
      </c>
      <c r="M13" s="3224" t="s">
        <v>3121</v>
      </c>
      <c r="N13" s="3225" t="s">
        <v>3121</v>
      </c>
      <c r="O13" s="3228">
        <f ca="1">ROUND(H13*I13+J13*K6,2)</f>
        <v>66781.399999999994</v>
      </c>
    </row>
    <row r="14" spans="2:20" ht="44.25" customHeight="1">
      <c r="B14" s="3231"/>
      <c r="C14" s="3231" t="s">
        <v>3081</v>
      </c>
      <c r="D14" s="3231" t="s">
        <v>3082</v>
      </c>
      <c r="E14" s="3231" t="s">
        <v>3083</v>
      </c>
      <c r="G14" s="3227" t="s">
        <v>3077</v>
      </c>
      <c r="H14" s="3224">
        <f ca="1">[3]结果表!$C$19</f>
        <v>27846</v>
      </c>
      <c r="I14" s="3225">
        <f>I7</f>
        <v>0.3</v>
      </c>
      <c r="J14" s="3224">
        <f ca="1">[3]结果表!$D$19</f>
        <v>45273</v>
      </c>
      <c r="K14" s="3225">
        <f>K7</f>
        <v>0.5</v>
      </c>
      <c r="M14" s="3224">
        <f ca="1">'[3]收益还原法-商业'!$B$2</f>
        <v>26553</v>
      </c>
      <c r="N14" s="3225">
        <f>N7</f>
        <v>0.19999999999999996</v>
      </c>
      <c r="O14" s="3228">
        <f ca="1">ROUND(H14*I14+J14*K14,2)</f>
        <v>30990.3</v>
      </c>
    </row>
    <row r="15" spans="2:20" ht="35.25" customHeight="1">
      <c r="B15" s="3231" t="s">
        <v>3126</v>
      </c>
      <c r="C15" s="3231">
        <f ca="1">ROUND(C8*0.25,0)</f>
        <v>3315</v>
      </c>
      <c r="D15" s="3231">
        <f>D8</f>
        <v>50371.5</v>
      </c>
      <c r="E15" s="3231">
        <f ca="1">ROUND(C15*D15/10000,2)</f>
        <v>16698.150000000001</v>
      </c>
      <c r="G15" s="3227" t="s">
        <v>3078</v>
      </c>
      <c r="H15" s="3224">
        <f>[6]结果表!$C$19</f>
        <v>134946</v>
      </c>
      <c r="I15" s="3225">
        <f>I8</f>
        <v>0.3</v>
      </c>
      <c r="J15" s="3224">
        <f>[6]结果表!$D$19</f>
        <v>275673</v>
      </c>
      <c r="K15" s="3225">
        <f>K14</f>
        <v>0.5</v>
      </c>
      <c r="M15" s="3224">
        <f ca="1">'[4]收益还原法--办公'!$B$2</f>
        <v>23824</v>
      </c>
      <c r="N15" s="3225">
        <f>N8</f>
        <v>0.19999999999999996</v>
      </c>
      <c r="O15" s="3228">
        <f>ROUND(H15*I15+J15*K15,2)</f>
        <v>178320.3</v>
      </c>
    </row>
    <row r="16" spans="2:20" ht="42.75" customHeight="1">
      <c r="B16" s="3231" t="s">
        <v>3114</v>
      </c>
      <c r="C16" s="3231">
        <f t="shared" ref="C16:C18" ca="1" si="1">ROUND(C9*0.25,0)</f>
        <v>2059</v>
      </c>
      <c r="D16" s="3231">
        <f t="shared" ref="D16:D17" si="2">D9</f>
        <v>292155</v>
      </c>
      <c r="E16" s="3231">
        <f t="shared" ref="E16:E17" ca="1" si="3">ROUND(C16*D16/10000,2)</f>
        <v>60154.71</v>
      </c>
      <c r="G16" s="3266"/>
      <c r="H16" s="3264"/>
      <c r="I16" s="3265"/>
      <c r="J16" s="3264"/>
      <c r="K16" s="3265"/>
      <c r="M16" s="3230"/>
      <c r="O16" s="3264"/>
    </row>
    <row r="17" spans="2:15" ht="28.5" customHeight="1">
      <c r="B17" s="3231" t="s">
        <v>3092</v>
      </c>
      <c r="C17" s="3231">
        <f t="shared" ca="1" si="1"/>
        <v>1486</v>
      </c>
      <c r="D17" s="3231">
        <f t="shared" si="2"/>
        <v>61092.5</v>
      </c>
      <c r="E17" s="3231">
        <f t="shared" ca="1" si="3"/>
        <v>9078.35</v>
      </c>
      <c r="G17" s="3219"/>
      <c r="H17" s="3219"/>
      <c r="I17" s="3219"/>
      <c r="J17" s="3219"/>
      <c r="K17" s="3219"/>
      <c r="M17" s="3219"/>
      <c r="O17" s="3219"/>
    </row>
    <row r="18" spans="2:15" ht="23.25" customHeight="1">
      <c r="B18" s="3231" t="s">
        <v>3093</v>
      </c>
      <c r="C18" s="3231">
        <f t="shared" ca="1" si="1"/>
        <v>1463</v>
      </c>
      <c r="D18" s="3231" t="s">
        <v>3088</v>
      </c>
      <c r="E18" s="3231" t="s">
        <v>3088</v>
      </c>
      <c r="G18" s="3219"/>
      <c r="H18" s="3219"/>
      <c r="I18" s="3219"/>
      <c r="J18" s="3219"/>
      <c r="K18" s="3219"/>
      <c r="M18" s="3219"/>
      <c r="O18" s="3219"/>
    </row>
    <row r="19" spans="2:15" ht="26.25" customHeight="1">
      <c r="B19" s="3231" t="s">
        <v>3094</v>
      </c>
      <c r="C19" s="3231" t="s">
        <v>3088</v>
      </c>
      <c r="D19" s="3231" t="s">
        <v>3088</v>
      </c>
      <c r="E19" s="3231">
        <f ca="1">SUM(E15:E18)</f>
        <v>85931.21</v>
      </c>
      <c r="G19" s="3232" t="s">
        <v>3084</v>
      </c>
      <c r="H19" s="3441" t="s">
        <v>3072</v>
      </c>
      <c r="I19" s="3442"/>
      <c r="J19" s="3441" t="s">
        <v>3074</v>
      </c>
      <c r="K19" s="3442"/>
      <c r="M19" s="3233"/>
      <c r="O19" s="3233" t="s">
        <v>3073</v>
      </c>
    </row>
    <row r="20" spans="2:15" ht="14.25">
      <c r="G20" s="3234" t="s">
        <v>3086</v>
      </c>
      <c r="H20" s="3235" t="s">
        <v>3079</v>
      </c>
      <c r="I20" s="3236" t="s">
        <v>3071</v>
      </c>
      <c r="J20" s="3235" t="s">
        <v>3079</v>
      </c>
      <c r="K20" s="3236" t="s">
        <v>3071</v>
      </c>
      <c r="M20" s="3233" t="s">
        <v>3079</v>
      </c>
      <c r="O20" s="3233" t="s">
        <v>3071</v>
      </c>
    </row>
    <row r="21" spans="2:15" ht="14.25">
      <c r="B21" s="3436" t="s">
        <v>3124</v>
      </c>
      <c r="C21" s="3437"/>
      <c r="D21" s="3437"/>
      <c r="E21" s="3437"/>
      <c r="G21" s="3237" t="s">
        <v>3109</v>
      </c>
      <c r="H21" s="3238">
        <f ca="1">ROUND(I21*D16/10000,2)</f>
        <v>39119.550000000003</v>
      </c>
      <c r="I21" s="3239">
        <f ca="1">ROUND(H5*0.25,0)</f>
        <v>1339</v>
      </c>
      <c r="J21" s="3238">
        <f ca="1">ROUND(K21*D16/10000,2)</f>
        <v>74178.149999999994</v>
      </c>
      <c r="K21" s="3239">
        <f ca="1">ROUND(J5*0.25,0)</f>
        <v>2539</v>
      </c>
      <c r="M21" s="3240">
        <f ca="1">ROUND(O21*T7/10000,2)</f>
        <v>10371.49</v>
      </c>
      <c r="O21" s="3239">
        <f ca="1">ROUND(I21*I5+K21*K5,0)</f>
        <v>2059</v>
      </c>
    </row>
    <row r="22" spans="2:15" ht="14.25">
      <c r="B22" s="3253"/>
      <c r="C22" s="3254"/>
      <c r="D22" s="3254"/>
      <c r="E22" s="3254"/>
      <c r="G22" s="3237" t="s">
        <v>3112</v>
      </c>
      <c r="H22" s="3238">
        <f ca="1">ROUND(I22*T7/10000,2)</f>
        <v>6744.74</v>
      </c>
      <c r="I22" s="3239">
        <f ca="1">ROUND(H6*0.25,0)</f>
        <v>1339</v>
      </c>
      <c r="J22" s="3238">
        <f ca="1">ROUND(K22*T7/10000,2)</f>
        <v>23332.080000000002</v>
      </c>
      <c r="K22" s="3239">
        <f ca="1">ROUND(J6*0.25,0)</f>
        <v>4632</v>
      </c>
      <c r="M22" s="3240">
        <f ca="1">ROUND(O22*T7/10000,2)</f>
        <v>16698.150000000001</v>
      </c>
      <c r="O22" s="3239">
        <f ca="1">ROUND(I22*I6+K22*K6,0)</f>
        <v>3315</v>
      </c>
    </row>
    <row r="23" spans="2:15">
      <c r="G23" s="3237" t="s">
        <v>3077</v>
      </c>
      <c r="H23" s="3238">
        <f ca="1">ROUND(I23*T7/10000,2)</f>
        <v>5742.35</v>
      </c>
      <c r="I23" s="3239">
        <f t="shared" ref="I23:I24" ca="1" si="4">ROUND(H7*0.25,0)</f>
        <v>1140</v>
      </c>
      <c r="J23" s="3238">
        <f ca="1">ROUND(K23*T7/10000,2)</f>
        <v>9333.84</v>
      </c>
      <c r="K23" s="3239">
        <f t="shared" ref="K23:K24" ca="1" si="5">ROUND(J7*0.25,0)</f>
        <v>1853</v>
      </c>
      <c r="M23" s="3240">
        <f ca="1">ROUND(O23*T7/10000,2)</f>
        <v>6392.14</v>
      </c>
      <c r="O23" s="3239">
        <f ca="1">ROUND(I23*I7+K23*K7,0)</f>
        <v>1269</v>
      </c>
    </row>
    <row r="24" spans="2:15" ht="22.5" customHeight="1">
      <c r="G24" s="3237" t="s">
        <v>3078</v>
      </c>
      <c r="H24" s="3238">
        <f ca="1">ROUND(I24*T7/10000,2)</f>
        <v>5863.24</v>
      </c>
      <c r="I24" s="3239">
        <f t="shared" ca="1" si="4"/>
        <v>1164</v>
      </c>
      <c r="J24" s="3238">
        <f ca="1">ROUND(K24*T7/10000,2)</f>
        <v>9258.2800000000007</v>
      </c>
      <c r="K24" s="3239">
        <f t="shared" ca="1" si="5"/>
        <v>1838</v>
      </c>
      <c r="M24" s="3240">
        <f ca="1">ROUND(O24*T7/10000,2)</f>
        <v>6387.11</v>
      </c>
      <c r="O24" s="3239">
        <f ca="1">ROUND(I24*I8+K24*K8,0)</f>
        <v>1268</v>
      </c>
    </row>
    <row r="25" spans="2:15">
      <c r="G25" s="3219"/>
      <c r="H25" s="3219"/>
      <c r="I25" s="3219"/>
      <c r="J25" s="3219"/>
      <c r="K25" s="3219"/>
      <c r="M25" s="3219"/>
      <c r="O25" s="3219"/>
    </row>
    <row r="26" spans="2:15">
      <c r="G26" s="3219"/>
      <c r="H26" s="3219"/>
      <c r="I26" s="3219"/>
      <c r="J26" s="3219"/>
      <c r="K26" s="3219"/>
      <c r="M26" s="3219"/>
      <c r="O26" s="3219"/>
    </row>
    <row r="27" spans="2:15" ht="14.25">
      <c r="G27" s="3241" t="s">
        <v>3084</v>
      </c>
      <c r="H27" s="3443" t="s">
        <v>3072</v>
      </c>
      <c r="I27" s="3444"/>
      <c r="J27" s="3443" t="s">
        <v>3074</v>
      </c>
      <c r="K27" s="3444"/>
      <c r="M27" s="3243" t="s">
        <v>3073</v>
      </c>
      <c r="O27" s="3242" t="s">
        <v>3073</v>
      </c>
    </row>
    <row r="28" spans="2:15" ht="22.5" customHeight="1">
      <c r="G28" s="3244" t="s">
        <v>3091</v>
      </c>
      <c r="H28" s="3245" t="s">
        <v>3079</v>
      </c>
      <c r="I28" s="3246" t="s">
        <v>3071</v>
      </c>
      <c r="J28" s="3245" t="s">
        <v>3079</v>
      </c>
      <c r="K28" s="3246" t="s">
        <v>3071</v>
      </c>
      <c r="M28" s="3242" t="s">
        <v>3071</v>
      </c>
      <c r="O28" s="3242" t="s">
        <v>3079</v>
      </c>
    </row>
    <row r="29" spans="2:15" ht="14.25">
      <c r="F29" s="3247"/>
      <c r="G29" s="3248" t="s">
        <v>3109</v>
      </c>
      <c r="H29" s="3249">
        <f ca="1">ROUND(H12*0.25,2)</f>
        <v>39105</v>
      </c>
      <c r="I29" s="3250">
        <f ca="1">ROUND(H29*10000/T7,0)</f>
        <v>7763</v>
      </c>
      <c r="J29" s="3249">
        <f ca="1">ROUND(J12*0.25,2)</f>
        <v>74164.5</v>
      </c>
      <c r="K29" s="3250">
        <f ca="1">ROUND(J29*10000/T7,0)</f>
        <v>14724</v>
      </c>
      <c r="M29" s="3250">
        <f ca="1">ROUND(O29*10000/T7,0)</f>
        <v>11939</v>
      </c>
      <c r="O29" s="3249">
        <f ca="1">ROUND(H29*I12+J29*K12,2)</f>
        <v>60140.7</v>
      </c>
    </row>
    <row r="30" spans="2:15" ht="14.25">
      <c r="F30" s="3263"/>
      <c r="G30" s="3248" t="s">
        <v>3108</v>
      </c>
      <c r="H30" s="3249">
        <f ca="1">ROUND(H13*0.25,2)</f>
        <v>6742.25</v>
      </c>
      <c r="I30" s="3250">
        <f ca="1">ROUND(H30*10000/T7,0)</f>
        <v>1339</v>
      </c>
      <c r="J30" s="3249">
        <f ca="1">ROUND(J13*0.25,2)</f>
        <v>23330.75</v>
      </c>
      <c r="K30" s="3250">
        <f ca="1">ROUND(J30*10000/T7,0)</f>
        <v>4632</v>
      </c>
      <c r="M30" s="3250">
        <f ca="1">ROUND(O30*10000/T7,0)</f>
        <v>3314</v>
      </c>
      <c r="O30" s="3249">
        <f ca="1">ROUND(H30*I13+J30*K13,2)</f>
        <v>16695.349999999999</v>
      </c>
    </row>
    <row r="31" spans="2:15">
      <c r="G31" s="3248" t="s">
        <v>3077</v>
      </c>
      <c r="H31" s="3249">
        <f ca="1">ROUND(H14*0.25,2)</f>
        <v>6961.5</v>
      </c>
      <c r="I31" s="3250">
        <f ca="1">ROUND(H31*10000/T7,0)</f>
        <v>1382</v>
      </c>
      <c r="J31" s="3249">
        <f ca="1">ROUND(J14*0.25,2)</f>
        <v>11318.25</v>
      </c>
      <c r="K31" s="3250">
        <f ca="1">ROUND(J31*10000/T7,0)</f>
        <v>2247</v>
      </c>
      <c r="M31" s="3250">
        <f ca="1">ROUND(O31*10000/T7,0)</f>
        <v>1538</v>
      </c>
      <c r="O31" s="3249">
        <f ca="1">ROUND(H31*I14+J31*K14,2)</f>
        <v>7747.58</v>
      </c>
    </row>
    <row r="32" spans="2:15">
      <c r="G32" s="3248" t="s">
        <v>3078</v>
      </c>
      <c r="H32" s="3249">
        <f>ROUND(H15*0.25,2)</f>
        <v>33736.5</v>
      </c>
      <c r="I32" s="3250">
        <f>ROUND(H32*10000/T7,0)</f>
        <v>6698</v>
      </c>
      <c r="J32" s="3249">
        <f>ROUND(J15*0.25,2)</f>
        <v>68918.25</v>
      </c>
      <c r="K32" s="3250">
        <f>ROUND(J32*10000/T7,0)</f>
        <v>13682</v>
      </c>
      <c r="M32" s="3250">
        <f>ROUND(O32*10000/T7,0)</f>
        <v>8850</v>
      </c>
      <c r="O32" s="3249">
        <f>ROUND(H32*I15+J32*K15,2)</f>
        <v>44580.08</v>
      </c>
    </row>
    <row r="33" spans="7:15">
      <c r="G33" s="3251"/>
      <c r="H33" s="3250" t="s">
        <v>3095</v>
      </c>
      <c r="I33" s="3250" t="s">
        <v>3096</v>
      </c>
      <c r="J33" s="3250" t="s">
        <v>3095</v>
      </c>
      <c r="K33" s="3250" t="s">
        <v>3096</v>
      </c>
      <c r="M33" s="3252" t="s">
        <v>3096</v>
      </c>
      <c r="O33" s="3252" t="s">
        <v>3095</v>
      </c>
    </row>
    <row r="34" spans="7:15" ht="33.75" customHeight="1"/>
    <row r="35" spans="7:15" ht="36" customHeight="1"/>
    <row r="38" spans="7:15" ht="23.25" customHeight="1"/>
    <row r="39" spans="7:15" ht="18.75" customHeight="1"/>
    <row r="40" spans="7:15" ht="21" customHeight="1"/>
  </sheetData>
  <mergeCells count="6">
    <mergeCell ref="B21:E21"/>
    <mergeCell ref="B5:E6"/>
    <mergeCell ref="H19:I19"/>
    <mergeCell ref="J19:K19"/>
    <mergeCell ref="H27:I27"/>
    <mergeCell ref="J27:K27"/>
  </mergeCells>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1895</v>
      </c>
      <c r="B36" s="1655" t="s">
        <v>1896</v>
      </c>
    </row>
    <row r="37" spans="1:9" ht="28.5" customHeight="1">
      <c r="A37" s="1655"/>
      <c r="B37" s="3271" t="str">
        <f>项目基本情况!B1</f>
        <v>北京市房山区邢家坞村出让国有建设用地使用权市场价格预评估</v>
      </c>
      <c r="C37" s="3271"/>
      <c r="D37" s="3271"/>
      <c r="E37" s="3271"/>
      <c r="F37" s="3271"/>
      <c r="G37" s="3271"/>
      <c r="H37" s="3271"/>
      <c r="I37" s="3271"/>
    </row>
    <row r="38" spans="1:9">
      <c r="A38" s="1657"/>
      <c r="B38" s="1657"/>
    </row>
    <row r="39" spans="1:9">
      <c r="A39" s="1655" t="s">
        <v>1895</v>
      </c>
      <c r="B39" s="1655" t="s">
        <v>2042</v>
      </c>
    </row>
    <row r="40" spans="1:9">
      <c r="A40" s="1655"/>
      <c r="B40" s="1655">
        <f>项目基本情况!B5</f>
        <v>0</v>
      </c>
    </row>
    <row r="41" spans="1:9">
      <c r="A41" s="1655"/>
      <c r="B41" s="1655"/>
    </row>
    <row r="42" spans="1:9">
      <c r="A42" s="1655" t="s">
        <v>1895</v>
      </c>
      <c r="B42" s="1655" t="s">
        <v>2043</v>
      </c>
    </row>
    <row r="43" spans="1:9">
      <c r="A43" s="1655"/>
      <c r="B43" s="1655" t="s">
        <v>1897</v>
      </c>
    </row>
    <row r="44" spans="1:9">
      <c r="A44" s="1655"/>
      <c r="B44" s="1655"/>
    </row>
    <row r="45" spans="1:9">
      <c r="A45" s="1655" t="s">
        <v>1895</v>
      </c>
      <c r="B45" s="1655" t="s">
        <v>2041</v>
      </c>
    </row>
    <row r="46" spans="1:9" s="1655" customFormat="1" ht="12.75">
      <c r="B46" s="1655" t="str">
        <f>项目基本情况!K4</f>
        <v>陈颖、叶凌</v>
      </c>
    </row>
    <row r="47" spans="1:9">
      <c r="A47" s="1655"/>
      <c r="B47" s="1655"/>
    </row>
    <row r="48" spans="1:9">
      <c r="A48" s="1655" t="s">
        <v>1895</v>
      </c>
      <c r="B48" s="1655" t="s">
        <v>2044</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25" sqref="H25"/>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11" t="s">
        <v>920</v>
      </c>
      <c r="C1" s="2106"/>
      <c r="D1" s="2106"/>
      <c r="E1" s="2106"/>
      <c r="F1" s="2106"/>
      <c r="G1" s="2106"/>
      <c r="H1" s="2106"/>
      <c r="I1" s="2106"/>
      <c r="J1" s="2106"/>
      <c r="K1" s="422">
        <f>MATCH(B1,'数据-取费表'!A6:A16,0)+5</f>
        <v>6</v>
      </c>
    </row>
    <row r="2" spans="1:31" s="2043" customFormat="1" ht="18" customHeight="1">
      <c r="A2" s="2103" t="s">
        <v>464</v>
      </c>
      <c r="B2" s="2107">
        <f ca="1">C36</f>
        <v>296658</v>
      </c>
      <c r="C2" s="2106"/>
      <c r="D2" s="2106"/>
      <c r="E2" s="2106"/>
      <c r="F2" s="2106"/>
      <c r="G2" s="2106"/>
      <c r="H2" s="2106"/>
      <c r="I2" s="2106"/>
      <c r="J2" s="2106"/>
      <c r="K2" s="2106"/>
    </row>
    <row r="3" spans="1:31" s="2043" customFormat="1" ht="18" customHeight="1">
      <c r="A3" s="2108" t="s">
        <v>1678</v>
      </c>
      <c r="B3" s="2109">
        <f ca="1">ROUND(B2*10000/IF(B1="",'数据-汇总表'!E3,INDIRECT("'数据-取费表'!K"&amp;$K$1)),0)</f>
        <v>10154</v>
      </c>
      <c r="C3" s="2106"/>
      <c r="D3" s="2106"/>
      <c r="E3" s="2106"/>
      <c r="F3" s="2106"/>
      <c r="G3" s="2106"/>
      <c r="H3" s="2106"/>
      <c r="I3" s="2106"/>
      <c r="J3" s="2106"/>
      <c r="K3" s="2106"/>
    </row>
    <row r="4" spans="1:31" s="2043" customFormat="1" ht="18" customHeight="1">
      <c r="A4" s="426" t="s">
        <v>465</v>
      </c>
      <c r="B4" s="427">
        <f ca="1">ROUND(B2*10000/IF(B1="",'数据-汇总表'!D3,INDIRECT("'数据-取费表'!R"&amp;$K$1)),0)</f>
        <v>23070</v>
      </c>
      <c r="C4" s="428"/>
      <c r="D4" s="422"/>
      <c r="E4" s="422"/>
      <c r="F4" s="422"/>
      <c r="G4" s="422"/>
      <c r="H4" s="422"/>
      <c r="I4" s="422"/>
      <c r="J4" s="422"/>
      <c r="K4" s="422"/>
    </row>
    <row r="5" spans="1:31" s="2043" customFormat="1" ht="18" customHeight="1" thickBot="1">
      <c r="A5" s="429"/>
      <c r="B5" s="430">
        <f ca="1">ROUND(B2/(IF(B1="",'数据-汇总表'!D3,INDIRECT("'数据-取费表'!R"&amp;$K$1))/666.67),0)</f>
        <v>1538</v>
      </c>
      <c r="C5" s="431" t="s">
        <v>466</v>
      </c>
      <c r="D5" s="422"/>
      <c r="E5" s="422"/>
      <c r="F5" s="422"/>
      <c r="G5" s="422"/>
      <c r="H5" s="422"/>
      <c r="I5" s="422"/>
      <c r="J5" s="422"/>
      <c r="K5" s="422"/>
    </row>
    <row r="6" spans="1:31" s="2113" customFormat="1" ht="16.5" customHeight="1">
      <c r="A6" s="2830" t="s">
        <v>1836</v>
      </c>
      <c r="B6" s="2831"/>
      <c r="C6" s="2832">
        <f>SUM(C10:K10)</f>
        <v>759603</v>
      </c>
      <c r="D6" s="2831"/>
      <c r="E6" s="2831"/>
      <c r="F6" s="2831"/>
      <c r="G6" s="2831"/>
      <c r="H6" s="2831"/>
      <c r="I6" s="2831"/>
      <c r="J6" s="2831"/>
      <c r="K6" s="2833"/>
    </row>
    <row r="7" spans="1:31" s="2115" customFormat="1" ht="15">
      <c r="A7" s="2834" t="s">
        <v>467</v>
      </c>
      <c r="B7" s="2835" t="s">
        <v>468</v>
      </c>
      <c r="C7" s="436" t="s">
        <v>920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1839</v>
      </c>
      <c r="B8" s="261" t="s">
        <v>469</v>
      </c>
      <c r="C8" s="2836">
        <f>建安取值!C9</f>
        <v>26000</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1840</v>
      </c>
      <c r="B9" s="261" t="s">
        <v>470</v>
      </c>
      <c r="C9" s="441">
        <f>SUMIF('数据-汇总表'!$C19:$C33,剩余法住宅!C7,'数据-汇总表'!$E19:$E33)</f>
        <v>292155</v>
      </c>
      <c r="D9" s="441">
        <f>SUMIF('数据-汇总表'!$C19:$C33,剩余法住宅!D7,'数据-汇总表'!$E19:$E33)</f>
        <v>0</v>
      </c>
      <c r="E9" s="441">
        <f>SUMIF('数据-汇总表'!$C19:$C33,剩余法住宅!E7,'数据-汇总表'!$E19:$E33)</f>
        <v>0</v>
      </c>
      <c r="F9" s="441">
        <f>SUMIF('数据-汇总表'!$C19:$C33,剩余法住宅!F7,'数据-汇总表'!$E19:$E33)</f>
        <v>0</v>
      </c>
      <c r="G9" s="441">
        <f>SUMIF('数据-汇总表'!$C19:$C33,剩余法住宅!G7,'数据-汇总表'!$E19:$E33)</f>
        <v>0</v>
      </c>
      <c r="H9" s="441">
        <f>SUMIF('数据-汇总表'!$C19:$C33,剩余法住宅!H7,'数据-汇总表'!$E19:$E33)</f>
        <v>0</v>
      </c>
      <c r="I9" s="441">
        <f>SUMIF('数据-汇总表'!$C19:$C33,剩余法住宅!I7,'数据-汇总表'!$E19:$E33)</f>
        <v>0</v>
      </c>
      <c r="J9" s="441">
        <f>SUMIF('数据-汇总表'!$C19:$C33,剩余法住宅!J7,'数据-汇总表'!$E19:$E33)</f>
        <v>0</v>
      </c>
      <c r="K9" s="442">
        <f>SUMIF('数据-汇总表'!$C19:$C33,剩余法住宅!K7,'数据-汇总表'!$E19:$E33)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1841</v>
      </c>
      <c r="B10" s="2824" t="s">
        <v>471</v>
      </c>
      <c r="C10" s="3031">
        <f>C8*C9/10000</f>
        <v>759603</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1837</v>
      </c>
      <c r="B11" s="2831"/>
      <c r="C11" s="2831"/>
      <c r="D11" s="2831"/>
      <c r="E11" s="2831"/>
      <c r="F11" s="2831"/>
      <c r="G11" s="2831"/>
      <c r="H11" s="2831"/>
      <c r="I11" s="2831"/>
      <c r="J11" s="2831"/>
      <c r="K11" s="2833"/>
    </row>
    <row r="12" spans="1:31" s="2087" customFormat="1" ht="13.5" customHeight="1">
      <c r="A12" s="2842" t="s">
        <v>467</v>
      </c>
      <c r="B12" s="2814" t="s">
        <v>468</v>
      </c>
      <c r="C12" s="2843" t="s">
        <v>472</v>
      </c>
      <c r="D12" s="2810" t="s">
        <v>473</v>
      </c>
      <c r="E12" s="2810" t="s">
        <v>474</v>
      </c>
      <c r="F12" s="2810" t="s">
        <v>475</v>
      </c>
      <c r="G12" s="2814"/>
      <c r="H12" s="2815"/>
      <c r="I12" s="2815"/>
      <c r="J12" s="2815"/>
      <c r="K12" s="2816"/>
    </row>
    <row r="13" spans="1:31" s="2118" customFormat="1" ht="13.5" customHeight="1">
      <c r="A13" s="2844" t="s">
        <v>1842</v>
      </c>
      <c r="B13" s="2845" t="s">
        <v>476</v>
      </c>
      <c r="C13" s="450">
        <f ca="1">IF(B1="",'数据-取费表'!P16,INDIRECT("'数据-取费表'!p"&amp;$K$1)+INDIRECT("'数据-取费表'!t"&amp;$K$1))</f>
        <v>146078</v>
      </c>
      <c r="D13" s="2846"/>
      <c r="E13" s="2847"/>
      <c r="F13" s="2848"/>
      <c r="G13" s="2814"/>
      <c r="H13" s="2815"/>
      <c r="I13" s="2815"/>
      <c r="J13" s="2815"/>
      <c r="K13" s="2816"/>
    </row>
    <row r="14" spans="1:31" s="2118" customFormat="1" ht="13.5" customHeight="1">
      <c r="A14" s="2844" t="s">
        <v>1843</v>
      </c>
      <c r="B14" s="2845" t="s">
        <v>477</v>
      </c>
      <c r="C14" s="53">
        <f ca="1">ROUND(C13*F14,0)</f>
        <v>4382</v>
      </c>
      <c r="D14" s="2846"/>
      <c r="E14" s="2847"/>
      <c r="F14" s="2849">
        <f>'数据-取费表'!B33</f>
        <v>0.03</v>
      </c>
      <c r="G14" s="2814" t="s">
        <v>478</v>
      </c>
      <c r="H14" s="2815"/>
      <c r="I14" s="2815"/>
      <c r="J14" s="2815"/>
      <c r="K14" s="2816"/>
    </row>
    <row r="15" spans="1:31" s="2118" customFormat="1" ht="13.5" customHeight="1">
      <c r="A15" s="2844" t="s">
        <v>1844</v>
      </c>
      <c r="B15" s="2845" t="s">
        <v>479</v>
      </c>
      <c r="C15" s="53">
        <f ca="1">ROUND(IF(B1="",SUMIF('数据-取费表'!C:C,"住宅",'数据-取费表'!P:P)*F15,IF(INDIRECT("'数据-取费表'!c"&amp;$K$1)="住宅",INDIRECT("'数据-取费表'!P"&amp;$K$1)*F15,0)),0)</f>
        <v>7304</v>
      </c>
      <c r="D15" s="2846"/>
      <c r="E15" s="2847"/>
      <c r="F15" s="2849">
        <f>'数据-取费表'!B34</f>
        <v>0.05</v>
      </c>
      <c r="G15" s="2814" t="s">
        <v>480</v>
      </c>
      <c r="H15" s="2815"/>
      <c r="I15" s="2815"/>
      <c r="J15" s="2815"/>
      <c r="K15" s="2816"/>
    </row>
    <row r="16" spans="1:31" s="2119" customFormat="1" ht="13.5" customHeight="1">
      <c r="A16" s="2844" t="s">
        <v>1845</v>
      </c>
      <c r="B16" s="2845" t="s">
        <v>481</v>
      </c>
      <c r="C16" s="53">
        <f ca="1">ROUND(D16*E16/10000,0)</f>
        <v>5843</v>
      </c>
      <c r="D16" s="2846">
        <f ca="1">IF(B1="",'数据-汇总表'!E3,INDIRECT("'数据-取费表'!K"&amp;$K$1)+INDIRECT("'数据-取费表'!S"&amp;$K$1))</f>
        <v>292155</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1846</v>
      </c>
      <c r="B17" s="2845" t="s">
        <v>482</v>
      </c>
      <c r="C17" s="2850">
        <f ca="1">ROUND(C13*F17,0)</f>
        <v>2191</v>
      </c>
      <c r="D17" s="475"/>
      <c r="E17" s="2850"/>
      <c r="F17" s="2851">
        <f>'数据-取费表'!B36</f>
        <v>1.4999999999999999E-2</v>
      </c>
      <c r="G17" s="261" t="s">
        <v>483</v>
      </c>
      <c r="H17" s="2817"/>
      <c r="I17" s="2817"/>
      <c r="J17" s="2817"/>
      <c r="K17" s="279"/>
    </row>
    <row r="18" spans="1:14" s="2118" customFormat="1" ht="13.5" customHeight="1">
      <c r="A18" s="2852" t="s">
        <v>1847</v>
      </c>
      <c r="B18" s="2853" t="s">
        <v>484</v>
      </c>
      <c r="C18" s="2854">
        <f ca="1">SUM(C13:C17)</f>
        <v>165798</v>
      </c>
      <c r="D18" s="2855"/>
      <c r="E18" s="468"/>
      <c r="F18" s="468"/>
      <c r="G18" s="2818" t="s">
        <v>2426</v>
      </c>
      <c r="H18" s="2819"/>
      <c r="I18" s="2819"/>
      <c r="J18" s="2819"/>
      <c r="K18" s="2820"/>
    </row>
    <row r="19" spans="1:14" s="2118" customFormat="1" ht="13.5" customHeight="1">
      <c r="A19" s="2852" t="s">
        <v>1848</v>
      </c>
      <c r="B19" s="2853" t="s">
        <v>485</v>
      </c>
      <c r="C19" s="2810">
        <f ca="1">ROUND(D19*E19/10000,0)</f>
        <v>0</v>
      </c>
      <c r="D19" s="2856">
        <f ca="1">D16</f>
        <v>292155</v>
      </c>
      <c r="E19" s="2810">
        <f>'数据-取费表'!B32</f>
        <v>0</v>
      </c>
      <c r="F19" s="468"/>
      <c r="G19" s="2814" t="s">
        <v>486</v>
      </c>
      <c r="H19" s="2815"/>
      <c r="I19" s="2819"/>
      <c r="J19" s="2819"/>
      <c r="K19" s="2820"/>
    </row>
    <row r="20" spans="1:14" s="2118" customFormat="1" ht="13.5" customHeight="1">
      <c r="A20" s="2852" t="s">
        <v>1849</v>
      </c>
      <c r="B20" s="2853" t="s">
        <v>487</v>
      </c>
      <c r="C20" s="2810">
        <f ca="1">C21+C22-IF(B1="",'数据-取费表'!B29,IF(G20="已全部缴纳",C21+C22,H20))</f>
        <v>0</v>
      </c>
      <c r="D20" s="2856"/>
      <c r="E20" s="2810"/>
      <c r="F20" s="2857"/>
      <c r="G20" s="3091" t="s">
        <v>3098</v>
      </c>
      <c r="H20" s="2812"/>
      <c r="I20" s="2813" t="s">
        <v>2647</v>
      </c>
      <c r="J20" s="2819"/>
      <c r="K20" s="2820"/>
    </row>
    <row r="21" spans="1:14" s="2118" customFormat="1" ht="13.5" customHeight="1">
      <c r="A21" s="2844" t="s">
        <v>1850</v>
      </c>
      <c r="B21" s="2845" t="s">
        <v>488</v>
      </c>
      <c r="C21" s="53">
        <f ca="1">ROUND(D21*E21/10000,0)</f>
        <v>4674</v>
      </c>
      <c r="D21" s="2846">
        <f ca="1">IF(B1="",'数据-汇总表'!E5,IF(INDIRECT("'数据-取费表'!c"&amp;$K$1)="住宅",INDIRECT("'数据-取费表'!k"&amp;$K$1),0))</f>
        <v>292155</v>
      </c>
      <c r="E21" s="53">
        <f>'数据-取费表'!B27</f>
        <v>160</v>
      </c>
      <c r="F21" s="2849"/>
      <c r="G21" s="26"/>
      <c r="H21" s="51"/>
      <c r="I21" s="51"/>
      <c r="J21" s="51"/>
      <c r="K21" s="2821"/>
    </row>
    <row r="22" spans="1:14" s="2118" customFormat="1" ht="13.5" customHeight="1">
      <c r="A22" s="2844" t="s">
        <v>1851</v>
      </c>
      <c r="B22" s="2845" t="s">
        <v>489</v>
      </c>
      <c r="C22" s="53">
        <f ca="1">ROUND(D22*E22/10000,0)</f>
        <v>0</v>
      </c>
      <c r="D22" s="2846">
        <f ca="1">IF(B1="",'数据-汇总表'!E6,IF(INDIRECT("'数据-取费表'!c"&amp;$K$1)="住宅",INDIRECT("'数据-取费表'!s"&amp;$K$1),INDIRECT("'数据-取费表'!k"&amp;$K$1)+INDIRECT("'数据-取费表'!s"&amp;$K$1)))</f>
        <v>0</v>
      </c>
      <c r="E22" s="53">
        <f>'数据-取费表'!B28</f>
        <v>200</v>
      </c>
      <c r="F22" s="2849"/>
      <c r="G22" s="26"/>
      <c r="H22" s="51"/>
      <c r="I22" s="51"/>
      <c r="J22" s="51"/>
      <c r="K22" s="2821"/>
    </row>
    <row r="23" spans="1:14" s="2118" customFormat="1" ht="13.5" customHeight="1">
      <c r="A23" s="2852" t="s">
        <v>1852</v>
      </c>
      <c r="B23" s="3037" t="s">
        <v>2829</v>
      </c>
      <c r="C23" s="2854">
        <f ca="1">ROUND((C18+C19+C20)*F23,0)</f>
        <v>3316</v>
      </c>
      <c r="D23" s="468"/>
      <c r="E23" s="468"/>
      <c r="F23" s="2858">
        <f>'数据-取费表'!B37</f>
        <v>0.02</v>
      </c>
      <c r="G23" s="2814" t="s">
        <v>2427</v>
      </c>
      <c r="H23" s="2815"/>
      <c r="I23" s="2815"/>
      <c r="J23" s="2815"/>
      <c r="K23" s="2816"/>
      <c r="L23" s="2120"/>
      <c r="M23" s="2120"/>
      <c r="N23" s="2120"/>
    </row>
    <row r="24" spans="1:14" s="2118" customFormat="1" ht="13.5" customHeight="1">
      <c r="A24" s="2852" t="s">
        <v>1853</v>
      </c>
      <c r="B24" s="3037" t="s">
        <v>2832</v>
      </c>
      <c r="C24" s="2854">
        <f>ROUND(C6*F24,0)</f>
        <v>15192</v>
      </c>
      <c r="D24" s="475"/>
      <c r="E24" s="473"/>
      <c r="F24" s="2858">
        <f>'数据-取费表'!B38</f>
        <v>0.02</v>
      </c>
      <c r="G24" s="2823" t="s">
        <v>496</v>
      </c>
      <c r="H24" s="2817"/>
      <c r="I24" s="2817"/>
      <c r="J24" s="2817"/>
      <c r="K24" s="279"/>
      <c r="L24" s="2120"/>
      <c r="M24" s="2120"/>
      <c r="N24" s="2120"/>
    </row>
    <row r="25" spans="1:14" s="2121" customFormat="1" ht="13.5" customHeight="1">
      <c r="A25" s="2852" t="s">
        <v>1854</v>
      </c>
      <c r="B25" s="3037" t="s">
        <v>2830</v>
      </c>
      <c r="C25" s="467">
        <f>ROUND(F25/(1+'数据-取费表'!C42),4)</f>
        <v>2.9000000000000001E-2</v>
      </c>
      <c r="D25" s="462" t="s">
        <v>2824</v>
      </c>
      <c r="E25" s="469"/>
      <c r="F25" s="2858">
        <f>'数据-取费表'!B48+'数据-取费表'!B49</f>
        <v>3.0499999999999999E-2</v>
      </c>
      <c r="G25" s="2822" t="s">
        <v>2285</v>
      </c>
      <c r="H25" s="2815"/>
      <c r="I25" s="2815"/>
      <c r="J25" s="2815"/>
      <c r="K25" s="2816"/>
    </row>
    <row r="26" spans="1:14" s="2120" customFormat="1" ht="13.5" customHeight="1">
      <c r="A26" s="2852" t="s">
        <v>1855</v>
      </c>
      <c r="B26" s="3038" t="s">
        <v>2831</v>
      </c>
      <c r="C26" s="2859">
        <f ca="1">C28</f>
        <v>13287</v>
      </c>
      <c r="D26" s="467">
        <f ca="1">C27</f>
        <v>0.1537</v>
      </c>
      <c r="E26" s="469" t="s">
        <v>492</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1850</v>
      </c>
      <c r="B27" s="2860" t="s">
        <v>493</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1851</v>
      </c>
      <c r="B28" s="2860" t="s">
        <v>2833</v>
      </c>
      <c r="C28" s="2862">
        <f ca="1">ROUND(IF('数据-取费表'!B22&lt;=1,(C18+C19+C20+C23+C24)*F26*'数据-取费表'!B24/2,(C18+C19+C20+C23+C24)*(POWER((1+F26),'数据-取费表'!B24/2)-1)),0)</f>
        <v>13287</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1856</v>
      </c>
      <c r="B29" s="2853" t="s">
        <v>494</v>
      </c>
      <c r="C29" s="2854">
        <f>ROUND(C6*F29/(1+'数据-取费表'!C42),0)</f>
        <v>39789</v>
      </c>
      <c r="D29" s="468"/>
      <c r="E29" s="468"/>
      <c r="F29" s="3039">
        <f>'数据-取费表'!B41</f>
        <v>5.5000000000000007E-2</v>
      </c>
      <c r="G29" s="2823" t="s">
        <v>495</v>
      </c>
      <c r="H29" s="2815"/>
      <c r="I29" s="2815"/>
      <c r="J29" s="2815"/>
      <c r="K29" s="2816"/>
    </row>
    <row r="30" spans="1:14" s="2123" customFormat="1" ht="13.5" customHeight="1">
      <c r="A30" s="1636" t="s">
        <v>1857</v>
      </c>
      <c r="B30" s="2864" t="s">
        <v>497</v>
      </c>
      <c r="C30" s="2859">
        <f ca="1">C31</f>
        <v>237382</v>
      </c>
      <c r="D30" s="477">
        <f ca="1">C32</f>
        <v>0.1827</v>
      </c>
      <c r="E30" s="469" t="s">
        <v>492</v>
      </c>
      <c r="F30" s="471"/>
      <c r="G30" s="2822" t="s">
        <v>2969</v>
      </c>
      <c r="H30" s="2815"/>
      <c r="I30" s="2815"/>
      <c r="J30" s="2815"/>
      <c r="K30" s="2816"/>
    </row>
    <row r="31" spans="1:14" s="2122" customFormat="1" ht="13.5" customHeight="1">
      <c r="A31" s="803" t="s">
        <v>1850</v>
      </c>
      <c r="B31" s="2860"/>
      <c r="C31" s="450">
        <f ca="1">C18+C19+C20+C23+C24+C26+C29</f>
        <v>237382</v>
      </c>
      <c r="D31" s="472"/>
      <c r="E31" s="473"/>
      <c r="F31" s="474"/>
      <c r="G31" s="261"/>
      <c r="H31" s="2817"/>
      <c r="I31" s="2817"/>
      <c r="J31" s="2817"/>
      <c r="K31" s="279"/>
    </row>
    <row r="32" spans="1:14" s="2122" customFormat="1" ht="13.5" customHeight="1">
      <c r="A32" s="803" t="s">
        <v>1851</v>
      </c>
      <c r="B32" s="2860"/>
      <c r="C32" s="53">
        <f ca="1">ROUND(C25+D26,4)</f>
        <v>0.1827</v>
      </c>
      <c r="D32" s="472"/>
      <c r="E32" s="473"/>
      <c r="F32" s="474"/>
      <c r="G32" s="261"/>
      <c r="H32" s="2817"/>
      <c r="I32" s="2817"/>
      <c r="J32" s="2817"/>
      <c r="K32" s="279"/>
    </row>
    <row r="33" spans="1:11" s="2124" customFormat="1" ht="13.5" customHeight="1">
      <c r="A33" s="3036" t="s">
        <v>2828</v>
      </c>
      <c r="B33" s="3034" t="s">
        <v>2826</v>
      </c>
      <c r="C33" s="478">
        <f ca="1">C35</f>
        <v>64507</v>
      </c>
      <c r="D33" s="467">
        <f ca="1">C34</f>
        <v>0.36020000000000002</v>
      </c>
      <c r="E33" s="469" t="s">
        <v>492</v>
      </c>
      <c r="F33" s="479">
        <f ca="1">IF(B1="",'数据-取费表'!Q16,INDIRECT("'数据-取费表'!q"&amp;$K$1))</f>
        <v>0.35</v>
      </c>
      <c r="G33" s="2818"/>
      <c r="H33" s="2819"/>
      <c r="I33" s="2819"/>
      <c r="J33" s="2819"/>
      <c r="K33" s="2820"/>
    </row>
    <row r="34" spans="1:11" s="2125" customFormat="1" ht="13.5" customHeight="1">
      <c r="A34" s="375" t="s">
        <v>1850</v>
      </c>
      <c r="B34" s="2865" t="s">
        <v>498</v>
      </c>
      <c r="C34" s="472">
        <f ca="1">ROUND((1+C25)*F33,4)</f>
        <v>0.36020000000000002</v>
      </c>
      <c r="D34" s="472"/>
      <c r="E34" s="473"/>
      <c r="F34" s="480"/>
      <c r="G34" s="261" t="s">
        <v>2286</v>
      </c>
      <c r="H34" s="2817"/>
      <c r="I34" s="2817"/>
      <c r="J34" s="2817"/>
      <c r="K34" s="279"/>
    </row>
    <row r="35" spans="1:11" s="2125" customFormat="1" ht="13.5" customHeight="1" thickBot="1">
      <c r="A35" s="1637" t="s">
        <v>1851</v>
      </c>
      <c r="B35" s="3035" t="s">
        <v>2834</v>
      </c>
      <c r="C35" s="1629">
        <f ca="1">ROUND((C18+C19+C20+C23+C24)*F33,0)</f>
        <v>64507</v>
      </c>
      <c r="D35" s="1630"/>
      <c r="E35" s="2866"/>
      <c r="F35" s="1631"/>
      <c r="G35" s="2824"/>
      <c r="H35" s="2825"/>
      <c r="I35" s="2825"/>
      <c r="J35" s="2825"/>
      <c r="K35" s="2826"/>
    </row>
    <row r="36" spans="1:11" s="2087" customFormat="1" ht="13.5" customHeight="1" thickBot="1">
      <c r="A36" s="284" t="s">
        <v>1838</v>
      </c>
      <c r="B36" s="2828"/>
      <c r="C36" s="2867">
        <f ca="1">ROUND((C6-C30-C33)*F36/(1+D30+D33),0)</f>
        <v>296658</v>
      </c>
      <c r="D36" s="2828"/>
      <c r="E36" s="3191" t="s">
        <v>2980</v>
      </c>
      <c r="F36" s="2828">
        <f ca="1">基准地价住宅!C20</f>
        <v>1</v>
      </c>
      <c r="G36" s="2827" t="s">
        <v>2835</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25" sqref="I2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11"/>
      <c r="C1" s="2106"/>
      <c r="D1" s="2106"/>
      <c r="E1" s="2106"/>
      <c r="F1" s="2106"/>
      <c r="G1" s="2106"/>
      <c r="H1" s="2106"/>
      <c r="I1" s="2106"/>
      <c r="J1" s="2106"/>
      <c r="K1" s="422">
        <f>MATCH(B1,'数据-取费表'!A6:A16,0)+5</f>
        <v>7</v>
      </c>
    </row>
    <row r="2" spans="1:41" s="2043" customFormat="1" ht="18" customHeight="1">
      <c r="A2" s="423" t="s">
        <v>464</v>
      </c>
      <c r="B2" s="424">
        <f ca="1">C33</f>
        <v>0</v>
      </c>
      <c r="C2" s="2106"/>
      <c r="D2" s="2106"/>
      <c r="E2" s="2106"/>
      <c r="F2" s="2106"/>
      <c r="G2" s="2106"/>
      <c r="H2" s="2106"/>
      <c r="I2" s="2106"/>
      <c r="J2" s="2106"/>
      <c r="K2" s="2106"/>
    </row>
    <row r="3" spans="1:41" s="2043" customFormat="1" ht="18" customHeight="1">
      <c r="A3" s="1380" t="s">
        <v>1678</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2648</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1839</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1840</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1841</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1858</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1842</v>
      </c>
      <c r="B13" s="449" t="s">
        <v>476</v>
      </c>
      <c r="C13" s="450">
        <f ca="1">IF(B1="",'数据-取费表'!M16,INDIRECT("'数据-取费表'!M"&amp;$K$1)+INDIRECT("'数据-取费表'!t"&amp;$K$1))</f>
        <v>146078</v>
      </c>
      <c r="D13" s="451"/>
      <c r="E13" s="365"/>
      <c r="F13" s="452"/>
      <c r="G13" s="444"/>
      <c r="H13" s="447"/>
      <c r="I13" s="447"/>
      <c r="J13" s="447"/>
      <c r="K13" s="448"/>
    </row>
    <row r="14" spans="1:41" s="2118" customFormat="1" ht="13.5" customHeight="1">
      <c r="A14" s="1634" t="s">
        <v>1843</v>
      </c>
      <c r="B14" s="449" t="s">
        <v>477</v>
      </c>
      <c r="C14" s="53">
        <f ca="1">ROUND(C13*F14,0)</f>
        <v>4382</v>
      </c>
      <c r="D14" s="451"/>
      <c r="E14" s="365"/>
      <c r="F14" s="453">
        <f>'数据-取费表'!B33</f>
        <v>0.03</v>
      </c>
      <c r="G14" s="444" t="s">
        <v>499</v>
      </c>
      <c r="H14" s="447"/>
      <c r="I14" s="447"/>
      <c r="J14" s="447"/>
      <c r="K14" s="448"/>
    </row>
    <row r="15" spans="1:41" s="2118" customFormat="1" ht="13.5" customHeight="1">
      <c r="A15" s="1634" t="s">
        <v>1844</v>
      </c>
      <c r="B15" s="449" t="s">
        <v>479</v>
      </c>
      <c r="C15" s="53">
        <f ca="1">ROUND(IF(B1="",SUMIF('数据-取费表'!C:C,"住宅",'数据-取费表'!M:M)*F15,IF(INDIRECT("'数据-取费表'!c"&amp;$K$1)="住宅",INDIRECT("'数据-取费表'!M"&amp;$K$1)*F15,0)),0)</f>
        <v>7304</v>
      </c>
      <c r="D15" s="451"/>
      <c r="E15" s="365"/>
      <c r="F15" s="453">
        <f>'数据-取费表'!B34</f>
        <v>0.05</v>
      </c>
      <c r="G15" s="444" t="s">
        <v>499</v>
      </c>
      <c r="H15" s="447"/>
      <c r="I15" s="447"/>
      <c r="J15" s="447"/>
      <c r="K15" s="448"/>
    </row>
    <row r="16" spans="1:41" s="2119" customFormat="1" ht="13.5" customHeight="1">
      <c r="A16" s="1634" t="s">
        <v>1845</v>
      </c>
      <c r="B16" s="449" t="s">
        <v>481</v>
      </c>
      <c r="C16" s="53">
        <f ca="1">ROUND(D16*E16/10000,0)</f>
        <v>5843</v>
      </c>
      <c r="D16" s="451">
        <f ca="1">IF(B1="",'数据-汇总表'!E3,INDIRECT("'数据-取费表'!K"&amp;$K$1)+INDIRECT("'数据-取费表'!S"&amp;$K$1))</f>
        <v>292155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1846</v>
      </c>
      <c r="B17" s="449" t="s">
        <v>482</v>
      </c>
      <c r="C17" s="454">
        <f ca="1">ROUND(C13*F17,0)</f>
        <v>2191</v>
      </c>
      <c r="D17" s="455"/>
      <c r="E17" s="454"/>
      <c r="F17" s="456">
        <f>'数据-取费表'!B36</f>
        <v>1.4999999999999999E-2</v>
      </c>
      <c r="G17" s="444" t="s">
        <v>499</v>
      </c>
      <c r="H17" s="457"/>
      <c r="I17" s="457"/>
      <c r="J17" s="457"/>
      <c r="K17" s="458"/>
    </row>
    <row r="18" spans="1:14" s="2121" customFormat="1" ht="13.5" customHeight="1">
      <c r="A18" s="1635" t="s">
        <v>1847</v>
      </c>
      <c r="B18" s="459" t="s">
        <v>484</v>
      </c>
      <c r="C18" s="460">
        <f ca="1">SUM(C13:C17)</f>
        <v>165798</v>
      </c>
      <c r="D18" s="461"/>
      <c r="E18" s="462"/>
      <c r="F18" s="462"/>
      <c r="G18" s="1327" t="s">
        <v>2428</v>
      </c>
      <c r="H18" s="447"/>
      <c r="I18" s="447"/>
      <c r="J18" s="447"/>
      <c r="K18" s="448"/>
    </row>
    <row r="19" spans="1:14" s="2121" customFormat="1" ht="13.5" customHeight="1">
      <c r="A19" s="1635" t="s">
        <v>1848</v>
      </c>
      <c r="B19" s="459" t="s">
        <v>490</v>
      </c>
      <c r="C19" s="460">
        <f ca="1">ROUND(C18*F19,0)</f>
        <v>3316</v>
      </c>
      <c r="D19" s="462"/>
      <c r="E19" s="462"/>
      <c r="F19" s="466">
        <f>'数据-取费表'!B37</f>
        <v>0.02</v>
      </c>
      <c r="G19" s="444" t="s">
        <v>500</v>
      </c>
      <c r="H19" s="447"/>
      <c r="I19" s="447"/>
      <c r="J19" s="447"/>
      <c r="K19" s="448"/>
      <c r="L19" s="2123"/>
      <c r="M19" s="2123"/>
      <c r="N19" s="2123"/>
    </row>
    <row r="20" spans="1:14" s="2121" customFormat="1" ht="13.5" customHeight="1">
      <c r="A20" s="1635" t="s">
        <v>1849</v>
      </c>
      <c r="B20" s="459" t="s">
        <v>501</v>
      </c>
      <c r="C20" s="3032">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1852</v>
      </c>
      <c r="B21" s="461" t="s">
        <v>491</v>
      </c>
      <c r="C21" s="470">
        <f ca="1">C22</f>
        <v>12191</v>
      </c>
      <c r="D21" s="467">
        <f ca="1">C23</f>
        <v>1.4E-3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2450</v>
      </c>
    </row>
    <row r="22" spans="1:14" s="2122" customFormat="1" ht="13.5" customHeight="1">
      <c r="A22" s="1634" t="s">
        <v>1842</v>
      </c>
      <c r="B22" s="1328" t="s">
        <v>2431</v>
      </c>
      <c r="C22" s="487">
        <f ca="1">ROUND(IF('数据-取费表'!B22&lt;=1,(C18+C19)*F21*'数据-取费表'!B20/2,(C18+C19)*(POWER((1+F21),'数据-取费表'!B20/2)-1)),0)</f>
        <v>12191</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1843</v>
      </c>
      <c r="B23" s="1328" t="s">
        <v>505</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1853</v>
      </c>
      <c r="B24" s="3034" t="s">
        <v>2827</v>
      </c>
      <c r="C24" s="478">
        <f ca="1">C25</f>
        <v>59190</v>
      </c>
      <c r="D24" s="489">
        <f ca="1">C26</f>
        <v>7.0000000000000001E-3</v>
      </c>
      <c r="E24" s="469" t="s">
        <v>504</v>
      </c>
      <c r="F24" s="479">
        <f ca="1">IF(B1="",'数据-取费表'!Q16,INDIRECT("'数据-取费表'!q"&amp;$K$1))</f>
        <v>0.35</v>
      </c>
      <c r="G24" s="444"/>
      <c r="H24" s="447"/>
      <c r="I24" s="447"/>
      <c r="J24" s="447"/>
      <c r="K24" s="448"/>
    </row>
    <row r="25" spans="1:14" s="2122" customFormat="1" ht="13.5" customHeight="1">
      <c r="A25" s="1634" t="s">
        <v>1842</v>
      </c>
      <c r="B25" s="1328" t="s">
        <v>2432</v>
      </c>
      <c r="C25" s="490">
        <f ca="1">ROUND((C18+C19)*F24,0)</f>
        <v>59190</v>
      </c>
      <c r="D25" s="472"/>
      <c r="E25" s="473"/>
      <c r="F25" s="480"/>
      <c r="G25" s="1326" t="s">
        <v>2429</v>
      </c>
      <c r="H25" s="457"/>
      <c r="I25" s="457"/>
      <c r="J25" s="457"/>
      <c r="K25" s="458"/>
    </row>
    <row r="26" spans="1:14" s="2122" customFormat="1" ht="13.5" customHeight="1">
      <c r="A26" s="1634" t="s">
        <v>1843</v>
      </c>
      <c r="B26" s="1328" t="s">
        <v>506</v>
      </c>
      <c r="C26" s="491">
        <f ca="1">ROUND(F20*F24,4)</f>
        <v>7.0000000000000001E-3</v>
      </c>
      <c r="D26" s="472"/>
      <c r="E26" s="481"/>
      <c r="F26" s="480"/>
      <c r="G26" s="1326" t="s">
        <v>507</v>
      </c>
      <c r="H26" s="457"/>
      <c r="I26" s="457"/>
      <c r="J26" s="457"/>
      <c r="K26" s="458"/>
    </row>
    <row r="27" spans="1:14" s="2122" customFormat="1" ht="13.5" customHeight="1">
      <c r="A27" s="1638" t="s">
        <v>1861</v>
      </c>
      <c r="B27" s="459" t="s">
        <v>508</v>
      </c>
      <c r="C27" s="3033">
        <f>ROUND(F27/(1+'数据-取费表'!C42),4)</f>
        <v>5.2400000000000002E-2</v>
      </c>
      <c r="D27" s="462" t="s">
        <v>2825</v>
      </c>
      <c r="E27" s="462"/>
      <c r="F27" s="466">
        <f>'数据-取费表'!B41</f>
        <v>5.5000000000000007E-2</v>
      </c>
      <c r="G27" s="1962" t="s">
        <v>2287</v>
      </c>
      <c r="H27" s="447"/>
      <c r="I27" s="447"/>
      <c r="J27" s="447"/>
      <c r="K27" s="448"/>
    </row>
    <row r="28" spans="1:14" s="2123" customFormat="1" ht="13.5" customHeight="1">
      <c r="A28" s="1638" t="s">
        <v>1862</v>
      </c>
      <c r="B28" s="476" t="s">
        <v>509</v>
      </c>
      <c r="C28" s="470">
        <f ca="1">ROUND((C18+C19+C21+C24)/(1-C20-D21-D24-C27),0)</f>
        <v>261635</v>
      </c>
      <c r="D28" s="477"/>
      <c r="E28" s="469"/>
      <c r="F28" s="471"/>
      <c r="G28" s="1327" t="s">
        <v>2430</v>
      </c>
      <c r="H28" s="447"/>
      <c r="I28" s="447"/>
      <c r="J28" s="447"/>
      <c r="K28" s="448"/>
    </row>
    <row r="29" spans="1:14" s="2123" customFormat="1" ht="13.5" customHeight="1">
      <c r="A29" s="1638" t="s">
        <v>1863</v>
      </c>
      <c r="B29" s="476" t="s">
        <v>510</v>
      </c>
      <c r="C29" s="492">
        <f ca="1">IF(B1="",'数据-取费表'!N16,INDIRECT("'数据-取费表'!N"&amp;$K$1))</f>
        <v>0</v>
      </c>
      <c r="D29" s="493"/>
      <c r="E29" s="494"/>
      <c r="F29" s="495"/>
      <c r="G29" s="444"/>
      <c r="H29" s="447"/>
      <c r="I29" s="447"/>
      <c r="J29" s="447"/>
      <c r="K29" s="448"/>
    </row>
    <row r="30" spans="1:14" s="2123" customFormat="1" ht="13.5" customHeight="1">
      <c r="A30" s="443">
        <v>2</v>
      </c>
      <c r="B30" s="476" t="s">
        <v>511</v>
      </c>
      <c r="C30" s="497">
        <f ca="1">ROUND(C28*C29,0)</f>
        <v>0</v>
      </c>
      <c r="D30" s="493"/>
      <c r="E30" s="498"/>
      <c r="F30" s="499"/>
      <c r="G30" s="1329" t="s">
        <v>512</v>
      </c>
      <c r="H30" s="496"/>
      <c r="I30" s="496"/>
      <c r="J30" s="447"/>
      <c r="K30" s="448"/>
    </row>
    <row r="31" spans="1:14" s="2128" customFormat="1" ht="13.5" customHeight="1">
      <c r="A31" s="2484" t="s">
        <v>1859</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1860</v>
      </c>
      <c r="B32" s="483"/>
      <c r="C32" s="484">
        <f ca="1">IF('数据-取费表'!B20&lt;=1,(C6-C30-C31)/(1+F21*'数据-取费表'!B20+F24)/(1+'数据-取费表'!B48+'数据-取费表'!B49),(C6-C30-C31)/(1+(POWER((1+F21),'数据-取费表'!B20)-1)+F24)/(1+'数据-取费表'!B48+'数据-取费表'!B49))</f>
        <v>0</v>
      </c>
      <c r="D32" s="483"/>
      <c r="E32" s="3192" t="s">
        <v>2981</v>
      </c>
      <c r="F32" s="483">
        <f ca="1">基准地价住宅!C20</f>
        <v>1</v>
      </c>
      <c r="G32" s="2485" t="s">
        <v>2970</v>
      </c>
      <c r="H32" s="483"/>
      <c r="I32" s="483"/>
      <c r="J32" s="483"/>
      <c r="K32" s="485"/>
    </row>
    <row r="33" spans="1:3">
      <c r="A33" s="2126" t="s">
        <v>2982</v>
      </c>
      <c r="C33" s="2127">
        <f ca="1">ROUND(C32*F32,0)</f>
        <v>0</v>
      </c>
    </row>
    <row r="34" spans="1:3"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1678</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454" t="s">
        <v>519</v>
      </c>
      <c r="D6" s="3455"/>
      <c r="E6" s="3454" t="s">
        <v>520</v>
      </c>
      <c r="F6" s="3455"/>
      <c r="G6" s="3454" t="s">
        <v>521</v>
      </c>
      <c r="H6" s="3455"/>
      <c r="I6" s="3454" t="s">
        <v>522</v>
      </c>
      <c r="J6" s="3455"/>
      <c r="K6" s="514" t="s">
        <v>523</v>
      </c>
      <c r="L6" s="2135"/>
      <c r="M6" s="2134"/>
      <c r="N6" s="2134"/>
      <c r="O6" s="2136"/>
      <c r="P6" s="3456" t="s">
        <v>524</v>
      </c>
      <c r="Q6" s="3457"/>
      <c r="R6" s="3462" t="s">
        <v>520</v>
      </c>
      <c r="S6" s="3463"/>
      <c r="T6" s="3462" t="s">
        <v>521</v>
      </c>
      <c r="U6" s="3463"/>
      <c r="V6" s="3449" t="s">
        <v>522</v>
      </c>
      <c r="W6" s="3449"/>
      <c r="X6" s="1568"/>
      <c r="Y6" s="3462" t="s">
        <v>524</v>
      </c>
      <c r="Z6" s="3463"/>
      <c r="AA6" s="3451" t="s">
        <v>520</v>
      </c>
      <c r="AB6" s="3452" t="s">
        <v>521</v>
      </c>
      <c r="AC6" s="3451" t="s">
        <v>522</v>
      </c>
    </row>
    <row r="7" spans="1:30" ht="20.25">
      <c r="A7" s="515"/>
      <c r="B7" s="516"/>
      <c r="C7" s="3470" t="s">
        <v>2925</v>
      </c>
      <c r="D7" s="3471"/>
      <c r="E7" s="3470" t="s">
        <v>2926</v>
      </c>
      <c r="F7" s="3471"/>
      <c r="G7" s="3470" t="s">
        <v>2927</v>
      </c>
      <c r="H7" s="3471"/>
      <c r="I7" s="3470" t="s">
        <v>2928</v>
      </c>
      <c r="J7" s="3471"/>
      <c r="K7" s="514"/>
      <c r="L7" s="2135"/>
      <c r="M7" s="2134"/>
      <c r="N7" s="2134"/>
      <c r="O7" s="2136"/>
      <c r="P7" s="3458"/>
      <c r="Q7" s="3459"/>
      <c r="R7" s="3464"/>
      <c r="S7" s="3465"/>
      <c r="T7" s="3464"/>
      <c r="U7" s="3465"/>
      <c r="V7" s="3449"/>
      <c r="W7" s="3449"/>
      <c r="X7" s="1568"/>
      <c r="Y7" s="3464"/>
      <c r="Z7" s="3465"/>
      <c r="AA7" s="3452"/>
      <c r="AB7" s="3452"/>
      <c r="AC7" s="3452"/>
    </row>
    <row r="8" spans="1:30" ht="21" thickBot="1">
      <c r="A8" s="515"/>
      <c r="B8" s="516"/>
      <c r="C8" s="3472" t="s">
        <v>2929</v>
      </c>
      <c r="D8" s="3473"/>
      <c r="E8" s="3472" t="s">
        <v>2929</v>
      </c>
      <c r="F8" s="3473"/>
      <c r="G8" s="3468" t="s">
        <v>2929</v>
      </c>
      <c r="H8" s="3469"/>
      <c r="I8" s="3468" t="s">
        <v>2929</v>
      </c>
      <c r="J8" s="3469"/>
      <c r="K8" s="514" t="s">
        <v>525</v>
      </c>
      <c r="L8" s="2135"/>
      <c r="M8" s="2134"/>
      <c r="N8" s="2134"/>
      <c r="O8" s="2136"/>
      <c r="P8" s="3460"/>
      <c r="Q8" s="3461"/>
      <c r="R8" s="3464"/>
      <c r="S8" s="3465"/>
      <c r="T8" s="3466"/>
      <c r="U8" s="3467"/>
      <c r="V8" s="3449"/>
      <c r="W8" s="3449"/>
      <c r="X8" s="1568"/>
      <c r="Y8" s="3466"/>
      <c r="Z8" s="3467"/>
      <c r="AA8" s="3453"/>
      <c r="AB8" s="3453"/>
      <c r="AC8" s="3453"/>
    </row>
    <row r="9" spans="1:30" s="1220" customFormat="1" ht="21" thickBot="1">
      <c r="A9" s="2914"/>
      <c r="B9" s="2921" t="s">
        <v>526</v>
      </c>
      <c r="C9" s="2913">
        <f>'数据-取费表'!B2</f>
        <v>43424</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79" t="s">
        <v>527</v>
      </c>
      <c r="Q9" s="3481"/>
      <c r="R9" s="1569" t="s">
        <v>8</v>
      </c>
      <c r="S9" s="1570">
        <f t="shared" ref="S9:S17" si="0">F9</f>
        <v>0</v>
      </c>
      <c r="T9" s="1569" t="s">
        <v>8</v>
      </c>
      <c r="U9" s="1570">
        <f t="shared" ref="U9:U17" si="1">H9</f>
        <v>0</v>
      </c>
      <c r="V9" s="1569" t="s">
        <v>8</v>
      </c>
      <c r="W9" s="1570">
        <f t="shared" ref="W9:W17" si="2">J9</f>
        <v>0</v>
      </c>
      <c r="X9" s="1571"/>
      <c r="Y9" s="3479" t="s">
        <v>527</v>
      </c>
      <c r="Z9" s="3480"/>
      <c r="AA9" s="1572" t="e">
        <f>D9/F9</f>
        <v>#DIV/0!</v>
      </c>
      <c r="AB9" s="1572" t="e">
        <f>D9/H9</f>
        <v>#DIV/0!</v>
      </c>
      <c r="AC9" s="1572" t="e">
        <f>D9/J9</f>
        <v>#DIV/0!</v>
      </c>
    </row>
    <row r="10" spans="1:30" s="1220" customFormat="1" ht="21" thickBot="1">
      <c r="A10" s="2915"/>
      <c r="B10" s="2922"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79" t="s">
        <v>530</v>
      </c>
      <c r="Q10" s="3480"/>
      <c r="R10" s="1569" t="s">
        <v>8</v>
      </c>
      <c r="S10" s="1570">
        <f t="shared" si="0"/>
        <v>0</v>
      </c>
      <c r="T10" s="1569" t="s">
        <v>8</v>
      </c>
      <c r="U10" s="1570">
        <f t="shared" si="1"/>
        <v>0</v>
      </c>
      <c r="V10" s="1569" t="s">
        <v>8</v>
      </c>
      <c r="W10" s="1570">
        <f t="shared" si="2"/>
        <v>0</v>
      </c>
      <c r="X10" s="1571"/>
      <c r="Y10" s="3479" t="s">
        <v>530</v>
      </c>
      <c r="Z10" s="3480"/>
      <c r="AA10" s="1572" t="e">
        <f t="shared" ref="AA10:AA47" si="3">D10/F10</f>
        <v>#DIV/0!</v>
      </c>
      <c r="AB10" s="1572" t="e">
        <f t="shared" ref="AB10:AB47" si="4">D10/H10</f>
        <v>#DIV/0!</v>
      </c>
      <c r="AC10" s="1572" t="e">
        <f t="shared" ref="AC10:AC47" si="5">D10/J10</f>
        <v>#DIV/0!</v>
      </c>
    </row>
    <row r="11" spans="1:30" s="1220" customFormat="1" ht="20.25">
      <c r="A11" s="2916"/>
      <c r="B11" s="2923" t="s">
        <v>2752</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48" t="s">
        <v>532</v>
      </c>
      <c r="Q11" s="1151" t="str">
        <f t="shared" ref="Q11:Q17" si="6">B11</f>
        <v>用途</v>
      </c>
      <c r="R11" s="1569" t="s">
        <v>8</v>
      </c>
      <c r="S11" s="1570">
        <f t="shared" si="0"/>
        <v>100</v>
      </c>
      <c r="T11" s="1569" t="s">
        <v>8</v>
      </c>
      <c r="U11" s="1570">
        <f t="shared" si="1"/>
        <v>100</v>
      </c>
      <c r="V11" s="1569" t="s">
        <v>8</v>
      </c>
      <c r="W11" s="1570">
        <f t="shared" si="2"/>
        <v>100</v>
      </c>
      <c r="X11" s="1571"/>
      <c r="Y11" s="3385" t="s">
        <v>533</v>
      </c>
      <c r="Z11" s="1150" t="str">
        <f t="shared" ref="Z11:Z17" si="7">Q11</f>
        <v>用途</v>
      </c>
      <c r="AA11" s="1572">
        <f t="shared" si="3"/>
        <v>1</v>
      </c>
      <c r="AB11" s="1572">
        <f t="shared" si="4"/>
        <v>1</v>
      </c>
      <c r="AC11" s="1572">
        <f t="shared" si="5"/>
        <v>1</v>
      </c>
    </row>
    <row r="12" spans="1:30" s="1338" customFormat="1" ht="27">
      <c r="A12" s="2917"/>
      <c r="B12" s="2922" t="s">
        <v>2753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48"/>
      <c r="Q12" s="1151" t="str">
        <f t="shared" si="6"/>
        <v>土地使用年限（年）</v>
      </c>
      <c r="R12" s="1569" t="s">
        <v>8</v>
      </c>
      <c r="S12" s="1570">
        <f t="shared" si="0"/>
        <v>100</v>
      </c>
      <c r="T12" s="1569" t="s">
        <v>8</v>
      </c>
      <c r="U12" s="1570">
        <f t="shared" si="1"/>
        <v>100</v>
      </c>
      <c r="V12" s="1569" t="s">
        <v>8</v>
      </c>
      <c r="W12" s="1570">
        <f t="shared" si="2"/>
        <v>100</v>
      </c>
      <c r="X12" s="1571"/>
      <c r="Y12" s="3385"/>
      <c r="Z12" s="1150" t="str">
        <f t="shared" si="7"/>
        <v>土地使用年限（年）</v>
      </c>
      <c r="AA12" s="1572">
        <f t="shared" si="3"/>
        <v>1</v>
      </c>
      <c r="AB12" s="1572">
        <f t="shared" si="4"/>
        <v>1</v>
      </c>
      <c r="AC12" s="1572">
        <f t="shared" si="5"/>
        <v>1</v>
      </c>
    </row>
    <row r="13" spans="1:30" ht="20.25">
      <c r="A13" s="2918"/>
      <c r="B13" s="2922"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48"/>
      <c r="Q13" s="1151" t="str">
        <f t="shared" si="6"/>
        <v>容积率</v>
      </c>
      <c r="R13" s="1569" t="s">
        <v>8</v>
      </c>
      <c r="S13" s="1570" t="e">
        <f t="shared" si="0"/>
        <v>#N/A</v>
      </c>
      <c r="T13" s="1569" t="s">
        <v>8</v>
      </c>
      <c r="U13" s="1570" t="e">
        <f t="shared" si="1"/>
        <v>#N/A</v>
      </c>
      <c r="V13" s="1569" t="s">
        <v>8</v>
      </c>
      <c r="W13" s="1570" t="e">
        <f t="shared" si="2"/>
        <v>#N/A</v>
      </c>
      <c r="X13" s="1571"/>
      <c r="Y13" s="3385"/>
      <c r="Z13" s="1150" t="str">
        <f t="shared" si="7"/>
        <v>容积率</v>
      </c>
      <c r="AA13" s="1572" t="e">
        <f t="shared" si="3"/>
        <v>#N/A</v>
      </c>
      <c r="AB13" s="1572" t="e">
        <f t="shared" si="4"/>
        <v>#N/A</v>
      </c>
      <c r="AC13" s="1572" t="e">
        <f t="shared" si="5"/>
        <v>#N/A</v>
      </c>
    </row>
    <row r="14" spans="1:30" s="1220" customFormat="1" ht="20.25">
      <c r="A14" s="2915"/>
      <c r="B14" s="2924" t="s">
        <v>2755</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48"/>
      <c r="Q14" s="1151" t="str">
        <f t="shared" si="6"/>
        <v>配建</v>
      </c>
      <c r="R14" s="1569" t="s">
        <v>8</v>
      </c>
      <c r="S14" s="1570">
        <f t="shared" si="0"/>
        <v>100</v>
      </c>
      <c r="T14" s="1569" t="s">
        <v>8</v>
      </c>
      <c r="U14" s="1570">
        <f t="shared" si="1"/>
        <v>100</v>
      </c>
      <c r="V14" s="1569" t="s">
        <v>8</v>
      </c>
      <c r="W14" s="1570">
        <f t="shared" si="2"/>
        <v>100</v>
      </c>
      <c r="X14" s="1571"/>
      <c r="Y14" s="3385"/>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48"/>
      <c r="Q15" s="1151">
        <f t="shared" si="6"/>
        <v>111</v>
      </c>
      <c r="R15" s="1569" t="s">
        <v>8</v>
      </c>
      <c r="S15" s="1570">
        <f t="shared" si="0"/>
        <v>100</v>
      </c>
      <c r="T15" s="1569" t="s">
        <v>8</v>
      </c>
      <c r="U15" s="1570">
        <f t="shared" si="1"/>
        <v>100</v>
      </c>
      <c r="V15" s="1569" t="s">
        <v>8</v>
      </c>
      <c r="W15" s="1570">
        <f t="shared" si="2"/>
        <v>100</v>
      </c>
      <c r="X15" s="1571"/>
      <c r="Y15" s="3385"/>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48"/>
      <c r="Q16" s="1151">
        <f t="shared" si="6"/>
        <v>111</v>
      </c>
      <c r="R16" s="1569" t="s">
        <v>8</v>
      </c>
      <c r="S16" s="1570">
        <f t="shared" si="0"/>
        <v>100</v>
      </c>
      <c r="T16" s="1569" t="s">
        <v>8</v>
      </c>
      <c r="U16" s="1570">
        <f t="shared" si="1"/>
        <v>100</v>
      </c>
      <c r="V16" s="1569" t="s">
        <v>8</v>
      </c>
      <c r="W16" s="1570">
        <f t="shared" si="2"/>
        <v>100</v>
      </c>
      <c r="X16" s="1571"/>
      <c r="Y16" s="3385"/>
      <c r="Z16" s="1150">
        <f t="shared" si="7"/>
        <v>111</v>
      </c>
      <c r="AA16" s="1572">
        <f>D16/F16</f>
        <v>1</v>
      </c>
      <c r="AB16" s="1572">
        <f>D16/H16</f>
        <v>1</v>
      </c>
      <c r="AC16" s="1572">
        <f>D16/J16</f>
        <v>1</v>
      </c>
    </row>
    <row r="17" spans="1:29" ht="99.75">
      <c r="A17" s="2912" t="s">
        <v>2750</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82" t="s">
        <v>537</v>
      </c>
      <c r="Q17" s="1573" t="str">
        <f t="shared" si="6"/>
        <v>居住社区成熟度</v>
      </c>
      <c r="R17" s="1574" t="s">
        <v>8</v>
      </c>
      <c r="S17" s="1575">
        <f t="shared" si="0"/>
        <v>100</v>
      </c>
      <c r="T17" s="1574" t="s">
        <v>8</v>
      </c>
      <c r="U17" s="1575">
        <f t="shared" si="1"/>
        <v>100</v>
      </c>
      <c r="V17" s="1574" t="s">
        <v>8</v>
      </c>
      <c r="W17" s="1575">
        <f t="shared" si="2"/>
        <v>100</v>
      </c>
      <c r="X17" s="1568"/>
      <c r="Y17" s="3482" t="s">
        <v>537</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83"/>
      <c r="Q18" s="1573"/>
      <c r="R18" s="1574"/>
      <c r="S18" s="1575"/>
      <c r="T18" s="1574"/>
      <c r="U18" s="1575"/>
      <c r="V18" s="1574"/>
      <c r="W18" s="1575"/>
      <c r="X18" s="1568"/>
      <c r="Y18" s="3483"/>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83"/>
      <c r="Q19" s="1573" t="str">
        <f>B19</f>
        <v>商业繁华度</v>
      </c>
      <c r="R19" s="1574" t="s">
        <v>8</v>
      </c>
      <c r="S19" s="1575">
        <f>F19</f>
        <v>100</v>
      </c>
      <c r="T19" s="1574" t="s">
        <v>8</v>
      </c>
      <c r="U19" s="1575">
        <f>H19</f>
        <v>100</v>
      </c>
      <c r="V19" s="1574" t="s">
        <v>8</v>
      </c>
      <c r="W19" s="1575">
        <f>J19</f>
        <v>100</v>
      </c>
      <c r="X19" s="1568"/>
      <c r="Y19" s="3483"/>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83"/>
      <c r="Q20" s="1573"/>
      <c r="R20" s="1574"/>
      <c r="S20" s="1575"/>
      <c r="T20" s="1574"/>
      <c r="U20" s="1575"/>
      <c r="V20" s="1574"/>
      <c r="W20" s="1575"/>
      <c r="X20" s="1568"/>
      <c r="Y20" s="3483"/>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83"/>
      <c r="Q21" s="1573" t="str">
        <f>B21</f>
        <v>办公集聚程度</v>
      </c>
      <c r="R21" s="1574" t="s">
        <v>8</v>
      </c>
      <c r="S21" s="1575">
        <f>F21</f>
        <v>100</v>
      </c>
      <c r="T21" s="1574" t="s">
        <v>8</v>
      </c>
      <c r="U21" s="1575">
        <f>H21</f>
        <v>100</v>
      </c>
      <c r="V21" s="1574" t="s">
        <v>8</v>
      </c>
      <c r="W21" s="1575">
        <f>J21</f>
        <v>100</v>
      </c>
      <c r="X21" s="1568"/>
      <c r="Y21" s="348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83"/>
      <c r="Q22" s="1573"/>
      <c r="R22" s="1574"/>
      <c r="S22" s="1575"/>
      <c r="T22" s="1574"/>
      <c r="U22" s="1575"/>
      <c r="V22" s="1574"/>
      <c r="W22" s="1575"/>
      <c r="X22" s="1568"/>
      <c r="Y22" s="3483"/>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83"/>
      <c r="Q23" s="1573" t="str">
        <f>B23</f>
        <v>交通便捷度</v>
      </c>
      <c r="R23" s="1574" t="s">
        <v>8</v>
      </c>
      <c r="S23" s="1575">
        <f>F23</f>
        <v>100</v>
      </c>
      <c r="T23" s="1574" t="s">
        <v>8</v>
      </c>
      <c r="U23" s="1575">
        <f>H23</f>
        <v>100</v>
      </c>
      <c r="V23" s="1574" t="s">
        <v>8</v>
      </c>
      <c r="W23" s="1575">
        <f>J23</f>
        <v>100</v>
      </c>
      <c r="X23" s="1568"/>
      <c r="Y23" s="3483"/>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83"/>
      <c r="Q24" s="1573"/>
      <c r="R24" s="1574"/>
      <c r="S24" s="1575"/>
      <c r="T24" s="1574"/>
      <c r="U24" s="1575"/>
      <c r="V24" s="1574"/>
      <c r="W24" s="1575"/>
      <c r="X24" s="1568"/>
      <c r="Y24" s="3483"/>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83"/>
      <c r="Q25" s="1573" t="str">
        <f t="shared" ref="Q25:Q39" si="8">B25</f>
        <v>区域土地利用方向</v>
      </c>
      <c r="R25" s="1574" t="s">
        <v>8</v>
      </c>
      <c r="S25" s="1575">
        <f>F25</f>
        <v>100</v>
      </c>
      <c r="T25" s="1574" t="s">
        <v>8</v>
      </c>
      <c r="U25" s="1575">
        <f>H25</f>
        <v>100</v>
      </c>
      <c r="V25" s="1574" t="s">
        <v>8</v>
      </c>
      <c r="W25" s="1575">
        <f>J25</f>
        <v>100</v>
      </c>
      <c r="X25" s="1568"/>
      <c r="Y25" s="3483"/>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83"/>
      <c r="Q26" s="1573"/>
      <c r="R26" s="1574"/>
      <c r="S26" s="1575"/>
      <c r="T26" s="1574"/>
      <c r="U26" s="1575"/>
      <c r="V26" s="1574"/>
      <c r="W26" s="1575"/>
      <c r="X26" s="1568"/>
      <c r="Y26" s="3483"/>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83"/>
      <c r="Q27" s="1573" t="str">
        <f t="shared" si="8"/>
        <v>自然及人文环境状况</v>
      </c>
      <c r="R27" s="1574" t="s">
        <v>8</v>
      </c>
      <c r="S27" s="1575">
        <f>F27</f>
        <v>100</v>
      </c>
      <c r="T27" s="1574" t="s">
        <v>8</v>
      </c>
      <c r="U27" s="1575">
        <f>H27</f>
        <v>100</v>
      </c>
      <c r="V27" s="1574" t="s">
        <v>8</v>
      </c>
      <c r="W27" s="1575">
        <f>J27</f>
        <v>100</v>
      </c>
      <c r="X27" s="1568"/>
      <c r="Y27" s="3483"/>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83"/>
      <c r="Q28" s="1573"/>
      <c r="R28" s="1574"/>
      <c r="S28" s="1575"/>
      <c r="T28" s="1574"/>
      <c r="U28" s="1575"/>
      <c r="V28" s="1574"/>
      <c r="W28" s="1575"/>
      <c r="X28" s="1568"/>
      <c r="Y28" s="3483"/>
      <c r="Z28" s="1576"/>
      <c r="AA28" s="1577">
        <v>1</v>
      </c>
      <c r="AB28" s="1577">
        <v>1</v>
      </c>
      <c r="AC28" s="1577">
        <v>1</v>
      </c>
    </row>
    <row r="29" spans="1:29" s="1220" customFormat="1" ht="42.75">
      <c r="A29" s="577"/>
      <c r="B29" s="2593"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83"/>
      <c r="Q29" s="1151" t="str">
        <f t="shared" si="8"/>
        <v>公共配套设施</v>
      </c>
      <c r="R29" s="1569" t="s">
        <v>8</v>
      </c>
      <c r="S29" s="1570">
        <f>F29</f>
        <v>100</v>
      </c>
      <c r="T29" s="1569" t="s">
        <v>8</v>
      </c>
      <c r="U29" s="1570">
        <f>H29</f>
        <v>100</v>
      </c>
      <c r="V29" s="1569" t="s">
        <v>8</v>
      </c>
      <c r="W29" s="1570">
        <f>J29</f>
        <v>100</v>
      </c>
      <c r="X29" s="1571"/>
      <c r="Y29" s="3483"/>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83"/>
      <c r="Q30" s="1151"/>
      <c r="R30" s="1569"/>
      <c r="S30" s="1570"/>
      <c r="T30" s="1569"/>
      <c r="U30" s="1570"/>
      <c r="V30" s="1569"/>
      <c r="W30" s="1570"/>
      <c r="X30" s="1571"/>
      <c r="Y30" s="3483"/>
      <c r="Z30" s="1150"/>
      <c r="AA30" s="1577">
        <v>1</v>
      </c>
      <c r="AB30" s="1577">
        <v>1</v>
      </c>
      <c r="AC30" s="1577">
        <v>1</v>
      </c>
    </row>
    <row r="31" spans="1:29" s="1220" customFormat="1" ht="28.5">
      <c r="A31" s="577"/>
      <c r="B31" s="2593"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83"/>
      <c r="Q31" s="2580" t="str">
        <f t="shared" ref="Q31" si="9">B31</f>
        <v>基础设施水平</v>
      </c>
      <c r="R31" s="1569" t="s">
        <v>8</v>
      </c>
      <c r="S31" s="1570">
        <f>F31</f>
        <v>100</v>
      </c>
      <c r="T31" s="1569" t="s">
        <v>8</v>
      </c>
      <c r="U31" s="1570">
        <f>H31</f>
        <v>100</v>
      </c>
      <c r="V31" s="1569" t="s">
        <v>8</v>
      </c>
      <c r="W31" s="1570">
        <f>J31</f>
        <v>100</v>
      </c>
      <c r="X31" s="1571"/>
      <c r="Y31" s="3483"/>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83"/>
      <c r="Q32" s="2580"/>
      <c r="R32" s="1569"/>
      <c r="S32" s="1570"/>
      <c r="T32" s="1569"/>
      <c r="U32" s="1570"/>
      <c r="V32" s="1569"/>
      <c r="W32" s="1570"/>
      <c r="X32" s="1571"/>
      <c r="Y32" s="3483"/>
      <c r="Z32" s="2577"/>
      <c r="AA32" s="1577">
        <v>1</v>
      </c>
      <c r="AB32" s="1577">
        <v>1</v>
      </c>
      <c r="AC32" s="1577">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8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83"/>
      <c r="Z33" s="1576" t="str">
        <f t="shared" ref="Z33:Z47" si="13">Q33</f>
        <v>临街状况</v>
      </c>
      <c r="AA33" s="1577">
        <f t="shared" si="3"/>
        <v>1</v>
      </c>
      <c r="AB33" s="1577">
        <f t="shared" si="4"/>
        <v>1</v>
      </c>
      <c r="AC33" s="1577">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83"/>
      <c r="Q34" s="1573" t="str">
        <f t="shared" si="8"/>
        <v>毗邻道路的类型与等级</v>
      </c>
      <c r="R34" s="1574" t="s">
        <v>8</v>
      </c>
      <c r="S34" s="1575">
        <f t="shared" si="10"/>
        <v>100</v>
      </c>
      <c r="T34" s="1574" t="s">
        <v>8</v>
      </c>
      <c r="U34" s="1575">
        <f t="shared" si="11"/>
        <v>100</v>
      </c>
      <c r="V34" s="1574" t="s">
        <v>8</v>
      </c>
      <c r="W34" s="1575">
        <f t="shared" si="12"/>
        <v>100</v>
      </c>
      <c r="X34" s="1568"/>
      <c r="Y34" s="3483"/>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83"/>
      <c r="Q35" s="1573"/>
      <c r="R35" s="1574"/>
      <c r="S35" s="1575"/>
      <c r="T35" s="1574"/>
      <c r="U35" s="1575"/>
      <c r="V35" s="1574"/>
      <c r="W35" s="1575"/>
      <c r="X35" s="1568"/>
      <c r="Y35" s="3483"/>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83"/>
      <c r="Q36" s="1573" t="str">
        <f t="shared" si="8"/>
        <v>土地级别</v>
      </c>
      <c r="R36" s="1574" t="s">
        <v>8</v>
      </c>
      <c r="S36" s="1575">
        <f t="shared" si="10"/>
        <v>100</v>
      </c>
      <c r="T36" s="1574" t="s">
        <v>8</v>
      </c>
      <c r="U36" s="1575">
        <f t="shared" si="11"/>
        <v>100</v>
      </c>
      <c r="V36" s="1574" t="s">
        <v>8</v>
      </c>
      <c r="W36" s="1575">
        <f t="shared" si="12"/>
        <v>100</v>
      </c>
      <c r="X36" s="1568"/>
      <c r="Y36" s="348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83"/>
      <c r="Q37" s="1573">
        <f t="shared" si="8"/>
        <v>111</v>
      </c>
      <c r="R37" s="1574" t="s">
        <v>8</v>
      </c>
      <c r="S37" s="1575">
        <f t="shared" si="10"/>
        <v>100</v>
      </c>
      <c r="T37" s="1574" t="s">
        <v>8</v>
      </c>
      <c r="U37" s="1575">
        <f t="shared" si="11"/>
        <v>100</v>
      </c>
      <c r="V37" s="1574" t="s">
        <v>8</v>
      </c>
      <c r="W37" s="1575">
        <f t="shared" si="12"/>
        <v>100</v>
      </c>
      <c r="X37" s="1568"/>
      <c r="Y37" s="348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84" t="s">
        <v>547</v>
      </c>
      <c r="Q38" s="1573">
        <f t="shared" si="8"/>
        <v>111</v>
      </c>
      <c r="R38" s="1574" t="s">
        <v>8</v>
      </c>
      <c r="S38" s="1575">
        <f t="shared" si="10"/>
        <v>100</v>
      </c>
      <c r="T38" s="1574" t="s">
        <v>8</v>
      </c>
      <c r="U38" s="1575">
        <f t="shared" si="11"/>
        <v>100</v>
      </c>
      <c r="V38" s="1574" t="s">
        <v>8</v>
      </c>
      <c r="W38" s="1575">
        <f t="shared" si="12"/>
        <v>100</v>
      </c>
      <c r="X38" s="1568"/>
      <c r="Y38" s="3485"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85"/>
      <c r="Q39" s="1573">
        <f t="shared" si="8"/>
        <v>111</v>
      </c>
      <c r="R39" s="1578" t="s">
        <v>8</v>
      </c>
      <c r="S39" s="1579">
        <f t="shared" si="10"/>
        <v>100</v>
      </c>
      <c r="T39" s="1578" t="s">
        <v>8</v>
      </c>
      <c r="U39" s="1579">
        <f t="shared" si="11"/>
        <v>100</v>
      </c>
      <c r="V39" s="1578" t="s">
        <v>8</v>
      </c>
      <c r="W39" s="1579">
        <f t="shared" si="12"/>
        <v>100</v>
      </c>
      <c r="X39" s="1580"/>
      <c r="Y39" s="3485"/>
      <c r="Z39" s="1581">
        <f t="shared" si="13"/>
        <v>111</v>
      </c>
      <c r="AA39" s="1577">
        <f t="shared" si="3"/>
        <v>1</v>
      </c>
      <c r="AB39" s="1577">
        <f t="shared" si="4"/>
        <v>1</v>
      </c>
      <c r="AC39" s="1577">
        <f t="shared" si="5"/>
        <v>1</v>
      </c>
    </row>
    <row r="40" spans="1:29" ht="20.25">
      <c r="A40" s="2909" t="s">
        <v>2751</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85"/>
      <c r="Q40" s="1573" t="str">
        <f>B40</f>
        <v>宗地面积</v>
      </c>
      <c r="R40" s="1574" t="s">
        <v>8</v>
      </c>
      <c r="S40" s="1575" t="e">
        <f t="shared" si="10"/>
        <v>#N/A</v>
      </c>
      <c r="T40" s="1574" t="s">
        <v>8</v>
      </c>
      <c r="U40" s="1575" t="e">
        <f t="shared" si="11"/>
        <v>#N/A</v>
      </c>
      <c r="V40" s="1574" t="s">
        <v>8</v>
      </c>
      <c r="W40" s="1575" t="e">
        <f t="shared" si="12"/>
        <v>#N/A</v>
      </c>
      <c r="X40" s="1568"/>
      <c r="Y40" s="3485"/>
      <c r="Z40" s="1576" t="str">
        <f t="shared" si="13"/>
        <v>宗地面积</v>
      </c>
      <c r="AA40" s="1577" t="e">
        <f t="shared" si="3"/>
        <v>#N/A</v>
      </c>
      <c r="AB40" s="1577" t="e">
        <f t="shared" si="4"/>
        <v>#N/A</v>
      </c>
      <c r="AC40" s="1577"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85"/>
      <c r="Q41" s="1573" t="str">
        <f t="shared" ref="Q41:Q47" si="14">B41</f>
        <v>宗地形状</v>
      </c>
      <c r="R41" s="1574" t="s">
        <v>8</v>
      </c>
      <c r="S41" s="1575">
        <f t="shared" si="10"/>
        <v>100</v>
      </c>
      <c r="T41" s="1574" t="s">
        <v>8</v>
      </c>
      <c r="U41" s="1575">
        <f t="shared" si="11"/>
        <v>100</v>
      </c>
      <c r="V41" s="1574" t="s">
        <v>8</v>
      </c>
      <c r="W41" s="1575">
        <f t="shared" si="12"/>
        <v>100</v>
      </c>
      <c r="X41" s="1568"/>
      <c r="Y41" s="3485"/>
      <c r="Z41" s="1576" t="str">
        <f t="shared" si="13"/>
        <v>宗地形状</v>
      </c>
      <c r="AA41" s="1577">
        <f t="shared" si="3"/>
        <v>1</v>
      </c>
      <c r="AB41" s="1577">
        <f t="shared" si="4"/>
        <v>1</v>
      </c>
      <c r="AC41" s="1577">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85"/>
      <c r="Q42" s="1573" t="str">
        <f t="shared" si="14"/>
        <v>临街宽度及深度</v>
      </c>
      <c r="R42" s="1574" t="s">
        <v>8</v>
      </c>
      <c r="S42" s="1575">
        <f t="shared" si="10"/>
        <v>100</v>
      </c>
      <c r="T42" s="1574" t="s">
        <v>8</v>
      </c>
      <c r="U42" s="1575">
        <f t="shared" si="11"/>
        <v>100</v>
      </c>
      <c r="V42" s="1574" t="s">
        <v>8</v>
      </c>
      <c r="W42" s="1575">
        <f t="shared" si="12"/>
        <v>100</v>
      </c>
      <c r="X42" s="1568"/>
      <c r="Y42" s="3485"/>
      <c r="Z42" s="1576" t="str">
        <f t="shared" si="13"/>
        <v>临街宽度及深度</v>
      </c>
      <c r="AA42" s="1577">
        <f t="shared" si="3"/>
        <v>1</v>
      </c>
      <c r="AB42" s="1577">
        <f t="shared" si="4"/>
        <v>1</v>
      </c>
      <c r="AC42" s="1577">
        <f t="shared" si="5"/>
        <v>1</v>
      </c>
    </row>
    <row r="43" spans="1:29" s="1220" customFormat="1" ht="20.25">
      <c r="A43" s="600"/>
      <c r="B43" s="189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85"/>
      <c r="Q43" s="1573" t="str">
        <f t="shared" si="14"/>
        <v>宗地开发程度</v>
      </c>
      <c r="R43" s="1569" t="s">
        <v>8</v>
      </c>
      <c r="S43" s="1570">
        <f t="shared" si="10"/>
        <v>100</v>
      </c>
      <c r="T43" s="1569" t="s">
        <v>8</v>
      </c>
      <c r="U43" s="1570">
        <f t="shared" si="11"/>
        <v>100</v>
      </c>
      <c r="V43" s="1569" t="s">
        <v>8</v>
      </c>
      <c r="W43" s="1570">
        <f t="shared" si="12"/>
        <v>100</v>
      </c>
      <c r="X43" s="1571"/>
      <c r="Y43" s="3485"/>
      <c r="Z43" s="1150" t="str">
        <f t="shared" si="13"/>
        <v>宗地开发程度</v>
      </c>
      <c r="AA43" s="1572">
        <f t="shared" si="3"/>
        <v>1</v>
      </c>
      <c r="AB43" s="1572">
        <f t="shared" si="4"/>
        <v>1</v>
      </c>
      <c r="AC43" s="1572">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85" t="s">
        <v>547</v>
      </c>
      <c r="Q44" s="1573" t="str">
        <f t="shared" si="14"/>
        <v>工程地质条件</v>
      </c>
      <c r="R44" s="1574" t="s">
        <v>8</v>
      </c>
      <c r="S44" s="1575">
        <f t="shared" si="10"/>
        <v>100</v>
      </c>
      <c r="T44" s="1574" t="s">
        <v>8</v>
      </c>
      <c r="U44" s="1575">
        <f t="shared" si="11"/>
        <v>100</v>
      </c>
      <c r="V44" s="1574" t="s">
        <v>8</v>
      </c>
      <c r="W44" s="1575">
        <f t="shared" si="12"/>
        <v>100</v>
      </c>
      <c r="X44" s="1568"/>
      <c r="Y44" s="3485"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85"/>
      <c r="Q45" s="1573">
        <f t="shared" si="14"/>
        <v>111</v>
      </c>
      <c r="R45" s="1574" t="s">
        <v>8</v>
      </c>
      <c r="S45" s="1575">
        <f t="shared" si="10"/>
        <v>100</v>
      </c>
      <c r="T45" s="1574" t="s">
        <v>8</v>
      </c>
      <c r="U45" s="1575">
        <f t="shared" si="11"/>
        <v>100</v>
      </c>
      <c r="V45" s="1574" t="s">
        <v>8</v>
      </c>
      <c r="W45" s="1575">
        <f t="shared" si="12"/>
        <v>100</v>
      </c>
      <c r="X45" s="1568"/>
      <c r="Y45" s="348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85"/>
      <c r="Q46" s="1573">
        <f t="shared" si="14"/>
        <v>111</v>
      </c>
      <c r="R46" s="1574" t="s">
        <v>8</v>
      </c>
      <c r="S46" s="1575">
        <f t="shared" si="10"/>
        <v>100</v>
      </c>
      <c r="T46" s="1574" t="s">
        <v>8</v>
      </c>
      <c r="U46" s="1575">
        <f t="shared" si="11"/>
        <v>100</v>
      </c>
      <c r="V46" s="1574" t="s">
        <v>8</v>
      </c>
      <c r="W46" s="1575">
        <f t="shared" si="12"/>
        <v>100</v>
      </c>
      <c r="X46" s="1568"/>
      <c r="Y46" s="348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85"/>
      <c r="Q47" s="1573">
        <f t="shared" si="14"/>
        <v>111</v>
      </c>
      <c r="R47" s="1578" t="s">
        <v>8</v>
      </c>
      <c r="S47" s="1579">
        <f t="shared" si="10"/>
        <v>100</v>
      </c>
      <c r="T47" s="1578" t="s">
        <v>8</v>
      </c>
      <c r="U47" s="1579">
        <f t="shared" si="11"/>
        <v>100</v>
      </c>
      <c r="V47" s="1578" t="s">
        <v>8</v>
      </c>
      <c r="W47" s="1579">
        <f t="shared" si="12"/>
        <v>100</v>
      </c>
      <c r="X47" s="1580"/>
      <c r="Y47" s="3485"/>
      <c r="Z47" s="1581">
        <f t="shared" si="13"/>
        <v>111</v>
      </c>
      <c r="AA47" s="1577">
        <f t="shared" si="3"/>
        <v>1</v>
      </c>
      <c r="AB47" s="1577">
        <f t="shared" si="4"/>
        <v>1</v>
      </c>
      <c r="AC47" s="1577">
        <f t="shared" si="5"/>
        <v>1</v>
      </c>
    </row>
    <row r="48" spans="1:29" ht="20.25">
      <c r="A48" s="607" t="s">
        <v>553</v>
      </c>
      <c r="B48" s="608" t="s">
        <v>2930</v>
      </c>
      <c r="C48" s="609" t="s">
        <v>1</v>
      </c>
      <c r="D48" s="610"/>
      <c r="E48" s="611"/>
      <c r="F48" s="612"/>
      <c r="G48" s="613"/>
      <c r="H48" s="614"/>
      <c r="I48" s="611"/>
      <c r="J48" s="614"/>
      <c r="K48" s="1340"/>
      <c r="L48" s="2146"/>
      <c r="M48" s="2134"/>
      <c r="N48" s="2134"/>
      <c r="O48" s="2147"/>
      <c r="P48" s="3448" t="str">
        <f>A48</f>
        <v>成交单价</v>
      </c>
      <c r="Q48" s="3448"/>
      <c r="R48" s="3449">
        <f>E48</f>
        <v>0</v>
      </c>
      <c r="S48" s="3449"/>
      <c r="T48" s="3449">
        <f>G48</f>
        <v>0</v>
      </c>
      <c r="U48" s="3449"/>
      <c r="V48" s="3449">
        <f>I48</f>
        <v>0</v>
      </c>
      <c r="W48" s="3449"/>
      <c r="X48" s="1560"/>
      <c r="Y48" s="1582"/>
      <c r="Z48" s="1560"/>
      <c r="AA48" s="1560"/>
      <c r="AB48" s="1560"/>
      <c r="AC48" s="1560"/>
    </row>
    <row r="49" spans="1:29" ht="21" thickBot="1">
      <c r="A49" s="615" t="s">
        <v>2689</v>
      </c>
      <c r="B49" s="616"/>
      <c r="C49" s="617" t="e">
        <f>R50</f>
        <v>#DIV/0!</v>
      </c>
      <c r="D49" s="618"/>
      <c r="E49" s="617" t="e">
        <f>R49</f>
        <v>#DIV/0!</v>
      </c>
      <c r="F49" s="619"/>
      <c r="G49" s="620" t="e">
        <f>T49</f>
        <v>#DIV/0!</v>
      </c>
      <c r="H49" s="618"/>
      <c r="I49" s="617" t="e">
        <f>V49</f>
        <v>#DIV/0!</v>
      </c>
      <c r="J49" s="618"/>
      <c r="K49" s="1341"/>
      <c r="L49" s="2146"/>
      <c r="M49" s="2134"/>
      <c r="N49" s="2134"/>
      <c r="O49" s="2147"/>
      <c r="P49" s="3448" t="str">
        <f>A49</f>
        <v>比较价格（元/平方米）</v>
      </c>
      <c r="Q49" s="3448"/>
      <c r="R49" s="3450" t="e">
        <f>ROUND(PRODUCT(R48,AA9:AA47),0)</f>
        <v>#DIV/0!</v>
      </c>
      <c r="S49" s="3450"/>
      <c r="T49" s="3450" t="e">
        <f>ROUND(PRODUCT(T48,AB9:AB47),0)</f>
        <v>#DIV/0!</v>
      </c>
      <c r="U49" s="3450"/>
      <c r="V49" s="3450" t="e">
        <f>ROUND(PRODUCT(V48,AC9:AC47),0)</f>
        <v>#DIV/0!</v>
      </c>
      <c r="W49" s="3450"/>
      <c r="X49" s="1560"/>
      <c r="Y49" s="1560"/>
      <c r="Z49" s="1560"/>
      <c r="AA49" s="1560"/>
      <c r="AB49" s="1560"/>
      <c r="AC49" s="1560"/>
    </row>
    <row r="50" spans="1:29" ht="21" thickBot="1">
      <c r="A50" s="621" t="s">
        <v>2931</v>
      </c>
      <c r="B50" s="622"/>
      <c r="C50" s="623" t="e">
        <f>R50</f>
        <v>#DIV/0!</v>
      </c>
      <c r="D50" s="623"/>
      <c r="E50" s="623"/>
      <c r="F50" s="623"/>
      <c r="G50" s="623"/>
      <c r="H50" s="623"/>
      <c r="I50" s="623"/>
      <c r="J50" s="623"/>
      <c r="K50" s="1342"/>
      <c r="L50" s="2146"/>
      <c r="M50" s="2134"/>
      <c r="N50" s="2134"/>
      <c r="O50" s="2147"/>
      <c r="P50" s="3445" t="str">
        <f>A50</f>
        <v>估价对象XX用房的比较价格（楼面单价，元/平方米）</v>
      </c>
      <c r="Q50" s="3446"/>
      <c r="R50" s="3447" t="e">
        <f>ROUND(AVERAGE(R49:V49),0)</f>
        <v>#DIV/0!</v>
      </c>
      <c r="S50" s="3447"/>
      <c r="T50" s="3447"/>
      <c r="U50" s="3447"/>
      <c r="V50" s="3447"/>
      <c r="W50" s="344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1718</v>
      </c>
      <c r="D57" s="2229" t="s">
        <v>2289</v>
      </c>
      <c r="E57" s="631" t="s">
        <v>559</v>
      </c>
      <c r="F57" s="632" t="s">
        <v>560</v>
      </c>
      <c r="G57" s="3474" t="s">
        <v>2277</v>
      </c>
      <c r="H57" s="3475"/>
      <c r="I57" s="1556" t="s">
        <v>1716</v>
      </c>
      <c r="J57" s="1556">
        <f>项目基本情况!F41</f>
        <v>0</v>
      </c>
      <c r="K57" s="2156" t="s">
        <v>1717</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t="e">
        <f>C50</f>
        <v>#DIV/0!</v>
      </c>
      <c r="C58" s="635">
        <v>1</v>
      </c>
      <c r="D58" s="2230">
        <v>1</v>
      </c>
      <c r="E58" s="635">
        <f>'数据-汇总表'!E8+'数据-汇总表'!E9</f>
        <v>292155</v>
      </c>
      <c r="F58" s="636" t="e">
        <f t="shared" ref="F58:F67" si="15">ROUND(B58*E58/10000,0)</f>
        <v>#DIV/0!</v>
      </c>
      <c r="G58" s="3476"/>
      <c r="H58" s="347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t="e">
        <f>ROUND($C$50*C59*D59,0)</f>
        <v>#DIV/0!</v>
      </c>
      <c r="C59" s="378">
        <f t="shared" ref="C59:C67" si="16">IF($C$57="北京市系数",I59,J59)</f>
        <v>0.6</v>
      </c>
      <c r="D59" s="2231">
        <v>0.25</v>
      </c>
      <c r="E59" s="639">
        <v>0</v>
      </c>
      <c r="F59" s="636" t="e">
        <f t="shared" si="15"/>
        <v>#DIV/0!</v>
      </c>
      <c r="G59" s="3478" t="s">
        <v>2278</v>
      </c>
      <c r="H59" s="1950" t="str">
        <f>项目基本情况!B43</f>
        <v>九级</v>
      </c>
      <c r="I59" s="1557">
        <f>SUMIF(修正!$A$45:$A$56,H59,修正!B45:B56)</f>
        <v>0.6</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t="e">
        <f t="shared" ref="B60:B67" si="17">ROUND($C$50*C60*D60,0)</f>
        <v>#DIV/0!</v>
      </c>
      <c r="C60" s="378">
        <f t="shared" si="16"/>
        <v>0.3</v>
      </c>
      <c r="D60" s="2231">
        <v>0.25</v>
      </c>
      <c r="E60" s="639">
        <v>0</v>
      </c>
      <c r="F60" s="636" t="e">
        <f t="shared" si="15"/>
        <v>#DIV/0!</v>
      </c>
      <c r="G60" s="3478"/>
      <c r="H60" s="1950" t="str">
        <f>项目基本情况!B43</f>
        <v>九级</v>
      </c>
      <c r="I60" s="1557">
        <f>SUMIF(修正!$A$45:$A$56,H60,修正!C45:C56)</f>
        <v>0.3</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t="e">
        <f t="shared" si="17"/>
        <v>#DIV/0!</v>
      </c>
      <c r="C61" s="378">
        <f t="shared" si="16"/>
        <v>0.2</v>
      </c>
      <c r="D61" s="2231">
        <v>0.25</v>
      </c>
      <c r="E61" s="639">
        <v>0</v>
      </c>
      <c r="F61" s="636" t="e">
        <f t="shared" si="15"/>
        <v>#DIV/0!</v>
      </c>
      <c r="G61" s="3478"/>
      <c r="H61" s="1950" t="str">
        <f>项目基本情况!B43</f>
        <v>九级</v>
      </c>
      <c r="I61" s="1557">
        <f>SUMIF(修正!$A$45:$A$56,H61,修正!D45:D56)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t="e">
        <f t="shared" si="17"/>
        <v>#DIV/0!</v>
      </c>
      <c r="C62" s="378">
        <f t="shared" si="16"/>
        <v>0.2</v>
      </c>
      <c r="D62" s="2231">
        <v>0.25</v>
      </c>
      <c r="E62" s="639">
        <v>0</v>
      </c>
      <c r="F62" s="636" t="e">
        <f t="shared" si="15"/>
        <v>#DIV/0!</v>
      </c>
      <c r="G62" s="3478"/>
      <c r="H62" s="1950" t="str">
        <f>项目基本情况!B43</f>
        <v>九级</v>
      </c>
      <c r="I62" s="1557">
        <f>SUMIF(修正!$A$45:$A$56,H62,修正!E45:E56)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t="e">
        <f t="shared" si="17"/>
        <v>#DIV/0!</v>
      </c>
      <c r="C63" s="378">
        <f t="shared" si="16"/>
        <v>0.2</v>
      </c>
      <c r="D63" s="2231">
        <v>0.25</v>
      </c>
      <c r="E63" s="641">
        <f>'数据-汇总表'!E11</f>
        <v>0</v>
      </c>
      <c r="F63" s="636" t="e">
        <f t="shared" si="15"/>
        <v>#DIV/0!</v>
      </c>
      <c r="G63" s="1947" t="s">
        <v>2279</v>
      </c>
      <c r="H63" s="1950" t="str">
        <f>项目基本情况!C43</f>
        <v>九级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t="e">
        <f t="shared" si="17"/>
        <v>#DIV/0!</v>
      </c>
      <c r="C64" s="378">
        <f t="shared" si="16"/>
        <v>0.2</v>
      </c>
      <c r="D64" s="2231">
        <v>0.25</v>
      </c>
      <c r="E64" s="641">
        <f>'数据-汇总表'!E12</f>
        <v>0</v>
      </c>
      <c r="F64" s="636" t="e">
        <f t="shared" si="15"/>
        <v>#DIV/0!</v>
      </c>
      <c r="G64" s="1948" t="s">
        <v>1674</v>
      </c>
      <c r="H64" s="1946" t="str">
        <f>IF(G64="商业",项目基本情况!B43,IF(G64="办公",项目基本情况!C43,IF(G64="住宅",项目基本情况!D43,项目基本情况!E43)))</f>
        <v>九级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t="e">
        <f t="shared" si="17"/>
        <v>#DIV/0!</v>
      </c>
      <c r="C65" s="378">
        <f t="shared" si="16"/>
        <v>0.15</v>
      </c>
      <c r="D65" s="2231">
        <v>0.25</v>
      </c>
      <c r="E65" s="641">
        <f>'数据-汇总表'!E13</f>
        <v>0</v>
      </c>
      <c r="F65" s="636" t="e">
        <f t="shared" si="15"/>
        <v>#DIV/0!</v>
      </c>
      <c r="G65" s="1948" t="s">
        <v>920</v>
      </c>
      <c r="H65" s="1946" t="str">
        <f>IF(G65="商业",项目基本情况!B43,IF(G65="办公",项目基本情况!C43,IF(G65="住宅",项目基本情况!D43,项目基本情况!E43)))</f>
        <v>九级</v>
      </c>
      <c r="I65" s="1557">
        <f>SUMIF(修正!$A$45:$A$56,H65,修正!H45:H56)</f>
        <v>0.15</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t="e">
        <f t="shared" si="17"/>
        <v>#DIV/0!</v>
      </c>
      <c r="C66" s="378">
        <f t="shared" si="16"/>
        <v>0.15</v>
      </c>
      <c r="D66" s="2231">
        <v>0.25</v>
      </c>
      <c r="E66" s="641">
        <f>'数据-汇总表'!E14</f>
        <v>0</v>
      </c>
      <c r="F66" s="636" t="e">
        <f t="shared" si="15"/>
        <v>#DIV/0!</v>
      </c>
      <c r="G66" s="1947" t="s">
        <v>2278</v>
      </c>
      <c r="H66" s="1950" t="str">
        <f>项目基本情况!B43</f>
        <v>九级</v>
      </c>
      <c r="I66" s="1557">
        <f>SUMIF(修正!$A$45:$A$56,H66,修正!H45:H56)</f>
        <v>0.15</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t="e">
        <f t="shared" si="17"/>
        <v>#DIV/0!</v>
      </c>
      <c r="C67" s="378">
        <f t="shared" si="16"/>
        <v>0.15</v>
      </c>
      <c r="D67" s="2231">
        <v>0.25</v>
      </c>
      <c r="E67" s="641">
        <f>'数据-汇总表'!E15</f>
        <v>0</v>
      </c>
      <c r="F67" s="636" t="e">
        <f t="shared" si="15"/>
        <v>#DIV/0!</v>
      </c>
      <c r="G67" s="1949" t="s">
        <v>2279</v>
      </c>
      <c r="H67" s="1951" t="str">
        <f>项目基本情况!C43</f>
        <v>九级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2290</v>
      </c>
      <c r="E68" s="643">
        <f>IF(B48="楼面地价",SUM(E58:E67),'数据-汇总表'!D3)</f>
        <v>128587.91</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2528</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2643</v>
      </c>
      <c r="B73" s="479" t="str">
        <f>"北京市平均增长率"&amp;TEXT(SUMIF(基准地价住宅!N21:N25,A73,基准地价住宅!P21:P25),"0.00%")</f>
        <v>北京市平均增长率2.19%</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2642</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2544</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2546</v>
      </c>
      <c r="C104" s="2600" t="s">
        <v>2547</v>
      </c>
      <c r="D104" s="2600" t="s">
        <v>2548</v>
      </c>
      <c r="E104" s="2600" t="s">
        <v>2549</v>
      </c>
      <c r="F104" s="2600" t="s">
        <v>2550</v>
      </c>
      <c r="G104" s="2600" t="s">
        <v>2551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2421</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1679</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454" t="s">
        <v>519</v>
      </c>
      <c r="D6" s="3455"/>
      <c r="E6" s="3488" t="s">
        <v>520</v>
      </c>
      <c r="F6" s="3489"/>
      <c r="G6" s="3454" t="s">
        <v>521</v>
      </c>
      <c r="H6" s="3455"/>
      <c r="I6" s="3454" t="s">
        <v>522</v>
      </c>
      <c r="J6" s="3455"/>
      <c r="K6" s="514" t="s">
        <v>523</v>
      </c>
      <c r="L6" s="2135"/>
      <c r="M6" s="2136"/>
      <c r="N6" s="2136"/>
      <c r="O6" s="2136"/>
      <c r="P6" s="3456" t="s">
        <v>524</v>
      </c>
      <c r="Q6" s="3457"/>
      <c r="R6" s="3462" t="s">
        <v>520</v>
      </c>
      <c r="S6" s="3463"/>
      <c r="T6" s="3462" t="s">
        <v>521</v>
      </c>
      <c r="U6" s="3463"/>
      <c r="V6" s="3449" t="s">
        <v>522</v>
      </c>
      <c r="W6" s="3449"/>
      <c r="X6" s="1568"/>
      <c r="Y6" s="3462" t="s">
        <v>524</v>
      </c>
      <c r="Z6" s="3463"/>
      <c r="AA6" s="3451" t="s">
        <v>520</v>
      </c>
      <c r="AB6" s="3452" t="s">
        <v>521</v>
      </c>
      <c r="AC6" s="3451" t="s">
        <v>522</v>
      </c>
    </row>
    <row r="7" spans="1:29" ht="15">
      <c r="A7" s="515"/>
      <c r="B7" s="516"/>
      <c r="C7" s="3470" t="s">
        <v>2925</v>
      </c>
      <c r="D7" s="3471"/>
      <c r="E7" s="3490" t="s">
        <v>2926</v>
      </c>
      <c r="F7" s="3491"/>
      <c r="G7" s="3470" t="s">
        <v>2927</v>
      </c>
      <c r="H7" s="3471"/>
      <c r="I7" s="3470" t="s">
        <v>2928</v>
      </c>
      <c r="J7" s="3471"/>
      <c r="K7" s="514"/>
      <c r="L7" s="2135"/>
      <c r="M7" s="2136"/>
      <c r="N7" s="2136"/>
      <c r="O7" s="2136"/>
      <c r="P7" s="3458"/>
      <c r="Q7" s="3459"/>
      <c r="R7" s="3464"/>
      <c r="S7" s="3465"/>
      <c r="T7" s="3464"/>
      <c r="U7" s="3465"/>
      <c r="V7" s="3449"/>
      <c r="W7" s="3449"/>
      <c r="X7" s="1568"/>
      <c r="Y7" s="3464"/>
      <c r="Z7" s="3465"/>
      <c r="AA7" s="3452"/>
      <c r="AB7" s="3452"/>
      <c r="AC7" s="3452"/>
    </row>
    <row r="8" spans="1:29" ht="15.75" thickBot="1">
      <c r="A8" s="517"/>
      <c r="B8" s="518"/>
      <c r="C8" s="3468" t="s">
        <v>2929</v>
      </c>
      <c r="D8" s="3469"/>
      <c r="E8" s="3486" t="s">
        <v>2929</v>
      </c>
      <c r="F8" s="3487"/>
      <c r="G8" s="3468" t="s">
        <v>2929</v>
      </c>
      <c r="H8" s="3469"/>
      <c r="I8" s="3468" t="s">
        <v>2929</v>
      </c>
      <c r="J8" s="3469"/>
      <c r="K8" s="514" t="s">
        <v>525</v>
      </c>
      <c r="L8" s="2135"/>
      <c r="M8" s="2136"/>
      <c r="N8" s="2136"/>
      <c r="O8" s="2136"/>
      <c r="P8" s="3460"/>
      <c r="Q8" s="3461"/>
      <c r="R8" s="3464"/>
      <c r="S8" s="3465"/>
      <c r="T8" s="3466"/>
      <c r="U8" s="3467"/>
      <c r="V8" s="3449"/>
      <c r="W8" s="3449"/>
      <c r="X8" s="1568"/>
      <c r="Y8" s="3466"/>
      <c r="Z8" s="3467"/>
      <c r="AA8" s="3453"/>
      <c r="AB8" s="3453"/>
      <c r="AC8" s="3453"/>
    </row>
    <row r="9" spans="1:29" s="1220" customFormat="1" ht="15.75" thickBot="1">
      <c r="A9" s="2914"/>
      <c r="B9" s="2921" t="s">
        <v>526</v>
      </c>
      <c r="C9" s="519">
        <f>'数据-取费表'!B2</f>
        <v>43424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79" t="s">
        <v>527</v>
      </c>
      <c r="Q9" s="3481"/>
      <c r="R9" s="1569" t="s">
        <v>8</v>
      </c>
      <c r="S9" s="1570">
        <f t="shared" ref="S9:S17" si="0">F9</f>
        <v>0</v>
      </c>
      <c r="T9" s="1569" t="s">
        <v>8</v>
      </c>
      <c r="U9" s="1570">
        <f t="shared" ref="U9:U17" si="1">H9</f>
        <v>0</v>
      </c>
      <c r="V9" s="1569" t="s">
        <v>8</v>
      </c>
      <c r="W9" s="1570">
        <f t="shared" ref="W9:W17" si="2">J9</f>
        <v>0</v>
      </c>
      <c r="X9" s="1571"/>
      <c r="Y9" s="3479" t="s">
        <v>527</v>
      </c>
      <c r="Z9" s="3480"/>
      <c r="AA9" s="1572" t="e">
        <f>D9/F9</f>
        <v>#DIV/0!</v>
      </c>
      <c r="AB9" s="1572" t="e">
        <f>D9/H9</f>
        <v>#DIV/0!</v>
      </c>
      <c r="AC9" s="1572" t="e">
        <f>D9/J9</f>
        <v>#DIV/0!</v>
      </c>
    </row>
    <row r="10" spans="1:29" s="1220" customFormat="1" ht="15.75" thickBot="1">
      <c r="A10" s="2915"/>
      <c r="B10" s="2922"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79" t="s">
        <v>530</v>
      </c>
      <c r="Q10" s="3480"/>
      <c r="R10" s="1569" t="s">
        <v>8</v>
      </c>
      <c r="S10" s="1570">
        <f t="shared" si="0"/>
        <v>0</v>
      </c>
      <c r="T10" s="1569" t="s">
        <v>8</v>
      </c>
      <c r="U10" s="1570">
        <f t="shared" si="1"/>
        <v>0</v>
      </c>
      <c r="V10" s="1569" t="s">
        <v>8</v>
      </c>
      <c r="W10" s="1570">
        <f t="shared" si="2"/>
        <v>0</v>
      </c>
      <c r="X10" s="1571"/>
      <c r="Y10" s="3479" t="s">
        <v>530</v>
      </c>
      <c r="Z10" s="3480"/>
      <c r="AA10" s="1572" t="e">
        <f t="shared" ref="AA10:AA42" si="3">D10/F10</f>
        <v>#DIV/0!</v>
      </c>
      <c r="AB10" s="1572" t="e">
        <f t="shared" ref="AB10:AB42" si="4">D10/H10</f>
        <v>#DIV/0!</v>
      </c>
      <c r="AC10" s="1572" t="e">
        <f t="shared" ref="AC10:AC42" si="5">D10/J10</f>
        <v>#DIV/0!</v>
      </c>
    </row>
    <row r="11" spans="1:29" s="1220" customFormat="1" ht="15">
      <c r="A11" s="2916"/>
      <c r="B11" s="2923" t="s">
        <v>2752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48" t="s">
        <v>532</v>
      </c>
      <c r="Q11" s="1151" t="str">
        <f t="shared" ref="Q11:Q17" si="6">B11</f>
        <v>用途</v>
      </c>
      <c r="R11" s="1569" t="s">
        <v>8</v>
      </c>
      <c r="S11" s="1570">
        <f t="shared" si="0"/>
        <v>100</v>
      </c>
      <c r="T11" s="1569" t="s">
        <v>8</v>
      </c>
      <c r="U11" s="1570">
        <f t="shared" si="1"/>
        <v>100</v>
      </c>
      <c r="V11" s="1569" t="s">
        <v>8</v>
      </c>
      <c r="W11" s="1570">
        <f t="shared" si="2"/>
        <v>100</v>
      </c>
      <c r="X11" s="1571"/>
      <c r="Y11" s="3385" t="s">
        <v>533</v>
      </c>
      <c r="Z11" s="1150" t="str">
        <f t="shared" ref="Z11:Z17" si="7">Q11</f>
        <v>用途</v>
      </c>
      <c r="AA11" s="1572">
        <f t="shared" si="3"/>
        <v>1</v>
      </c>
      <c r="AB11" s="1572">
        <f t="shared" si="4"/>
        <v>1</v>
      </c>
      <c r="AC11" s="1572">
        <f t="shared" si="5"/>
        <v>1</v>
      </c>
    </row>
    <row r="12" spans="1:29" s="1338" customFormat="1" ht="27">
      <c r="A12" s="2917"/>
      <c r="B12" s="2922" t="s">
        <v>2753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48"/>
      <c r="Q12" s="1151" t="str">
        <f t="shared" si="6"/>
        <v>土地使用年限（年）</v>
      </c>
      <c r="R12" s="1569" t="s">
        <v>8</v>
      </c>
      <c r="S12" s="1570">
        <f t="shared" si="0"/>
        <v>100</v>
      </c>
      <c r="T12" s="1569" t="s">
        <v>8</v>
      </c>
      <c r="U12" s="1570">
        <f t="shared" si="1"/>
        <v>100</v>
      </c>
      <c r="V12" s="1569" t="s">
        <v>8</v>
      </c>
      <c r="W12" s="1570">
        <f t="shared" si="2"/>
        <v>100</v>
      </c>
      <c r="X12" s="1571"/>
      <c r="Y12" s="3385"/>
      <c r="Z12" s="1150" t="str">
        <f t="shared" si="7"/>
        <v>土地使用年限（年）</v>
      </c>
      <c r="AA12" s="1572">
        <f t="shared" si="3"/>
        <v>1</v>
      </c>
      <c r="AB12" s="1572">
        <f t="shared" si="4"/>
        <v>1</v>
      </c>
      <c r="AC12" s="1572">
        <f t="shared" si="5"/>
        <v>1</v>
      </c>
    </row>
    <row r="13" spans="1:29" ht="15">
      <c r="A13" s="2918"/>
      <c r="B13" s="292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48"/>
      <c r="Q13" s="1151" t="str">
        <f t="shared" si="6"/>
        <v>容积率</v>
      </c>
      <c r="R13" s="1569" t="s">
        <v>8</v>
      </c>
      <c r="S13" s="1570" t="e">
        <f t="shared" si="0"/>
        <v>#N/A</v>
      </c>
      <c r="T13" s="1569" t="s">
        <v>8</v>
      </c>
      <c r="U13" s="1570" t="e">
        <f t="shared" si="1"/>
        <v>#N/A</v>
      </c>
      <c r="V13" s="1569" t="s">
        <v>8</v>
      </c>
      <c r="W13" s="1570" t="e">
        <f t="shared" si="2"/>
        <v>#N/A</v>
      </c>
      <c r="X13" s="1571"/>
      <c r="Y13" s="3385"/>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48"/>
      <c r="Q14" s="1151">
        <f t="shared" si="6"/>
        <v>111</v>
      </c>
      <c r="R14" s="1569" t="s">
        <v>8</v>
      </c>
      <c r="S14" s="1570">
        <f t="shared" si="0"/>
        <v>100</v>
      </c>
      <c r="T14" s="1569" t="s">
        <v>8</v>
      </c>
      <c r="U14" s="1570">
        <f t="shared" si="1"/>
        <v>100</v>
      </c>
      <c r="V14" s="1569" t="s">
        <v>8</v>
      </c>
      <c r="W14" s="1570">
        <f t="shared" si="2"/>
        <v>100</v>
      </c>
      <c r="X14" s="1571"/>
      <c r="Y14" s="3385"/>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48"/>
      <c r="Q15" s="1151">
        <f t="shared" si="6"/>
        <v>111</v>
      </c>
      <c r="R15" s="1569" t="s">
        <v>8</v>
      </c>
      <c r="S15" s="1570">
        <f t="shared" si="0"/>
        <v>100</v>
      </c>
      <c r="T15" s="1569" t="s">
        <v>8</v>
      </c>
      <c r="U15" s="1570">
        <f t="shared" si="1"/>
        <v>100</v>
      </c>
      <c r="V15" s="1569" t="s">
        <v>8</v>
      </c>
      <c r="W15" s="1570">
        <f t="shared" si="2"/>
        <v>100</v>
      </c>
      <c r="X15" s="1571"/>
      <c r="Y15" s="3385"/>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48"/>
      <c r="Q16" s="1151">
        <f t="shared" si="6"/>
        <v>111</v>
      </c>
      <c r="R16" s="1569" t="s">
        <v>8</v>
      </c>
      <c r="S16" s="1570">
        <f t="shared" si="0"/>
        <v>100</v>
      </c>
      <c r="T16" s="1569" t="s">
        <v>8</v>
      </c>
      <c r="U16" s="1570">
        <f t="shared" si="1"/>
        <v>100</v>
      </c>
      <c r="V16" s="1569" t="s">
        <v>8</v>
      </c>
      <c r="W16" s="1570">
        <f t="shared" si="2"/>
        <v>100</v>
      </c>
      <c r="X16" s="1571"/>
      <c r="Y16" s="3385"/>
      <c r="Z16" s="1150">
        <f t="shared" si="7"/>
        <v>111</v>
      </c>
      <c r="AA16" s="1572">
        <f t="shared" si="3"/>
        <v>1</v>
      </c>
      <c r="AB16" s="1572">
        <f t="shared" si="4"/>
        <v>1</v>
      </c>
      <c r="AC16" s="1572">
        <f t="shared" si="5"/>
        <v>1</v>
      </c>
    </row>
    <row r="17" spans="1:29" ht="57">
      <c r="A17" s="2912"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82" t="s">
        <v>537</v>
      </c>
      <c r="Q17" s="1573" t="str">
        <f t="shared" si="6"/>
        <v>产业集聚程度</v>
      </c>
      <c r="R17" s="1574" t="s">
        <v>8</v>
      </c>
      <c r="S17" s="1575">
        <f t="shared" si="0"/>
        <v>100</v>
      </c>
      <c r="T17" s="1574" t="s">
        <v>8</v>
      </c>
      <c r="U17" s="1575">
        <f t="shared" si="1"/>
        <v>100</v>
      </c>
      <c r="V17" s="1574" t="s">
        <v>8</v>
      </c>
      <c r="W17" s="1575">
        <f t="shared" si="2"/>
        <v>100</v>
      </c>
      <c r="X17" s="1568"/>
      <c r="Y17" s="3482"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83"/>
      <c r="Q18" s="1573"/>
      <c r="R18" s="1574"/>
      <c r="S18" s="1575"/>
      <c r="T18" s="1574"/>
      <c r="U18" s="1575"/>
      <c r="V18" s="1574"/>
      <c r="W18" s="1575"/>
      <c r="X18" s="1568"/>
      <c r="Y18" s="3483"/>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83"/>
      <c r="Q19" s="1573" t="str">
        <f>B19</f>
        <v>交通便捷度</v>
      </c>
      <c r="R19" s="1574" t="s">
        <v>8</v>
      </c>
      <c r="S19" s="1575">
        <f>F19</f>
        <v>100</v>
      </c>
      <c r="T19" s="1574" t="s">
        <v>8</v>
      </c>
      <c r="U19" s="1575">
        <f>H19</f>
        <v>100</v>
      </c>
      <c r="V19" s="1574" t="s">
        <v>8</v>
      </c>
      <c r="W19" s="1575">
        <f>J19</f>
        <v>100</v>
      </c>
      <c r="X19" s="1568"/>
      <c r="Y19" s="348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83"/>
      <c r="Q20" s="1573"/>
      <c r="R20" s="1574"/>
      <c r="S20" s="1575"/>
      <c r="T20" s="1574"/>
      <c r="U20" s="1575"/>
      <c r="V20" s="1574"/>
      <c r="W20" s="1575"/>
      <c r="X20" s="1568"/>
      <c r="Y20" s="3483"/>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83"/>
      <c r="Q21" s="1573" t="str">
        <f t="shared" ref="Q21:Q35" si="8">B21</f>
        <v>区域土地利用方向</v>
      </c>
      <c r="R21" s="1574" t="s">
        <v>8</v>
      </c>
      <c r="S21" s="1575">
        <f>F21</f>
        <v>100</v>
      </c>
      <c r="T21" s="1574" t="s">
        <v>8</v>
      </c>
      <c r="U21" s="1575">
        <f>H21</f>
        <v>100</v>
      </c>
      <c r="V21" s="1574" t="s">
        <v>8</v>
      </c>
      <c r="W21" s="1575">
        <f>J21</f>
        <v>100</v>
      </c>
      <c r="X21" s="1568"/>
      <c r="Y21" s="348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83"/>
      <c r="Q22" s="1573"/>
      <c r="R22" s="1574"/>
      <c r="S22" s="1575"/>
      <c r="T22" s="1574"/>
      <c r="U22" s="1575"/>
      <c r="V22" s="1574"/>
      <c r="W22" s="1575"/>
      <c r="X22" s="1568"/>
      <c r="Y22" s="3483"/>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83"/>
      <c r="Q23" s="1573" t="str">
        <f t="shared" si="8"/>
        <v>环境状况</v>
      </c>
      <c r="R23" s="1574" t="s">
        <v>8</v>
      </c>
      <c r="S23" s="1575">
        <f>F23</f>
        <v>100</v>
      </c>
      <c r="T23" s="1574" t="s">
        <v>8</v>
      </c>
      <c r="U23" s="1575">
        <f>H23</f>
        <v>100</v>
      </c>
      <c r="V23" s="1574" t="s">
        <v>8</v>
      </c>
      <c r="W23" s="1575">
        <f>J23</f>
        <v>100</v>
      </c>
      <c r="X23" s="1568"/>
      <c r="Y23" s="348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83"/>
      <c r="Q24" s="1573"/>
      <c r="R24" s="1574"/>
      <c r="S24" s="1575"/>
      <c r="T24" s="1574"/>
      <c r="U24" s="1575"/>
      <c r="V24" s="1574"/>
      <c r="W24" s="1575"/>
      <c r="X24" s="1568"/>
      <c r="Y24" s="3483"/>
      <c r="Z24" s="1576"/>
      <c r="AA24" s="1577">
        <v>1</v>
      </c>
      <c r="AB24" s="1577">
        <v>1</v>
      </c>
      <c r="AC24" s="1577">
        <v>1</v>
      </c>
    </row>
    <row r="25" spans="1:29" s="1220" customFormat="1" ht="42.75">
      <c r="A25" s="577"/>
      <c r="B25" s="259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83"/>
      <c r="Q25" s="1151" t="str">
        <f t="shared" si="8"/>
        <v>公共配套设施</v>
      </c>
      <c r="R25" s="1569" t="s">
        <v>8</v>
      </c>
      <c r="S25" s="1570">
        <f>F25</f>
        <v>100</v>
      </c>
      <c r="T25" s="1569" t="s">
        <v>8</v>
      </c>
      <c r="U25" s="1570">
        <f>H25</f>
        <v>100</v>
      </c>
      <c r="V25" s="1569" t="s">
        <v>8</v>
      </c>
      <c r="W25" s="1570">
        <f>J25</f>
        <v>100</v>
      </c>
      <c r="X25" s="1571"/>
      <c r="Y25" s="3483"/>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83"/>
      <c r="Q26" s="1151"/>
      <c r="R26" s="1569"/>
      <c r="S26" s="1570"/>
      <c r="T26" s="1569"/>
      <c r="U26" s="1570"/>
      <c r="V26" s="1569"/>
      <c r="W26" s="1570"/>
      <c r="X26" s="1571"/>
      <c r="Y26" s="3483"/>
      <c r="Z26" s="1150"/>
      <c r="AA26" s="1572">
        <v>1</v>
      </c>
      <c r="AB26" s="1572">
        <v>1</v>
      </c>
      <c r="AC26" s="1572">
        <v>1</v>
      </c>
    </row>
    <row r="27" spans="1:29" s="1220" customFormat="1" ht="28.5">
      <c r="A27" s="577"/>
      <c r="B27" s="259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83"/>
      <c r="Q27" s="2580" t="str">
        <f t="shared" ref="Q27" si="9">B27</f>
        <v>基础设施水平</v>
      </c>
      <c r="R27" s="1569" t="s">
        <v>8</v>
      </c>
      <c r="S27" s="1570">
        <f>F27</f>
        <v>100</v>
      </c>
      <c r="T27" s="1569" t="s">
        <v>8</v>
      </c>
      <c r="U27" s="1570">
        <f>H27</f>
        <v>100</v>
      </c>
      <c r="V27" s="1569" t="s">
        <v>8</v>
      </c>
      <c r="W27" s="1570">
        <f>J27</f>
        <v>100</v>
      </c>
      <c r="X27" s="1571"/>
      <c r="Y27" s="3483"/>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83"/>
      <c r="Q28" s="2580"/>
      <c r="R28" s="1569"/>
      <c r="S28" s="1570"/>
      <c r="T28" s="1569"/>
      <c r="U28" s="1570"/>
      <c r="V28" s="1569"/>
      <c r="W28" s="1570"/>
      <c r="X28" s="1571"/>
      <c r="Y28" s="3483"/>
      <c r="Z28" s="2577"/>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8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83"/>
      <c r="Z29" s="1576" t="str">
        <f t="shared" ref="Z29:Z42" si="13">Q29</f>
        <v>临街状况</v>
      </c>
      <c r="AA29" s="1577">
        <f t="shared" si="3"/>
        <v>1</v>
      </c>
      <c r="AB29" s="1577">
        <f t="shared" si="4"/>
        <v>1</v>
      </c>
      <c r="AC29" s="1577">
        <f t="shared" si="5"/>
        <v>1</v>
      </c>
    </row>
    <row r="30" spans="1:29" ht="27">
      <c r="A30" s="532"/>
      <c r="B30" s="922" t="s">
        <v>545</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83"/>
      <c r="Q30" s="1573" t="str">
        <f t="shared" si="8"/>
        <v>毗邻道路的类型与等级</v>
      </c>
      <c r="R30" s="1574" t="s">
        <v>8</v>
      </c>
      <c r="S30" s="1575">
        <f t="shared" si="10"/>
        <v>100</v>
      </c>
      <c r="T30" s="1574" t="s">
        <v>8</v>
      </c>
      <c r="U30" s="1575">
        <f t="shared" si="11"/>
        <v>100</v>
      </c>
      <c r="V30" s="1574" t="s">
        <v>8</v>
      </c>
      <c r="W30" s="1575">
        <f t="shared" si="12"/>
        <v>100</v>
      </c>
      <c r="X30" s="1568"/>
      <c r="Y30" s="348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83"/>
      <c r="Q31" s="1573"/>
      <c r="R31" s="1574"/>
      <c r="S31" s="1575"/>
      <c r="T31" s="1574"/>
      <c r="U31" s="1575"/>
      <c r="V31" s="1574"/>
      <c r="W31" s="1575"/>
      <c r="X31" s="1568"/>
      <c r="Y31" s="3483"/>
      <c r="Z31" s="1576"/>
      <c r="AA31" s="1577">
        <v>1</v>
      </c>
      <c r="AB31" s="1577">
        <v>1</v>
      </c>
      <c r="AC31" s="1577">
        <v>1</v>
      </c>
    </row>
    <row r="32" spans="1:29" ht="15">
      <c r="A32" s="532"/>
      <c r="B32" s="527" t="s">
        <v>546</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83"/>
      <c r="Q32" s="1573" t="str">
        <f t="shared" si="8"/>
        <v>土地级别</v>
      </c>
      <c r="R32" s="1574" t="s">
        <v>8</v>
      </c>
      <c r="S32" s="1575">
        <f t="shared" si="10"/>
        <v>100</v>
      </c>
      <c r="T32" s="1574" t="s">
        <v>8</v>
      </c>
      <c r="U32" s="1575">
        <f t="shared" si="11"/>
        <v>100</v>
      </c>
      <c r="V32" s="1574" t="s">
        <v>8</v>
      </c>
      <c r="W32" s="1575">
        <f t="shared" si="12"/>
        <v>100</v>
      </c>
      <c r="X32" s="1568"/>
      <c r="Y32" s="348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83"/>
      <c r="Q33" s="1573">
        <f t="shared" si="8"/>
        <v>111</v>
      </c>
      <c r="R33" s="1574" t="s">
        <v>8</v>
      </c>
      <c r="S33" s="1575">
        <f t="shared" si="10"/>
        <v>100</v>
      </c>
      <c r="T33" s="1574" t="s">
        <v>8</v>
      </c>
      <c r="U33" s="1575">
        <f t="shared" si="11"/>
        <v>100</v>
      </c>
      <c r="V33" s="1574" t="s">
        <v>8</v>
      </c>
      <c r="W33" s="1575">
        <f t="shared" si="12"/>
        <v>100</v>
      </c>
      <c r="X33" s="1568"/>
      <c r="Y33" s="348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84" t="s">
        <v>547</v>
      </c>
      <c r="Q34" s="1573">
        <f t="shared" si="8"/>
        <v>111</v>
      </c>
      <c r="R34" s="1574" t="s">
        <v>8</v>
      </c>
      <c r="S34" s="1575">
        <f t="shared" si="10"/>
        <v>100</v>
      </c>
      <c r="T34" s="1574" t="s">
        <v>8</v>
      </c>
      <c r="U34" s="1575">
        <f t="shared" si="11"/>
        <v>100</v>
      </c>
      <c r="V34" s="1574" t="s">
        <v>8</v>
      </c>
      <c r="W34" s="1575">
        <f t="shared" si="12"/>
        <v>100</v>
      </c>
      <c r="X34" s="1568"/>
      <c r="Y34" s="3485" t="s">
        <v>547</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85"/>
      <c r="Q35" s="1573">
        <f t="shared" si="8"/>
        <v>111</v>
      </c>
      <c r="R35" s="1578" t="s">
        <v>8</v>
      </c>
      <c r="S35" s="1579">
        <f t="shared" si="10"/>
        <v>100</v>
      </c>
      <c r="T35" s="1578" t="s">
        <v>8</v>
      </c>
      <c r="U35" s="1579">
        <f t="shared" si="11"/>
        <v>100</v>
      </c>
      <c r="V35" s="1578" t="s">
        <v>8</v>
      </c>
      <c r="W35" s="1579">
        <f t="shared" si="12"/>
        <v>100</v>
      </c>
      <c r="X35" s="1580"/>
      <c r="Y35" s="3485"/>
      <c r="Z35" s="1581">
        <f t="shared" si="13"/>
        <v>111</v>
      </c>
      <c r="AA35" s="1577">
        <f t="shared" si="3"/>
        <v>1</v>
      </c>
      <c r="AB35" s="1577">
        <f t="shared" si="4"/>
        <v>1</v>
      </c>
      <c r="AC35" s="1577">
        <f t="shared" si="5"/>
        <v>1</v>
      </c>
    </row>
    <row r="36" spans="1:29" ht="15">
      <c r="A36" s="2909"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85"/>
      <c r="Q36" s="1573" t="str">
        <f>B36</f>
        <v>宗地面积</v>
      </c>
      <c r="R36" s="1574" t="s">
        <v>8</v>
      </c>
      <c r="S36" s="1575" t="e">
        <f t="shared" si="10"/>
        <v>#N/A</v>
      </c>
      <c r="T36" s="1574" t="s">
        <v>8</v>
      </c>
      <c r="U36" s="1575" t="e">
        <f t="shared" si="11"/>
        <v>#N/A</v>
      </c>
      <c r="V36" s="1574" t="s">
        <v>8</v>
      </c>
      <c r="W36" s="1575" t="e">
        <f t="shared" si="12"/>
        <v>#N/A</v>
      </c>
      <c r="X36" s="1568"/>
      <c r="Y36" s="3485"/>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85"/>
      <c r="Q37" s="1573" t="str">
        <f t="shared" ref="Q37:Q42" si="14">B37</f>
        <v>宗地形状</v>
      </c>
      <c r="R37" s="1574" t="s">
        <v>8</v>
      </c>
      <c r="S37" s="1575">
        <f t="shared" si="10"/>
        <v>100</v>
      </c>
      <c r="T37" s="1574" t="s">
        <v>8</v>
      </c>
      <c r="U37" s="1575">
        <f t="shared" si="11"/>
        <v>100</v>
      </c>
      <c r="V37" s="1574" t="s">
        <v>8</v>
      </c>
      <c r="W37" s="1575">
        <f t="shared" si="12"/>
        <v>100</v>
      </c>
      <c r="X37" s="1568"/>
      <c r="Y37" s="3485"/>
      <c r="Z37" s="1576" t="str">
        <f t="shared" si="13"/>
        <v>宗地形状</v>
      </c>
      <c r="AA37" s="1577">
        <f t="shared" si="3"/>
        <v>1</v>
      </c>
      <c r="AB37" s="1577">
        <f t="shared" si="4"/>
        <v>1</v>
      </c>
      <c r="AC37" s="1577">
        <f t="shared" si="5"/>
        <v>1</v>
      </c>
    </row>
    <row r="38" spans="1:29" s="1220" customFormat="1" ht="15">
      <c r="A38" s="600"/>
      <c r="B38" s="189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85"/>
      <c r="Q38" s="1573" t="str">
        <f t="shared" si="14"/>
        <v>宗地开发程度</v>
      </c>
      <c r="R38" s="1569" t="s">
        <v>8</v>
      </c>
      <c r="S38" s="1570">
        <f t="shared" si="10"/>
        <v>100</v>
      </c>
      <c r="T38" s="1569" t="s">
        <v>8</v>
      </c>
      <c r="U38" s="1570">
        <f t="shared" si="11"/>
        <v>100</v>
      </c>
      <c r="V38" s="1569" t="s">
        <v>8</v>
      </c>
      <c r="W38" s="1570">
        <f t="shared" si="12"/>
        <v>100</v>
      </c>
      <c r="X38" s="1571"/>
      <c r="Y38" s="3485"/>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85" t="s">
        <v>598</v>
      </c>
      <c r="Q39" s="1573" t="str">
        <f t="shared" si="14"/>
        <v>工程地质条件</v>
      </c>
      <c r="R39" s="1574" t="s">
        <v>8</v>
      </c>
      <c r="S39" s="1575">
        <f t="shared" si="10"/>
        <v>100</v>
      </c>
      <c r="T39" s="1574" t="s">
        <v>8</v>
      </c>
      <c r="U39" s="1575">
        <f t="shared" si="11"/>
        <v>100</v>
      </c>
      <c r="V39" s="1574" t="s">
        <v>8</v>
      </c>
      <c r="W39" s="1575">
        <f t="shared" si="12"/>
        <v>100</v>
      </c>
      <c r="X39" s="1568"/>
      <c r="Y39" s="3485"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85"/>
      <c r="Q40" s="1573">
        <f t="shared" si="14"/>
        <v>111</v>
      </c>
      <c r="R40" s="1574" t="s">
        <v>8</v>
      </c>
      <c r="S40" s="1575">
        <f t="shared" si="10"/>
        <v>100</v>
      </c>
      <c r="T40" s="1574" t="s">
        <v>8</v>
      </c>
      <c r="U40" s="1575">
        <f t="shared" si="11"/>
        <v>100</v>
      </c>
      <c r="V40" s="1574" t="s">
        <v>8</v>
      </c>
      <c r="W40" s="1575">
        <f t="shared" si="12"/>
        <v>100</v>
      </c>
      <c r="X40" s="1568"/>
      <c r="Y40" s="348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85"/>
      <c r="Q41" s="1573">
        <f t="shared" si="14"/>
        <v>111</v>
      </c>
      <c r="R41" s="1574" t="s">
        <v>8</v>
      </c>
      <c r="S41" s="1575">
        <f t="shared" si="10"/>
        <v>100</v>
      </c>
      <c r="T41" s="1574" t="s">
        <v>8</v>
      </c>
      <c r="U41" s="1575">
        <f t="shared" si="11"/>
        <v>100</v>
      </c>
      <c r="V41" s="1574" t="s">
        <v>8</v>
      </c>
      <c r="W41" s="1575">
        <f t="shared" si="12"/>
        <v>100</v>
      </c>
      <c r="X41" s="1568"/>
      <c r="Y41" s="348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85"/>
      <c r="Q42" s="1573">
        <f t="shared" si="14"/>
        <v>111</v>
      </c>
      <c r="R42" s="1578" t="s">
        <v>8</v>
      </c>
      <c r="S42" s="1579">
        <f t="shared" si="10"/>
        <v>100</v>
      </c>
      <c r="T42" s="1578" t="s">
        <v>8</v>
      </c>
      <c r="U42" s="1579">
        <f t="shared" si="11"/>
        <v>100</v>
      </c>
      <c r="V42" s="1578" t="s">
        <v>8</v>
      </c>
      <c r="W42" s="1579">
        <f t="shared" si="12"/>
        <v>100</v>
      </c>
      <c r="X42" s="1580"/>
      <c r="Y42" s="3485"/>
      <c r="Z42" s="1581">
        <f t="shared" si="13"/>
        <v>111</v>
      </c>
      <c r="AA42" s="1577">
        <f t="shared" si="3"/>
        <v>1</v>
      </c>
      <c r="AB42" s="1577">
        <f t="shared" si="4"/>
        <v>1</v>
      </c>
      <c r="AC42" s="1577">
        <f t="shared" si="5"/>
        <v>1</v>
      </c>
    </row>
    <row r="43" spans="1:29" ht="15">
      <c r="A43" s="607" t="s">
        <v>553</v>
      </c>
      <c r="B43" s="608" t="s">
        <v>2930</v>
      </c>
      <c r="C43" s="609" t="s">
        <v>1</v>
      </c>
      <c r="D43" s="610"/>
      <c r="E43" s="611"/>
      <c r="F43" s="612"/>
      <c r="G43" s="613"/>
      <c r="H43" s="614"/>
      <c r="I43" s="611"/>
      <c r="J43" s="614"/>
      <c r="K43" s="1340"/>
      <c r="L43" s="2146"/>
      <c r="M43" s="2136"/>
      <c r="N43" s="2136"/>
      <c r="O43" s="2147"/>
      <c r="P43" s="3448" t="str">
        <f>A43</f>
        <v>成交单价</v>
      </c>
      <c r="Q43" s="3448"/>
      <c r="R43" s="3449">
        <f>E43</f>
        <v>0</v>
      </c>
      <c r="S43" s="3449"/>
      <c r="T43" s="3449">
        <f>G43</f>
        <v>0</v>
      </c>
      <c r="U43" s="3449"/>
      <c r="V43" s="3449">
        <f>I43</f>
        <v>0</v>
      </c>
      <c r="W43" s="3449"/>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6"/>
      <c r="M44" s="2136"/>
      <c r="N44" s="2136"/>
      <c r="O44" s="2147"/>
      <c r="P44" s="3448" t="str">
        <f>A44</f>
        <v>比较价格（元/平方米）</v>
      </c>
      <c r="Q44" s="3448"/>
      <c r="R44" s="3450" t="e">
        <f>ROUND(PRODUCT(R43,AA9:AA42),0)</f>
        <v>#DIV/0!</v>
      </c>
      <c r="S44" s="3450"/>
      <c r="T44" s="3450" t="e">
        <f>ROUND(PRODUCT(T43,AB9:AB42),0)</f>
        <v>#DIV/0!</v>
      </c>
      <c r="U44" s="3450"/>
      <c r="V44" s="3450" t="e">
        <f>ROUND(PRODUCT(V43,AC9:AC42),0)</f>
        <v>#DIV/0!</v>
      </c>
      <c r="W44" s="3450"/>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445" t="str">
        <f>A45</f>
        <v>估价对象XX用房的比较价格（楼面单价，元/平方米）</v>
      </c>
      <c r="Q45" s="3446"/>
      <c r="R45" s="3447" t="e">
        <f>ROUND(AVERAGE(R44:V44),0)</f>
        <v>#DIV/0!</v>
      </c>
      <c r="S45" s="3447"/>
      <c r="T45" s="3447"/>
      <c r="U45" s="3447"/>
      <c r="V45" s="3447"/>
      <c r="W45" s="344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1718</v>
      </c>
      <c r="D52" s="2229" t="s">
        <v>2289</v>
      </c>
      <c r="E52" s="631" t="s">
        <v>559</v>
      </c>
      <c r="F52" s="1953" t="s">
        <v>560</v>
      </c>
      <c r="G52" s="3492" t="s">
        <v>2280</v>
      </c>
      <c r="H52" s="3493"/>
      <c r="I52" s="1954" t="s">
        <v>1941</v>
      </c>
      <c r="J52" s="1556">
        <f>项目基本情况!F41</f>
        <v>0</v>
      </c>
      <c r="K52" s="2156" t="s">
        <v>1717</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292155</v>
      </c>
      <c r="F53" s="1952" t="e">
        <f t="shared" ref="F53:F62" si="15">ROUND(B53*E53/10000,0)</f>
        <v>#DIV/0!</v>
      </c>
      <c r="G53" s="3494"/>
      <c r="H53" s="3495"/>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0.6</v>
      </c>
      <c r="D54" s="2231">
        <v>0.25</v>
      </c>
      <c r="E54" s="639"/>
      <c r="F54" s="1952" t="e">
        <f t="shared" si="15"/>
        <v>#DIV/0!</v>
      </c>
      <c r="G54" s="3496" t="s">
        <v>2281</v>
      </c>
      <c r="H54" s="1956" t="str">
        <f>项目基本情况!B43</f>
        <v>九级</v>
      </c>
      <c r="I54" s="1955">
        <f>SUMIF(修正!$A$45:$A$56,H54,修正!B45:B56)</f>
        <v>0.6</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0.3</v>
      </c>
      <c r="D55" s="2231">
        <v>0.25</v>
      </c>
      <c r="E55" s="639"/>
      <c r="F55" s="1952" t="e">
        <f t="shared" si="15"/>
        <v>#DIV/0!</v>
      </c>
      <c r="G55" s="3496"/>
      <c r="H55" s="1957" t="str">
        <f>项目基本情况!B43</f>
        <v>九级</v>
      </c>
      <c r="I55" s="1955">
        <f>SUMIF(修正!$A$45:$A$56,H55,修正!C45:C56)</f>
        <v>0.3</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0.2</v>
      </c>
      <c r="D56" s="2231">
        <v>0.25</v>
      </c>
      <c r="E56" s="639"/>
      <c r="F56" s="1952" t="e">
        <f t="shared" si="15"/>
        <v>#DIV/0!</v>
      </c>
      <c r="G56" s="3496"/>
      <c r="H56" s="1957" t="str">
        <f>项目基本情况!B43</f>
        <v>九级</v>
      </c>
      <c r="I56" s="1955">
        <f>SUMIF(修正!$A$45:$A$56,H56,修正!D45:D56)</f>
        <v>0.2</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0.2</v>
      </c>
      <c r="D57" s="2231">
        <v>0.25</v>
      </c>
      <c r="E57" s="639"/>
      <c r="F57" s="1952" t="e">
        <f t="shared" si="15"/>
        <v>#DIV/0!</v>
      </c>
      <c r="G57" s="3496"/>
      <c r="H57" s="1957" t="str">
        <f>项目基本情况!B43</f>
        <v>九级</v>
      </c>
      <c r="I57" s="1955">
        <f>SUMIF(修正!$A$45:$A$56,H57,修正!E45:E56)</f>
        <v>0.2</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0.2</v>
      </c>
      <c r="D58" s="2231">
        <v>0.25</v>
      </c>
      <c r="E58" s="641">
        <f>'数据-汇总表'!E11</f>
        <v>0</v>
      </c>
      <c r="F58" s="1952" t="e">
        <f t="shared" si="15"/>
        <v>#DIV/0!</v>
      </c>
      <c r="G58" s="1958" t="s">
        <v>2282</v>
      </c>
      <c r="H58" s="1957" t="str">
        <f>项目基本情况!C43</f>
        <v>九级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0.2</v>
      </c>
      <c r="D59" s="2231">
        <v>0.25</v>
      </c>
      <c r="E59" s="641">
        <f>'数据-汇总表'!E12</f>
        <v>0</v>
      </c>
      <c r="F59" s="1952" t="e">
        <f t="shared" si="15"/>
        <v>#DIV/0!</v>
      </c>
      <c r="G59" s="1948" t="s">
        <v>1674</v>
      </c>
      <c r="H59" s="1956" t="str">
        <f>IF(G59="商业",项目基本情况!B43,IF(G59="办公",项目基本情况!C43,IF(G59="住宅",项目基本情况!D43,项目基本情况!E43)))</f>
        <v>九级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0.15</v>
      </c>
      <c r="D60" s="2231">
        <v>0.25</v>
      </c>
      <c r="E60" s="641">
        <f>'数据-汇总表'!E13</f>
        <v>0</v>
      </c>
      <c r="F60" s="1952" t="e">
        <f t="shared" si="15"/>
        <v>#DIV/0!</v>
      </c>
      <c r="G60" s="1948" t="s">
        <v>920</v>
      </c>
      <c r="H60" s="1956" t="str">
        <f>IF(G60="商业",项目基本情况!B43,IF(G60="办公",项目基本情况!C43,IF(G60="住宅",项目基本情况!D43,项目基本情况!E43)))</f>
        <v>九级</v>
      </c>
      <c r="I60" s="1955">
        <f>SUMIF(修正!$A$45:$A$56,H60,修正!H45:H56)</f>
        <v>0.15</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0.15</v>
      </c>
      <c r="D61" s="2231">
        <v>0.25</v>
      </c>
      <c r="E61" s="641">
        <f>'数据-汇总表'!E14</f>
        <v>0</v>
      </c>
      <c r="F61" s="1952" t="e">
        <f t="shared" si="15"/>
        <v>#DIV/0!</v>
      </c>
      <c r="G61" s="1958" t="s">
        <v>2281</v>
      </c>
      <c r="H61" s="1957" t="str">
        <f>项目基本情况!B43</f>
        <v>九级</v>
      </c>
      <c r="I61" s="1955">
        <f>SUMIF(修正!$A$45:$A$56,H61,修正!H45:H56)</f>
        <v>0.15</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0.15</v>
      </c>
      <c r="D62" s="2231">
        <v>0.25</v>
      </c>
      <c r="E62" s="641">
        <f>'数据-汇总表'!E15</f>
        <v>0</v>
      </c>
      <c r="F62" s="1952" t="e">
        <f t="shared" si="15"/>
        <v>#DIV/0!</v>
      </c>
      <c r="G62" s="1959" t="s">
        <v>2282</v>
      </c>
      <c r="H62" s="1960" t="str">
        <f>项目基本情况!C43</f>
        <v>九级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2290</v>
      </c>
      <c r="E63" s="643">
        <f>IF(B43="楼面地价",SUM(E53:E62),'数据-汇总表'!D3)</f>
        <v>128587.91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2529</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2645</v>
      </c>
      <c r="B68" s="479" t="str">
        <f>"北京市平均增长率"&amp;TEXT(基准地价住宅!P24,"0.00%")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2544</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2546</v>
      </c>
      <c r="C95" s="2600" t="s">
        <v>2547</v>
      </c>
      <c r="D95" s="2600" t="s">
        <v>2548</v>
      </c>
      <c r="E95" s="2600" t="s">
        <v>2549</v>
      </c>
      <c r="F95" s="2600" t="s">
        <v>2550</v>
      </c>
      <c r="G95" s="2600" t="s">
        <v>2551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3" zoomScale="90" zoomScaleNormal="90" workbookViewId="0">
      <selection activeCell="C75" sqref="C75"/>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2422</v>
      </c>
      <c r="D1" s="1522">
        <f>SUM(D29:D30,D33:D39)</f>
        <v>292155</v>
      </c>
      <c r="E1" s="1407" t="s">
        <v>2423</v>
      </c>
      <c r="F1" s="2454">
        <v>179055.66</v>
      </c>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2758</v>
      </c>
      <c r="T1" s="2938" t="s">
        <v>2779</v>
      </c>
      <c r="U1" s="2938" t="s">
        <v>2780</v>
      </c>
      <c r="V1" s="2938" t="s">
        <v>2781</v>
      </c>
      <c r="W1" s="2191"/>
      <c r="X1" s="2191"/>
      <c r="Y1" s="2191"/>
      <c r="Z1" s="2191"/>
      <c r="AA1" s="2191"/>
      <c r="AB1" s="2191"/>
      <c r="AC1" s="2192"/>
    </row>
    <row r="2" spans="1:39" ht="15.75">
      <c r="A2" s="1407" t="s">
        <v>917</v>
      </c>
      <c r="B2" s="1038">
        <f ca="1">C26</f>
        <v>156420</v>
      </c>
      <c r="C2" s="1408" t="s">
        <v>918</v>
      </c>
      <c r="D2" s="1409" t="s">
        <v>919</v>
      </c>
      <c r="E2" s="1410" t="s">
        <v>920</v>
      </c>
      <c r="F2" s="1409" t="s">
        <v>921</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11657</v>
      </c>
      <c r="U2" s="2928"/>
      <c r="V2" s="2939">
        <f ca="1">ROUND(T2*U2/10000,0)</f>
        <v>0</v>
      </c>
      <c r="W2" s="2191"/>
      <c r="X2" s="2191"/>
      <c r="Y2" s="2191"/>
      <c r="Z2" s="2191"/>
      <c r="AA2" s="2191"/>
      <c r="AB2" s="2191"/>
      <c r="AC2" s="2192"/>
    </row>
    <row r="3" spans="1:39" ht="24">
      <c r="A3" s="1412" t="s">
        <v>1681</v>
      </c>
      <c r="B3" s="1038">
        <f ca="1">ROUND(B2*10000/D1,0)</f>
        <v>5354</v>
      </c>
      <c r="C3" s="1408" t="s">
        <v>924</v>
      </c>
      <c r="D3" s="1409" t="s">
        <v>925</v>
      </c>
      <c r="E3" s="1413" t="s">
        <v>3002</v>
      </c>
      <c r="F3" s="1414" t="s">
        <v>3042</v>
      </c>
      <c r="G3" s="1039">
        <f>IF(F3="宗地容积率",'数据-汇总表'!I4,IF(F3="估价对象容积率",'数据-汇总表'!I6,'数据-汇总表'!I7))</f>
        <v>2.25</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7683</v>
      </c>
      <c r="U3" s="2928"/>
      <c r="V3" s="2939">
        <f t="shared" ref="V3:V16" ca="1" si="1">ROUND(T3*U3/10000,0)</f>
        <v>0</v>
      </c>
      <c r="W3" s="2191"/>
      <c r="X3" s="2191"/>
      <c r="Y3" s="2191"/>
      <c r="Z3" s="2191"/>
      <c r="AA3" s="2191"/>
      <c r="AB3" s="2191"/>
      <c r="AC3" s="2192"/>
    </row>
    <row r="4" spans="1:39" ht="28.5">
      <c r="A4" s="1893" t="s">
        <v>2276</v>
      </c>
      <c r="B4" s="2455">
        <f ca="1">ROUND(B2*10000/F1,0)</f>
        <v>8736</v>
      </c>
      <c r="C4" s="1896" t="s">
        <v>2250</v>
      </c>
      <c r="D4" s="1896">
        <f ca="1">ROUND(B2/(F1/666.67),0)</f>
        <v>582</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6046</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3910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4517</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SUMIF(L1:L12,基准地价住宅!G2,M1:M12)</f>
        <v>3870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3397</v>
      </c>
      <c r="U6" s="2928"/>
      <c r="V6" s="2939">
        <f t="shared" ca="1" si="1"/>
        <v>0</v>
      </c>
      <c r="W6" s="2191"/>
      <c r="X6" s="2191"/>
      <c r="Y6" s="2191"/>
      <c r="Z6" s="2191"/>
      <c r="AA6" s="2191"/>
      <c r="AB6" s="2191"/>
      <c r="AC6" s="2193"/>
      <c r="AD6" s="1420"/>
      <c r="AE6" s="1420"/>
      <c r="AF6" s="1420"/>
      <c r="AG6" s="1420"/>
      <c r="AH6" s="1420"/>
      <c r="AI6" s="1420"/>
      <c r="AJ6" s="1421"/>
    </row>
    <row r="7" spans="1:39" ht="24">
      <c r="A7" s="3506" t="str">
        <f>IF(E2="商业",IF(C8="不临58条商业街","",2),"")</f>
        <v/>
      </c>
      <c r="B7" s="1428" t="s">
        <v>929</v>
      </c>
      <c r="C7" s="1043">
        <f>IF(C8="不临58条商业街",1,ROUND(1+(1.6*E8+1.2*E9+0.8*E10+0.4*E11)*C9,4))</f>
        <v>1</v>
      </c>
      <c r="D7" s="1429" t="s">
        <v>930</v>
      </c>
      <c r="E7" s="1044">
        <v>6</v>
      </c>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2716</v>
      </c>
      <c r="U7" s="2928"/>
      <c r="V7" s="2939">
        <f t="shared" ca="1" si="1"/>
        <v>0</v>
      </c>
      <c r="W7" s="2937" t="s">
        <v>2760</v>
      </c>
      <c r="X7" s="2929" t="str">
        <f>G2</f>
        <v>九级</v>
      </c>
      <c r="Y7" s="2929" t="s">
        <v>2761</v>
      </c>
      <c r="Z7" s="2930">
        <f>G3</f>
        <v>2.25</v>
      </c>
      <c r="AA7" s="2194"/>
      <c r="AB7" s="2194"/>
      <c r="AC7" s="2195"/>
      <c r="AD7" s="2931"/>
      <c r="AE7" s="2931"/>
      <c r="AF7" s="2931"/>
      <c r="AG7" s="2931"/>
      <c r="AH7" s="2931"/>
      <c r="AI7" s="2931"/>
      <c r="AJ7" s="2932"/>
    </row>
    <row r="8" spans="1:39" ht="25.5">
      <c r="A8" s="3507"/>
      <c r="B8" s="1415" t="s">
        <v>931</v>
      </c>
      <c r="C8" s="1530" t="s">
        <v>3005</v>
      </c>
      <c r="D8" s="1045" t="s">
        <v>932</v>
      </c>
      <c r="E8" s="1046">
        <f>ROUND(C11/E7,4)</f>
        <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98" t="s">
        <v>2778</v>
      </c>
      <c r="X8" s="3499"/>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07"/>
      <c r="B9" s="1415" t="s">
        <v>934</v>
      </c>
      <c r="C9" s="1047">
        <f>SUMIF(修正!C59:C119,C8,修正!E59:E119)</f>
        <v>0</v>
      </c>
      <c r="D9" s="1048" t="s">
        <v>935</v>
      </c>
      <c r="E9" s="1048">
        <f>ROUND(C11/E7,4)</f>
        <v>0</v>
      </c>
      <c r="F9" s="1433" t="s">
        <v>936</v>
      </c>
      <c r="G9" s="1434"/>
      <c r="H9" s="1434"/>
      <c r="I9" s="1434"/>
      <c r="J9" s="1435"/>
      <c r="K9" s="1402"/>
      <c r="L9" s="1887" t="s">
        <v>2242</v>
      </c>
      <c r="M9" s="1888">
        <f>SUMPRODUCT((区片价!B245:B289=I2)*(区片价!C3:F3=E2)*(区片价!C245:F289))</f>
        <v>3870</v>
      </c>
      <c r="N9" s="1889">
        <f>SUMPRODUCT((因素修正幅度!B245:B289=I2)*(因素修正幅度!C3:F3=E2)*(因素修正幅度!C245:F289))</f>
        <v>0.15</v>
      </c>
      <c r="O9" s="2191"/>
      <c r="P9" s="2191"/>
      <c r="Q9" s="2191"/>
      <c r="R9" s="2939">
        <v>8</v>
      </c>
      <c r="S9" s="2928"/>
      <c r="T9" s="2939">
        <f t="shared" ca="1" si="0"/>
        <v>0</v>
      </c>
      <c r="U9" s="2928"/>
      <c r="V9" s="2939">
        <f t="shared" ca="1" si="1"/>
        <v>0</v>
      </c>
      <c r="W9" s="3497"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07"/>
      <c r="B10" s="1415" t="s">
        <v>937</v>
      </c>
      <c r="C10" s="1048">
        <f>SUMIF(修正!C59:C119,C8,修正!F59:F119)</f>
        <v>0</v>
      </c>
      <c r="D10" s="1048" t="s">
        <v>938</v>
      </c>
      <c r="E10" s="1048">
        <f>ROUND(C11/E7,4)</f>
        <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9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07"/>
      <c r="B11" s="1436" t="s">
        <v>940</v>
      </c>
      <c r="C11" s="1049">
        <f>C10/4</f>
        <v>0</v>
      </c>
      <c r="D11" s="1049" t="s">
        <v>941</v>
      </c>
      <c r="E11" s="1049">
        <f>ROUND(C11/E7,4)</f>
        <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97" t="s">
        <v>2776</v>
      </c>
      <c r="X11" s="1048" t="s">
        <v>2761</v>
      </c>
      <c r="Y11" s="1654">
        <f>$G$3</f>
        <v>2.25</v>
      </c>
      <c r="Z11" s="1654">
        <f t="shared" ref="Z11:AJ11" si="3">$G$3</f>
        <v>2.25</v>
      </c>
      <c r="AA11" s="1654">
        <f t="shared" si="3"/>
        <v>2.25</v>
      </c>
      <c r="AB11" s="1654">
        <f t="shared" si="3"/>
        <v>2.25</v>
      </c>
      <c r="AC11" s="1654">
        <f t="shared" si="3"/>
        <v>2.25</v>
      </c>
      <c r="AD11" s="1654">
        <f t="shared" si="3"/>
        <v>2.25</v>
      </c>
      <c r="AE11" s="1654">
        <f t="shared" si="3"/>
        <v>2.25</v>
      </c>
      <c r="AF11" s="1654">
        <f t="shared" si="3"/>
        <v>2.25</v>
      </c>
      <c r="AG11" s="1654">
        <f t="shared" si="3"/>
        <v>2.25</v>
      </c>
      <c r="AH11" s="1654">
        <f t="shared" si="3"/>
        <v>2.25</v>
      </c>
      <c r="AI11" s="1654">
        <f t="shared" si="3"/>
        <v>2.25</v>
      </c>
      <c r="AJ11" s="1654">
        <f t="shared" si="3"/>
        <v>2.25</v>
      </c>
    </row>
    <row r="12" spans="1:39" ht="25.5" thickBot="1">
      <c r="A12" s="3506"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97"/>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8"/>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497"/>
      <c r="X13" s="2936"/>
      <c r="Y13" s="2935">
        <f>(-0.163*(Y12^2)-0.59*Y12+7617)*(10^(-4))/Y11</f>
        <v>0.33853333333333335</v>
      </c>
      <c r="Z13" s="2935">
        <f t="shared" ref="Z13:AJ13" si="5">(-0.163*(Z12^2)-0.59*Z12+7617)*(10^(-4))/Z11</f>
        <v>0.33853333333333335</v>
      </c>
      <c r="AA13" s="2935">
        <f t="shared" si="5"/>
        <v>0.33853333333333335</v>
      </c>
      <c r="AB13" s="2935">
        <f t="shared" si="5"/>
        <v>0.33853333333333335</v>
      </c>
      <c r="AC13" s="2935">
        <f t="shared" si="5"/>
        <v>0.33853333333333335</v>
      </c>
      <c r="AD13" s="2935">
        <f t="shared" si="5"/>
        <v>0.33853333333333335</v>
      </c>
      <c r="AE13" s="2935">
        <f t="shared" si="5"/>
        <v>0.33853333333333335</v>
      </c>
      <c r="AF13" s="2935">
        <f t="shared" si="5"/>
        <v>0.33853333333333335</v>
      </c>
      <c r="AG13" s="2935">
        <f t="shared" si="5"/>
        <v>0.33853333333333335</v>
      </c>
      <c r="AH13" s="2935">
        <f t="shared" si="5"/>
        <v>0.33853333333333335</v>
      </c>
      <c r="AI13" s="2935">
        <f t="shared" si="5"/>
        <v>0.33853333333333335</v>
      </c>
      <c r="AJ13" s="2935">
        <f t="shared" si="5"/>
        <v>0.33853333333333335</v>
      </c>
    </row>
    <row r="14" spans="1:39" ht="12.75" customHeight="1" thickBot="1">
      <c r="A14" s="3508"/>
      <c r="B14" s="1452"/>
      <c r="C14" s="1453" t="s">
        <v>3031</v>
      </c>
      <c r="D14" s="1454" t="s">
        <v>3031</v>
      </c>
      <c r="E14" s="1454" t="s">
        <v>3031</v>
      </c>
      <c r="F14" s="1455" t="s">
        <v>3032</v>
      </c>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9"/>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506" t="s">
        <v>1832</v>
      </c>
      <c r="B16" s="1428" t="s">
        <v>947</v>
      </c>
      <c r="C16" s="3218">
        <f>ROUND((H17+I17-G17)/C17,0)</f>
        <v>40</v>
      </c>
      <c r="D16" s="1461" t="s">
        <v>948</v>
      </c>
      <c r="E16" s="3204" t="s">
        <v>3069</v>
      </c>
      <c r="F16" s="3205" t="s">
        <v>3046</v>
      </c>
      <c r="G16" s="3206" t="s">
        <v>3070</v>
      </c>
      <c r="H16" s="1464" t="s">
        <v>3048</v>
      </c>
      <c r="I16" s="1464" t="s">
        <v>3047</v>
      </c>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07"/>
      <c r="B17" s="1466" t="s">
        <v>950</v>
      </c>
      <c r="C17" s="1055">
        <f>SUMPRODUCT((修正!A2:A5=E2)*(修正!B1:M1=G2)*(修正!B2:M5))</f>
        <v>1.5</v>
      </c>
      <c r="D17" s="1468" t="s">
        <v>951</v>
      </c>
      <c r="E17" s="1469" t="str">
        <f>IF(OR(G2="八级",G2="九级",G2="十级",G2="十一级",G2="十二级"),"五通一平","七通一平")</f>
        <v>五通一平</v>
      </c>
      <c r="F17" s="1467" t="s">
        <v>952</v>
      </c>
      <c r="G17" s="1055">
        <f>SUMPRODUCT((七通一平=G16)*(修正!B1:M1=G2)*(修正!B6:M14))</f>
        <v>10</v>
      </c>
      <c r="H17" s="1055">
        <f>SUMPRODUCT((七通一平=H16)*(修正!B1:M1=G2)*(修正!B6:M14))</f>
        <v>40</v>
      </c>
      <c r="I17" s="1055">
        <f>SUMPRODUCT((七通一平=I16)*(修正!B1:M1=G2)*(修正!B6:M14))</f>
        <v>30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1823</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1829</v>
      </c>
      <c r="B19" s="1471" t="s">
        <v>954</v>
      </c>
      <c r="C19" s="1057">
        <f>ROUND(IF(H19="按公示增长率计算",SUMPRODUCT((地价!A3:A24=YEAR(G19)&amp;"-"&amp;ROUNDUP(MONTH(G19)/3,0))*(地价!X2:AB2=E2)*(地价!X3:AB24)),IF(H19="地价指数",M20/M19,(1+I19)^O19)),4)</f>
        <v>1.605</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423</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1830</v>
      </c>
      <c r="B20" s="2781" t="s">
        <v>969</v>
      </c>
      <c r="C20" s="2782">
        <f ca="1">ROUND(POWER(1+G20,J20-I20)*(POWER(1+G20,I20)-1)/(POWER(1+G20,J20)-1),4)</f>
        <v>1</v>
      </c>
      <c r="D20" s="2783" t="s">
        <v>970</v>
      </c>
      <c r="E20" s="3098">
        <f ca="1">存贷款利率!I4/100</f>
        <v>4.3499999999999997E-2</v>
      </c>
      <c r="F20" s="2783" t="s">
        <v>971</v>
      </c>
      <c r="G20" s="2784">
        <f ca="1">SUMIF(M15:P15,E2,M17:P17)</f>
        <v>0.05</v>
      </c>
      <c r="H20" s="2783" t="s">
        <v>972</v>
      </c>
      <c r="I20" s="2773">
        <f>SUMIF('数据-取费表'!C6:C15,E2,'数据-取费表'!F6:F15)/COUNTIF('数据-取费表'!C6:C15,E2)</f>
        <v>70</v>
      </c>
      <c r="J20" s="2785">
        <f>IF(E2="住宅",70,IF(E2="商业",40,50))</f>
        <v>70</v>
      </c>
      <c r="K20" s="1482"/>
      <c r="L20" s="3044" t="s">
        <v>2837</v>
      </c>
      <c r="M20" s="3045">
        <f>ROUND(SUMPRODUCT((地价!A4:A24=YEAR(G19)&amp;"-"&amp;ROUNDUP(MONTH(G19)/3,0))*(地价!B2:F2=E2)*(地价!B4:F24)),0)</f>
        <v>657</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0.89190000000000003</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0.89190000000000003</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0.88619999999999999</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0.95650000000000002</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156420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5354</v>
      </c>
      <c r="D29" s="1505">
        <f>'数据-汇总表'!E3</f>
        <v>292155</v>
      </c>
      <c r="E29" s="1851">
        <f ca="1">ROUND(C29*D29/10000,0)</f>
        <v>156420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1339</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12"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13"/>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13"/>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4"/>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1201</v>
      </c>
      <c r="D37" s="1538"/>
      <c r="E37" s="1048">
        <f t="shared" ca="1" si="7"/>
        <v>0</v>
      </c>
      <c r="F37" s="1063">
        <f>SUMIF(修正!A45:A56,G2,修正!F45:F56)</f>
        <v>0.2</v>
      </c>
      <c r="G37" s="1048">
        <f ca="1">ROUND(IF(E2="工业",C37*$M$39,C37*$M$38),0)</f>
        <v>300</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1201</v>
      </c>
      <c r="D38" s="1538"/>
      <c r="E38" s="1048">
        <f t="shared" ca="1" si="7"/>
        <v>0</v>
      </c>
      <c r="F38" s="1063">
        <f>SUMIF(修正!A45:A56,G2,修正!G45:G56)</f>
        <v>0.2</v>
      </c>
      <c r="G38" s="1048">
        <f ca="1">ROUND(IF(E2="工业",C38*$M$39,C38*$M$38),0)</f>
        <v>300</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900</v>
      </c>
      <c r="D39" s="1539"/>
      <c r="E39" s="1051">
        <f t="shared" ca="1" si="7"/>
        <v>0</v>
      </c>
      <c r="F39" s="1065">
        <f>SUMIF(修正!A45:A56,G2,修正!H45:H56)</f>
        <v>0.15</v>
      </c>
      <c r="G39" s="1051">
        <f ca="1">ROUND(IF(E2="工业",C39*$M$39,C39*$M$38),0)</f>
        <v>225</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1005</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1027</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1006</v>
      </c>
      <c r="B57" s="2410"/>
      <c r="C57" s="2432" t="s">
        <v>1008</v>
      </c>
      <c r="D57" s="2433" t="s">
        <v>1009</v>
      </c>
      <c r="E57" s="2434" t="s">
        <v>1011</v>
      </c>
      <c r="F57" s="2435" t="s">
        <v>2247</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1021</v>
      </c>
      <c r="B61" s="3100"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1029</v>
      </c>
      <c r="B67" s="2427">
        <f>1+E69</f>
        <v>0.95650000000000002</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2248</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t="s">
        <v>3065</v>
      </c>
      <c r="D69" s="2419">
        <f t="shared" ref="D69:D77" si="20">SUMIF($J$68:$N$68,C69,J69:N69)</f>
        <v>-2.1000000000000001E-2</v>
      </c>
      <c r="E69" s="2438">
        <f>ROUND(SUM(D69:D77),4)</f>
        <v>-4.3499999999999997E-2</v>
      </c>
      <c r="F69" s="2439">
        <f>IF(E2="住宅",SUMIF(L1:L12,G2,N1:N12),"——")</f>
        <v>0.15</v>
      </c>
      <c r="G69" s="2420">
        <f>H69</f>
        <v>1.0500000000000001E-2</v>
      </c>
      <c r="H69" s="2464">
        <f t="shared" ref="H69:H77" si="21">IFERROR(ROUNDDOWN($F$69*I69/2,4),"——")</f>
        <v>1.0500000000000001E-2</v>
      </c>
      <c r="I69" s="2437">
        <v>0.14000000000000001</v>
      </c>
      <c r="J69" s="2440">
        <f t="shared" ref="J69:J77" si="22">K69+$G69</f>
        <v>2.1000000000000001E-2</v>
      </c>
      <c r="K69" s="2440">
        <f t="shared" ref="K69:K77" si="23">$L69+$G69</f>
        <v>1.0500000000000001E-2</v>
      </c>
      <c r="L69" s="2440">
        <v>0</v>
      </c>
      <c r="M69" s="2440">
        <f t="shared" ref="M69:N77" si="24">L69-$G69</f>
        <v>-1.0500000000000001E-2</v>
      </c>
      <c r="N69" s="2440">
        <f t="shared" si="24"/>
        <v>-2.1000000000000001E-2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10" t="str">
        <f>估价对象房地状况!C18</f>
        <v>估价对象周边道路状况、公共交通通达情况、停车便捷程度，综合评价交通便捷度较好</v>
      </c>
      <c r="C70" s="1159" t="s">
        <v>3066</v>
      </c>
      <c r="D70" s="2419">
        <f t="shared" si="20"/>
        <v>-2.2499999999999999E-2</v>
      </c>
      <c r="E70" s="2447"/>
      <c r="F70" s="2448"/>
      <c r="G70" s="2420">
        <f t="shared" ref="G70:G77" si="25">H70</f>
        <v>2.2499999999999999E-2</v>
      </c>
      <c r="H70" s="2464">
        <f t="shared" si="21"/>
        <v>2.2499999999999999E-2</v>
      </c>
      <c r="I70" s="2437">
        <v>0.3</v>
      </c>
      <c r="J70" s="2440">
        <f t="shared" si="22"/>
        <v>4.4999999999999998E-2</v>
      </c>
      <c r="K70" s="2440">
        <f t="shared" si="23"/>
        <v>2.2499999999999999E-2</v>
      </c>
      <c r="L70" s="2440">
        <v>0</v>
      </c>
      <c r="M70" s="2440">
        <f t="shared" si="24"/>
        <v>-2.2499999999999999E-2</v>
      </c>
      <c r="N70" s="2440">
        <f t="shared" si="24"/>
        <v>-4.4999999999999998E-2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t="s">
        <v>3067</v>
      </c>
      <c r="D71" s="2419">
        <f t="shared" si="20"/>
        <v>0</v>
      </c>
      <c r="E71" s="2447"/>
      <c r="F71" s="2448"/>
      <c r="G71" s="2420">
        <f t="shared" si="25"/>
        <v>6.0000000000000001E-3</v>
      </c>
      <c r="H71" s="2464">
        <f t="shared" si="21"/>
        <v>6.0000000000000001E-3</v>
      </c>
      <c r="I71" s="2437">
        <v>0.08</v>
      </c>
      <c r="J71" s="2440">
        <f t="shared" si="22"/>
        <v>1.2E-2</v>
      </c>
      <c r="K71" s="2440">
        <f t="shared" si="23"/>
        <v>6.0000000000000001E-3</v>
      </c>
      <c r="L71" s="2440">
        <v>0</v>
      </c>
      <c r="M71" s="2440">
        <f t="shared" si="24"/>
        <v>-6.0000000000000001E-3</v>
      </c>
      <c r="N71" s="2440">
        <f t="shared" si="24"/>
        <v>-1.2E-2</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t="s">
        <v>3068</v>
      </c>
      <c r="D72" s="2419">
        <f t="shared" si="20"/>
        <v>3.0000000000000001E-3</v>
      </c>
      <c r="E72" s="2447"/>
      <c r="F72" s="2448"/>
      <c r="G72" s="2420">
        <f t="shared" si="25"/>
        <v>3.0000000000000001E-3</v>
      </c>
      <c r="H72" s="2464">
        <f t="shared" si="21"/>
        <v>3.0000000000000001E-3</v>
      </c>
      <c r="I72" s="2437">
        <v>0.04</v>
      </c>
      <c r="J72" s="2440">
        <f t="shared" si="22"/>
        <v>6.0000000000000001E-3</v>
      </c>
      <c r="K72" s="2440">
        <f t="shared" si="23"/>
        <v>3.0000000000000001E-3</v>
      </c>
      <c r="L72" s="2440">
        <v>0</v>
      </c>
      <c r="M72" s="2440">
        <f t="shared" si="24"/>
        <v>-3.0000000000000001E-3</v>
      </c>
      <c r="N72" s="2440">
        <f t="shared" si="24"/>
        <v>-6.0000000000000001E-3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t="s">
        <v>3065</v>
      </c>
      <c r="D73" s="2419">
        <f t="shared" si="20"/>
        <v>-1.2E-2</v>
      </c>
      <c r="E73" s="2447"/>
      <c r="F73" s="2448"/>
      <c r="G73" s="2420">
        <f t="shared" si="25"/>
        <v>6.0000000000000001E-3</v>
      </c>
      <c r="H73" s="2464">
        <f t="shared" si="21"/>
        <v>6.0000000000000001E-3</v>
      </c>
      <c r="I73" s="2437">
        <v>0.08</v>
      </c>
      <c r="J73" s="2440">
        <f t="shared" si="22"/>
        <v>1.2E-2</v>
      </c>
      <c r="K73" s="2440">
        <f t="shared" si="23"/>
        <v>6.0000000000000001E-3</v>
      </c>
      <c r="L73" s="2440">
        <v>0</v>
      </c>
      <c r="M73" s="2440">
        <f t="shared" si="24"/>
        <v>-6.0000000000000001E-3</v>
      </c>
      <c r="N73" s="2440">
        <f t="shared" si="24"/>
        <v>-1.2E-2</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t="s">
        <v>3068</v>
      </c>
      <c r="D74" s="2419">
        <f t="shared" si="20"/>
        <v>8.9999999999999993E-3</v>
      </c>
      <c r="E74" s="2447"/>
      <c r="F74" s="2448"/>
      <c r="G74" s="2420">
        <f t="shared" si="25"/>
        <v>8.9999999999999993E-3</v>
      </c>
      <c r="H74" s="2464">
        <f t="shared" si="21"/>
        <v>8.9999999999999993E-3</v>
      </c>
      <c r="I74" s="2437">
        <v>0.12</v>
      </c>
      <c r="J74" s="2440">
        <f t="shared" si="22"/>
        <v>1.7999999999999999E-2</v>
      </c>
      <c r="K74" s="2440">
        <f t="shared" si="23"/>
        <v>8.9999999999999993E-3</v>
      </c>
      <c r="L74" s="2440">
        <v>0</v>
      </c>
      <c r="M74" s="2440">
        <f t="shared" si="24"/>
        <v>-8.9999999999999993E-3</v>
      </c>
      <c r="N74" s="2440">
        <f t="shared" si="24"/>
        <v>-1.7999999999999999E-2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3125</v>
      </c>
      <c r="C75" s="1159" t="s">
        <v>3067</v>
      </c>
      <c r="D75" s="2419">
        <f t="shared" si="20"/>
        <v>0</v>
      </c>
      <c r="E75" s="2447"/>
      <c r="F75" s="2448"/>
      <c r="G75" s="2420">
        <f t="shared" si="25"/>
        <v>3.7000000000000002E-3</v>
      </c>
      <c r="H75" s="2464">
        <f t="shared" si="21"/>
        <v>3.7000000000000002E-3</v>
      </c>
      <c r="I75" s="2437">
        <v>0.05</v>
      </c>
      <c r="J75" s="2440">
        <f t="shared" si="22"/>
        <v>7.4000000000000003E-3</v>
      </c>
      <c r="K75" s="2440">
        <f t="shared" si="23"/>
        <v>3.7000000000000002E-3</v>
      </c>
      <c r="L75" s="2440">
        <v>0</v>
      </c>
      <c r="M75" s="2440">
        <f t="shared" si="24"/>
        <v>-3.7000000000000002E-3</v>
      </c>
      <c r="N75" s="2440">
        <f t="shared" si="24"/>
        <v>-7.4000000000000003E-3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t="s">
        <v>3067</v>
      </c>
      <c r="D76" s="2419">
        <f t="shared" si="20"/>
        <v>0</v>
      </c>
      <c r="E76" s="2447"/>
      <c r="F76" s="2448"/>
      <c r="G76" s="2420">
        <f t="shared" si="25"/>
        <v>1.12E-2</v>
      </c>
      <c r="H76" s="2464">
        <f t="shared" si="21"/>
        <v>1.12E-2</v>
      </c>
      <c r="I76" s="2437">
        <v>0.15</v>
      </c>
      <c r="J76" s="2440">
        <f t="shared" si="22"/>
        <v>2.24E-2</v>
      </c>
      <c r="K76" s="2440">
        <f t="shared" si="23"/>
        <v>1.12E-2</v>
      </c>
      <c r="L76" s="2440">
        <v>0</v>
      </c>
      <c r="M76" s="2440">
        <f t="shared" si="24"/>
        <v>-1.12E-2</v>
      </c>
      <c r="N76" s="2440">
        <f t="shared" si="24"/>
        <v>-2.24E-2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t="s">
        <v>3067</v>
      </c>
      <c r="D77" s="2419">
        <f t="shared" si="20"/>
        <v>0</v>
      </c>
      <c r="E77" s="2449"/>
      <c r="F77" s="2448"/>
      <c r="G77" s="2420">
        <f t="shared" si="25"/>
        <v>3.0000000000000001E-3</v>
      </c>
      <c r="H77" s="2464">
        <f t="shared" si="21"/>
        <v>3.0000000000000001E-3</v>
      </c>
      <c r="I77" s="2444">
        <v>0.04</v>
      </c>
      <c r="J77" s="2440">
        <f t="shared" si="22"/>
        <v>6.0000000000000001E-3</v>
      </c>
      <c r="K77" s="2440">
        <f t="shared" si="23"/>
        <v>3.0000000000000001E-3</v>
      </c>
      <c r="L77" s="2440">
        <v>0</v>
      </c>
      <c r="M77" s="2440">
        <f t="shared" si="24"/>
        <v>-3.0000000000000001E-3</v>
      </c>
      <c r="N77" s="2440">
        <f t="shared" si="24"/>
        <v>-6.0000000000000001E-3</v>
      </c>
      <c r="AC77" s="1406"/>
      <c r="AD77" s="1405"/>
      <c r="AJ77" s="1404"/>
      <c r="AN77" s="1405"/>
    </row>
    <row r="78" spans="1:40" ht="15" hidden="1">
      <c r="A78" s="2426" t="s">
        <v>1034</v>
      </c>
      <c r="B78" s="2427">
        <f>1+E80</f>
        <v>1</v>
      </c>
      <c r="C78" s="2446"/>
      <c r="D78" s="2429"/>
      <c r="E78" s="2430"/>
      <c r="F78" s="2431"/>
      <c r="G78" s="2425"/>
      <c r="H78" s="2425"/>
      <c r="I78" s="2425"/>
      <c r="J78" s="1066"/>
      <c r="K78" s="1066"/>
      <c r="L78" s="1066"/>
      <c r="M78" s="1066"/>
      <c r="N78" s="1066"/>
      <c r="AC78" s="1406"/>
      <c r="AD78" s="1405"/>
      <c r="AJ78" s="1404"/>
      <c r="AN78" s="1405"/>
    </row>
    <row r="79" spans="1:40" ht="24" hidden="1">
      <c r="A79" s="1067" t="s">
        <v>1006</v>
      </c>
      <c r="B79" s="2410"/>
      <c r="C79" s="2432" t="s">
        <v>1008</v>
      </c>
      <c r="D79" s="2433" t="s">
        <v>1009</v>
      </c>
      <c r="E79" s="2434" t="s">
        <v>1011</v>
      </c>
      <c r="F79" s="2435" t="s">
        <v>2249</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hidden="1">
      <c r="A80" s="1067" t="s">
        <v>1035</v>
      </c>
      <c r="B80" s="2410" t="str">
        <f>估价对象房地状况!G15</f>
        <v>估价对象位于XX开发区，园区建设成熟度XX，产业集聚程度XX</v>
      </c>
      <c r="C80" s="1050"/>
      <c r="D80" s="2419">
        <f t="shared" ref="D80:D87" si="26">SUMIF($J$79:$N$79,C80,J80:N80)</f>
        <v>0</v>
      </c>
      <c r="E80" s="2438">
        <f>ROUND(SUM(D80:D87),4)</f>
        <v>0</v>
      </c>
      <c r="F80" s="2439" t="str">
        <f>IF(E2="工业",SUMIF(L1:L12,G2,N1:N12),"——")</f>
        <v>——</v>
      </c>
      <c r="G80" s="2417"/>
      <c r="H80" s="2463" t="str">
        <f t="shared" ref="H80:H87" si="27">IFERROR(ROUNDDOWN($F$80*I80/2,4),"——")</f>
        <v>——</v>
      </c>
      <c r="I80" s="2437">
        <v>0.26</v>
      </c>
      <c r="J80" s="2440">
        <f t="shared" ref="J80:J87" si="28">K80+$G80</f>
        <v>0</v>
      </c>
      <c r="K80" s="2440">
        <f t="shared" ref="K80:K87" si="29">$L80+$G80</f>
        <v>0</v>
      </c>
      <c r="L80" s="2440">
        <v>0</v>
      </c>
      <c r="M80" s="2440">
        <f t="shared" ref="M80:N87" si="30">L80-$G80</f>
        <v>0</v>
      </c>
      <c r="N80" s="2440">
        <f t="shared" si="30"/>
        <v>0</v>
      </c>
      <c r="AC80" s="1406"/>
      <c r="AD80" s="1405"/>
      <c r="AJ80" s="1404"/>
      <c r="AN80" s="1405"/>
    </row>
    <row r="81" spans="1:40" ht="48" hidden="1">
      <c r="A81" s="1067" t="s">
        <v>1031</v>
      </c>
      <c r="B81" s="2410" t="str">
        <f>估价对象房地状况!G16</f>
        <v>估价对象周边道路状况、公共交通通达情况、停车便捷程度，综合评价交通便捷度较好</v>
      </c>
      <c r="C81" s="1050"/>
      <c r="D81" s="2419">
        <f t="shared" si="26"/>
        <v>0</v>
      </c>
      <c r="E81" s="2447"/>
      <c r="F81" s="2448"/>
      <c r="G81" s="2417"/>
      <c r="H81" s="2463" t="str">
        <f t="shared" si="27"/>
        <v>——</v>
      </c>
      <c r="I81" s="2437">
        <v>0.33</v>
      </c>
      <c r="J81" s="2440">
        <f t="shared" si="28"/>
        <v>0</v>
      </c>
      <c r="K81" s="2440">
        <f t="shared" si="29"/>
        <v>0</v>
      </c>
      <c r="L81" s="2440">
        <v>0</v>
      </c>
      <c r="M81" s="2440">
        <f t="shared" si="30"/>
        <v>0</v>
      </c>
      <c r="N81" s="2440">
        <f t="shared" si="30"/>
        <v>0</v>
      </c>
      <c r="AC81" s="1406"/>
      <c r="AD81" s="1405"/>
      <c r="AJ81" s="1404"/>
      <c r="AN81" s="1405"/>
    </row>
    <row r="82" spans="1:40" ht="24" hidden="1">
      <c r="A82" s="1067" t="s">
        <v>1020</v>
      </c>
      <c r="B82" s="2410">
        <f>估价对象房地状况!G17</f>
        <v>0</v>
      </c>
      <c r="C82" s="1050"/>
      <c r="D82" s="2419">
        <f t="shared" si="26"/>
        <v>0</v>
      </c>
      <c r="E82" s="2447"/>
      <c r="F82" s="2448"/>
      <c r="G82" s="2417"/>
      <c r="H82" s="2463" t="str">
        <f t="shared" si="27"/>
        <v>——</v>
      </c>
      <c r="I82" s="2437">
        <v>0.05</v>
      </c>
      <c r="J82" s="2440">
        <f t="shared" si="28"/>
        <v>0</v>
      </c>
      <c r="K82" s="2440">
        <f t="shared" si="29"/>
        <v>0</v>
      </c>
      <c r="L82" s="2440">
        <v>0</v>
      </c>
      <c r="M82" s="2440">
        <f t="shared" si="30"/>
        <v>0</v>
      </c>
      <c r="N82" s="2440">
        <f t="shared" si="30"/>
        <v>0</v>
      </c>
      <c r="AC82" s="1406"/>
      <c r="AD82" s="1405"/>
      <c r="AJ82" s="1404"/>
      <c r="AN82" s="1405"/>
    </row>
    <row r="83" spans="1:40" ht="14.25" hidden="1">
      <c r="A83" s="1067" t="s">
        <v>1032</v>
      </c>
      <c r="B83" s="2410">
        <f>估价对象房地状况!G22</f>
        <v>0</v>
      </c>
      <c r="C83" s="1050"/>
      <c r="D83" s="2419">
        <f t="shared" si="26"/>
        <v>0</v>
      </c>
      <c r="E83" s="2447"/>
      <c r="F83" s="2448"/>
      <c r="G83" s="2417"/>
      <c r="H83" s="2463" t="str">
        <f t="shared" si="27"/>
        <v>——</v>
      </c>
      <c r="I83" s="2437">
        <v>0.04</v>
      </c>
      <c r="J83" s="2440">
        <f t="shared" si="28"/>
        <v>0</v>
      </c>
      <c r="K83" s="2440">
        <f t="shared" si="29"/>
        <v>0</v>
      </c>
      <c r="L83" s="2440">
        <v>0</v>
      </c>
      <c r="M83" s="2440">
        <f t="shared" si="30"/>
        <v>0</v>
      </c>
      <c r="N83" s="2440">
        <f t="shared" si="30"/>
        <v>0</v>
      </c>
      <c r="AC83" s="1406"/>
      <c r="AD83" s="1405"/>
      <c r="AJ83" s="1404"/>
      <c r="AN83" s="1405"/>
    </row>
    <row r="84" spans="1:40" ht="24" hidden="1">
      <c r="A84" s="1067" t="s">
        <v>1024</v>
      </c>
      <c r="B84" s="2411" t="str">
        <f>估价对象房地状况!G19</f>
        <v>估价对象所在区域公共配套设施齐备情况</v>
      </c>
      <c r="C84" s="1050"/>
      <c r="D84" s="2419">
        <f t="shared" si="26"/>
        <v>0</v>
      </c>
      <c r="E84" s="2447"/>
      <c r="F84" s="2448"/>
      <c r="G84" s="2417"/>
      <c r="H84" s="2463" t="str">
        <f t="shared" si="27"/>
        <v>——</v>
      </c>
      <c r="I84" s="2437">
        <v>0.06</v>
      </c>
      <c r="J84" s="2440">
        <f t="shared" si="28"/>
        <v>0</v>
      </c>
      <c r="K84" s="2440">
        <f t="shared" si="29"/>
        <v>0</v>
      </c>
      <c r="L84" s="2440">
        <v>0</v>
      </c>
      <c r="M84" s="2440">
        <f t="shared" si="30"/>
        <v>0</v>
      </c>
      <c r="N84" s="2440">
        <f t="shared" si="30"/>
        <v>0</v>
      </c>
      <c r="AC84" s="1406"/>
      <c r="AD84" s="1405"/>
      <c r="AJ84" s="1404"/>
      <c r="AN84" s="1405"/>
    </row>
    <row r="85" spans="1:40" ht="24" hidden="1">
      <c r="A85" s="1067" t="s">
        <v>1025</v>
      </c>
      <c r="B85" s="2411" t="str">
        <f>估价对象房地状况!G20</f>
        <v>估价对象所在区域基础设施水平</v>
      </c>
      <c r="C85" s="1050"/>
      <c r="D85" s="2419">
        <f t="shared" si="26"/>
        <v>0</v>
      </c>
      <c r="E85" s="2447"/>
      <c r="F85" s="2448"/>
      <c r="G85" s="2417"/>
      <c r="H85" s="2463" t="str">
        <f t="shared" si="27"/>
        <v>——</v>
      </c>
      <c r="I85" s="2437">
        <v>0.15</v>
      </c>
      <c r="J85" s="2440">
        <f t="shared" si="28"/>
        <v>0</v>
      </c>
      <c r="K85" s="2440">
        <f t="shared" si="29"/>
        <v>0</v>
      </c>
      <c r="L85" s="2440">
        <v>0</v>
      </c>
      <c r="M85" s="2440">
        <f t="shared" si="30"/>
        <v>0</v>
      </c>
      <c r="N85" s="2440">
        <f t="shared" si="30"/>
        <v>0</v>
      </c>
      <c r="AC85" s="1406"/>
      <c r="AD85" s="1405"/>
      <c r="AJ85" s="1404"/>
      <c r="AN85" s="1405"/>
    </row>
    <row r="86" spans="1:40" ht="24" hidden="1">
      <c r="A86" s="1067" t="s">
        <v>1023</v>
      </c>
      <c r="B86" s="3099" t="s">
        <v>2933</v>
      </c>
      <c r="C86" s="1050"/>
      <c r="D86" s="2419">
        <f t="shared" si="26"/>
        <v>0</v>
      </c>
      <c r="E86" s="2447"/>
      <c r="F86" s="2448"/>
      <c r="G86" s="2417"/>
      <c r="H86" s="2463" t="str">
        <f t="shared" si="27"/>
        <v>——</v>
      </c>
      <c r="I86" s="2437">
        <v>0.05</v>
      </c>
      <c r="J86" s="2440">
        <f t="shared" si="28"/>
        <v>0</v>
      </c>
      <c r="K86" s="2440">
        <f t="shared" si="29"/>
        <v>0</v>
      </c>
      <c r="L86" s="2440">
        <v>0</v>
      </c>
      <c r="M86" s="2440">
        <f t="shared" si="30"/>
        <v>0</v>
      </c>
      <c r="N86" s="2440">
        <f t="shared" si="30"/>
        <v>0</v>
      </c>
      <c r="AC86" s="1406"/>
      <c r="AD86" s="1405"/>
      <c r="AJ86" s="1404"/>
      <c r="AN86" s="1405"/>
    </row>
    <row r="87" spans="1:40" ht="36.75" hidden="1" thickBot="1">
      <c r="A87" s="2443" t="s">
        <v>1036</v>
      </c>
      <c r="B87" s="2412" t="str">
        <f>估价对象房地状况!G18</f>
        <v>该园区内是否有污染型企业，绿化情况，卫生条件，整体环境状况判断</v>
      </c>
      <c r="C87" s="1050"/>
      <c r="D87" s="2419">
        <f t="shared" si="26"/>
        <v>0</v>
      </c>
      <c r="E87" s="2449"/>
      <c r="F87" s="2448"/>
      <c r="G87" s="2417"/>
      <c r="H87" s="2463" t="str">
        <f t="shared" si="27"/>
        <v>——</v>
      </c>
      <c r="I87" s="2444">
        <v>0.06</v>
      </c>
      <c r="J87" s="2440">
        <f t="shared" si="28"/>
        <v>0</v>
      </c>
      <c r="K87" s="2440">
        <f t="shared" si="29"/>
        <v>0</v>
      </c>
      <c r="L87" s="2440">
        <v>0</v>
      </c>
      <c r="M87" s="2440">
        <f t="shared" si="30"/>
        <v>0</v>
      </c>
      <c r="N87" s="2440">
        <f t="shared" si="30"/>
        <v>0</v>
      </c>
      <c r="AC87" s="1406"/>
      <c r="AD87" s="1405"/>
      <c r="AJ87" s="1404"/>
      <c r="AN87" s="1405"/>
    </row>
    <row r="90" spans="1:40">
      <c r="A90" s="3510" t="s">
        <v>1631</v>
      </c>
      <c r="B90" s="3510"/>
      <c r="C90" s="3510"/>
      <c r="D90" s="3510"/>
      <c r="E90" s="3510"/>
      <c r="F90" s="3510"/>
      <c r="G90" s="3510"/>
      <c r="H90" s="3510"/>
      <c r="I90" s="3510"/>
      <c r="J90" s="3510"/>
      <c r="K90" s="2452"/>
      <c r="L90" s="2452"/>
      <c r="M90" s="2452"/>
      <c r="N90" s="2452"/>
    </row>
    <row r="91" spans="1:40">
      <c r="A91" s="3511" t="s">
        <v>1441</v>
      </c>
      <c r="B91" s="3511" t="s">
        <v>1632</v>
      </c>
      <c r="C91" s="1140" t="s">
        <v>1633</v>
      </c>
      <c r="D91" s="1141"/>
      <c r="E91" s="1141"/>
      <c r="F91" s="1141"/>
      <c r="G91" s="1141"/>
      <c r="H91" s="1141"/>
      <c r="I91" s="1141"/>
      <c r="J91" s="1142"/>
      <c r="K91" s="1134"/>
      <c r="L91" s="1134"/>
      <c r="M91" s="1134"/>
      <c r="N91" s="1134"/>
    </row>
    <row r="92" spans="1:40">
      <c r="A92" s="3511"/>
      <c r="B92" s="3511"/>
      <c r="C92" s="2451" t="s">
        <v>904</v>
      </c>
      <c r="D92" s="2451" t="s">
        <v>882</v>
      </c>
      <c r="E92" s="2451" t="s">
        <v>883</v>
      </c>
      <c r="F92" s="2451" t="s">
        <v>907</v>
      </c>
      <c r="G92" s="2451" t="s">
        <v>885</v>
      </c>
      <c r="H92" s="2451" t="s">
        <v>886</v>
      </c>
      <c r="I92" s="2451" t="s">
        <v>887</v>
      </c>
      <c r="J92" s="2451" t="s">
        <v>888</v>
      </c>
      <c r="K92" s="2451" t="s">
        <v>912</v>
      </c>
      <c r="L92" s="2451" t="s">
        <v>890</v>
      </c>
      <c r="M92" s="2451" t="s">
        <v>891</v>
      </c>
      <c r="N92" s="2451" t="s">
        <v>915</v>
      </c>
    </row>
    <row r="93" spans="1:40">
      <c r="A93" s="3500"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1"/>
      <c r="B99" s="1143" t="s">
        <v>1634</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50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0" t="s">
        <v>1635</v>
      </c>
      <c r="B101" s="1147" t="s">
        <v>903</v>
      </c>
      <c r="C101" s="1148">
        <f>$G$3</f>
        <v>2.25</v>
      </c>
      <c r="D101" s="1148">
        <f t="shared" ref="D101:N101" si="32">$G$3</f>
        <v>2.25</v>
      </c>
      <c r="E101" s="1148">
        <f t="shared" si="32"/>
        <v>2.25</v>
      </c>
      <c r="F101" s="1148">
        <f t="shared" si="32"/>
        <v>2.25</v>
      </c>
      <c r="G101" s="1148">
        <f t="shared" si="32"/>
        <v>2.25</v>
      </c>
      <c r="H101" s="1148">
        <f t="shared" si="32"/>
        <v>2.25</v>
      </c>
      <c r="I101" s="1148">
        <f t="shared" si="32"/>
        <v>2.25</v>
      </c>
      <c r="J101" s="1148">
        <f t="shared" si="32"/>
        <v>2.25</v>
      </c>
      <c r="K101" s="1148">
        <f t="shared" si="32"/>
        <v>2.25</v>
      </c>
      <c r="L101" s="1148">
        <f t="shared" si="32"/>
        <v>2.25</v>
      </c>
      <c r="M101" s="1148">
        <f t="shared" si="32"/>
        <v>2.25</v>
      </c>
      <c r="N101" s="1148">
        <f t="shared" si="32"/>
        <v>2.25</v>
      </c>
    </row>
    <row r="102" spans="1:14">
      <c r="A102" s="3501"/>
      <c r="B102" s="1143">
        <v>1</v>
      </c>
      <c r="C102" s="1144">
        <f>1.9362/C101</f>
        <v>0.86053333333333326</v>
      </c>
      <c r="D102" s="1144">
        <f>1.9362/D101</f>
        <v>0.86053333333333326</v>
      </c>
      <c r="E102" s="1144">
        <f>1.8629/E101</f>
        <v>0.82795555555555556</v>
      </c>
      <c r="F102" s="1144">
        <f>1.8629/F101</f>
        <v>0.82795555555555556</v>
      </c>
      <c r="G102" s="1144">
        <f>1.8629/G101</f>
        <v>0.82795555555555556</v>
      </c>
      <c r="H102" s="1144">
        <f>1.8629/H101</f>
        <v>0.82795555555555556</v>
      </c>
      <c r="I102" s="1144">
        <f>1.8629/I101</f>
        <v>0.82795555555555556</v>
      </c>
      <c r="J102" s="1144">
        <f>1.942/J101</f>
        <v>0.86311111111111105</v>
      </c>
      <c r="K102" s="1144">
        <f>1.942/K101</f>
        <v>0.86311111111111105</v>
      </c>
      <c r="L102" s="1144">
        <f>1.942/L101</f>
        <v>0.86311111111111105</v>
      </c>
      <c r="M102" s="1144">
        <f>1.942/M101</f>
        <v>0.86311111111111105</v>
      </c>
      <c r="N102" s="1144">
        <f>1.942/N101</f>
        <v>0.86311111111111105</v>
      </c>
    </row>
    <row r="103" spans="1:14">
      <c r="A103" s="3501"/>
      <c r="B103" s="1143">
        <v>2</v>
      </c>
      <c r="C103" s="1144">
        <f>1.4198/C101</f>
        <v>0.63102222222222215</v>
      </c>
      <c r="D103" s="1144">
        <f>1.4198/D101</f>
        <v>0.63102222222222215</v>
      </c>
      <c r="E103" s="1144">
        <f>1.3372/E101</f>
        <v>0.59431111111111112</v>
      </c>
      <c r="F103" s="1144">
        <f>1.3372/F101</f>
        <v>0.59431111111111112</v>
      </c>
      <c r="G103" s="1144">
        <f>1.3372/G101</f>
        <v>0.59431111111111112</v>
      </c>
      <c r="H103" s="1144">
        <f>1.3372/H101</f>
        <v>0.59431111111111112</v>
      </c>
      <c r="I103" s="1144">
        <f>1.3372/I101</f>
        <v>0.59431111111111112</v>
      </c>
      <c r="J103" s="1144">
        <f>1.2799/J101</f>
        <v>0.56884444444444449</v>
      </c>
      <c r="K103" s="1144">
        <f>1.2799/K101</f>
        <v>0.56884444444444449</v>
      </c>
      <c r="L103" s="1144">
        <f>1.2799/L101</f>
        <v>0.56884444444444449</v>
      </c>
      <c r="M103" s="1144">
        <f>1.2799/M101</f>
        <v>0.56884444444444449</v>
      </c>
      <c r="N103" s="1144">
        <f>1.2799/N101</f>
        <v>0.56884444444444449</v>
      </c>
    </row>
    <row r="104" spans="1:14">
      <c r="A104" s="3501"/>
      <c r="B104" s="1143">
        <v>3</v>
      </c>
      <c r="C104" s="1144">
        <f>1.1594/C101</f>
        <v>0.51528888888888891</v>
      </c>
      <c r="D104" s="1144">
        <f>1.1594/D101</f>
        <v>0.51528888888888891</v>
      </c>
      <c r="E104" s="1144">
        <f>1.0788/E101</f>
        <v>0.47946666666666665</v>
      </c>
      <c r="F104" s="1144">
        <f>1.0788/F101</f>
        <v>0.47946666666666665</v>
      </c>
      <c r="G104" s="1144">
        <f>1.0788/G101</f>
        <v>0.47946666666666665</v>
      </c>
      <c r="H104" s="1144">
        <f>1.0788/H101</f>
        <v>0.47946666666666665</v>
      </c>
      <c r="I104" s="1144">
        <f>1.0788/I101</f>
        <v>0.47946666666666665</v>
      </c>
      <c r="J104" s="1144">
        <f>1.0072/J101</f>
        <v>0.44764444444444451</v>
      </c>
      <c r="K104" s="1144">
        <f>1.0072/K101</f>
        <v>0.44764444444444451</v>
      </c>
      <c r="L104" s="1144">
        <f>1.0072/L101</f>
        <v>0.44764444444444451</v>
      </c>
      <c r="M104" s="1144">
        <f>1.0072/M101</f>
        <v>0.44764444444444451</v>
      </c>
      <c r="N104" s="1144">
        <f>1.0072/N101</f>
        <v>0.44764444444444451</v>
      </c>
    </row>
    <row r="105" spans="1:14">
      <c r="A105" s="3501"/>
      <c r="B105" s="1143">
        <v>4</v>
      </c>
      <c r="C105" s="1144">
        <f>0.9622/C101</f>
        <v>0.42764444444444449</v>
      </c>
      <c r="D105" s="1144">
        <f>0.9622/D101</f>
        <v>0.42764444444444449</v>
      </c>
      <c r="E105" s="1144">
        <f>0.8656/E101</f>
        <v>0.38471111111111111</v>
      </c>
      <c r="F105" s="1144">
        <f>0.8656/F101</f>
        <v>0.38471111111111111</v>
      </c>
      <c r="G105" s="1144">
        <f>0.8656/G101</f>
        <v>0.38471111111111111</v>
      </c>
      <c r="H105" s="1144">
        <f>0.8656/H101</f>
        <v>0.38471111111111111</v>
      </c>
      <c r="I105" s="1144">
        <f>0.8656/I101</f>
        <v>0.38471111111111111</v>
      </c>
      <c r="J105" s="1144">
        <f>0.7525/J101</f>
        <v>0.33444444444444443</v>
      </c>
      <c r="K105" s="1144">
        <f>0.7525/K101</f>
        <v>0.33444444444444443</v>
      </c>
      <c r="L105" s="1144">
        <f>0.7525/L101</f>
        <v>0.33444444444444443</v>
      </c>
      <c r="M105" s="1144">
        <f>0.7525/M101</f>
        <v>0.33444444444444443</v>
      </c>
      <c r="N105" s="1144">
        <f>0.7525/N101</f>
        <v>0.33444444444444443</v>
      </c>
    </row>
    <row r="106" spans="1:14">
      <c r="A106" s="3501"/>
      <c r="B106" s="1143">
        <v>5</v>
      </c>
      <c r="C106" s="1144">
        <f>0.8417/C101</f>
        <v>0.37408888888888892</v>
      </c>
      <c r="D106" s="1144">
        <f>0.8417/D101</f>
        <v>0.37408888888888892</v>
      </c>
      <c r="E106" s="1144">
        <f>0.7371/E101</f>
        <v>0.3276</v>
      </c>
      <c r="F106" s="1144">
        <f>0.7371/F101</f>
        <v>0.3276</v>
      </c>
      <c r="G106" s="1144">
        <f>0.7371/G101</f>
        <v>0.3276</v>
      </c>
      <c r="H106" s="1144">
        <f>0.7371/H101</f>
        <v>0.3276</v>
      </c>
      <c r="I106" s="1144">
        <f>0.7371/I101</f>
        <v>0.3276</v>
      </c>
      <c r="J106" s="1144">
        <f>0.5659/J101</f>
        <v>0.25151111111111107</v>
      </c>
      <c r="K106" s="1144">
        <f>0.5659/K101</f>
        <v>0.25151111111111107</v>
      </c>
      <c r="L106" s="1144">
        <f>0.5659/L101</f>
        <v>0.25151111111111107</v>
      </c>
      <c r="M106" s="1144">
        <f>0.5659/M101</f>
        <v>0.25151111111111107</v>
      </c>
      <c r="N106" s="1144">
        <f>0.5659/N101</f>
        <v>0.25151111111111107</v>
      </c>
    </row>
    <row r="107" spans="1:14">
      <c r="A107" s="3501"/>
      <c r="B107" s="1143">
        <v>6</v>
      </c>
      <c r="C107" s="1144">
        <f>0.7608/C101</f>
        <v>0.33813333333333334</v>
      </c>
      <c r="D107" s="1144">
        <f>0.7608/D101</f>
        <v>0.33813333333333334</v>
      </c>
      <c r="E107" s="1144">
        <f>0.6482/E101</f>
        <v>0.28808888888888889</v>
      </c>
      <c r="F107" s="1144">
        <f>0.6482/F101</f>
        <v>0.28808888888888889</v>
      </c>
      <c r="G107" s="1144">
        <f>0.6482/G101</f>
        <v>0.28808888888888889</v>
      </c>
      <c r="H107" s="1144">
        <f>0.6482/H101</f>
        <v>0.28808888888888889</v>
      </c>
      <c r="I107" s="1144">
        <f>0.6482/I101</f>
        <v>0.28808888888888889</v>
      </c>
      <c r="J107" s="1144">
        <f>0.4525/J101</f>
        <v>0.20111111111111113</v>
      </c>
      <c r="K107" s="1144">
        <f>0.4525/K101</f>
        <v>0.20111111111111113</v>
      </c>
      <c r="L107" s="1144">
        <f>0.4525/L101</f>
        <v>0.20111111111111113</v>
      </c>
      <c r="M107" s="1144">
        <f>0.4525/M101</f>
        <v>0.20111111111111113</v>
      </c>
      <c r="N107" s="1144">
        <f>0.4525/N101</f>
        <v>0.20111111111111113</v>
      </c>
    </row>
    <row r="108" spans="1:14">
      <c r="A108" s="3501"/>
      <c r="B108" s="3503" t="s">
        <v>1636</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502"/>
      <c r="B109" s="3504"/>
      <c r="C109" s="1146">
        <f>(-0.163*(C108^2)-0.59*C108+7617)*(10^(-4))/C101</f>
        <v>0.33785991111111113</v>
      </c>
      <c r="D109" s="1146">
        <f>(-0.163*(D108^2)-0.59*D108+7617)*(10^(-4))/D101</f>
        <v>0.33785991111111113</v>
      </c>
      <c r="E109" s="1146">
        <f>(-0.161*(E108^2)-7.509*E108+6533)*(10^(-4))/E101</f>
        <v>0.28722773333333335</v>
      </c>
      <c r="F109" s="1146">
        <f>(-0.161*(F108^2)-7.509*F108+6533)*(10^(-4))/F101</f>
        <v>0.28722773333333335</v>
      </c>
      <c r="G109" s="1146">
        <f>(-0.161*(G108^2)-7.509*G108+6533)*(10^(-4))/G101</f>
        <v>0.28722773333333335</v>
      </c>
      <c r="H109" s="1146">
        <f>(-0.161*(H108^2)-7.509*H108+6533)*(10^(-4))/H101</f>
        <v>0.28722773333333335</v>
      </c>
      <c r="I109" s="1146">
        <f>(-0.161*(I108^2)-7.509*I108+6533)*(10^(-4))/I101</f>
        <v>0.28722773333333335</v>
      </c>
      <c r="J109" s="1146">
        <f>(-0.214*(J108^2)-21.991*J108+4665)*(10^(-4))/J101</f>
        <v>0.19890560000000002</v>
      </c>
      <c r="K109" s="1146">
        <f>(-0.214*(K108^2)-21.991*K108+4665)*(10^(-4))/K101</f>
        <v>0.19890560000000002</v>
      </c>
      <c r="L109" s="1146">
        <f>(-0.214*(L108^2)-21.991*L108+4665)*(10^(-4))/L101</f>
        <v>0.19890560000000002</v>
      </c>
      <c r="M109" s="1146">
        <f>(-0.214*(M108^2)-21.991*M108+4665)*(10^(-4))/M101</f>
        <v>0.19890560000000002</v>
      </c>
      <c r="N109" s="1146">
        <f>(-0.214*(N108^2)-21.991*N108+4665)*(10^(-4))/N101</f>
        <v>0.19890560000000002</v>
      </c>
    </row>
    <row r="110" spans="1:14">
      <c r="A110" s="3505" t="s">
        <v>1637</v>
      </c>
      <c r="B110" s="3505"/>
      <c r="C110" s="3505"/>
      <c r="D110" s="3505"/>
      <c r="E110" s="3505"/>
      <c r="F110" s="3505"/>
      <c r="G110" s="3505"/>
      <c r="H110" s="3505"/>
      <c r="I110" s="3505"/>
      <c r="J110" s="3505"/>
      <c r="K110" s="2450"/>
      <c r="L110" s="2450"/>
      <c r="M110" s="2450"/>
      <c r="N110" s="2450"/>
    </row>
    <row r="112" spans="1:14" ht="12.75" thickBot="1"/>
    <row r="113" spans="1:13" ht="25.5" thickBot="1">
      <c r="A113" s="1016" t="s">
        <v>893</v>
      </c>
      <c r="B113" s="2453">
        <f>G3</f>
        <v>2.25</v>
      </c>
      <c r="C113" s="1017" t="s">
        <v>894</v>
      </c>
      <c r="D113" s="1018">
        <f>SUMPRODUCT((A115:A118=F113)*(B114:M114=H113)*B115:M118)</f>
        <v>0.7198</v>
      </c>
      <c r="E113" s="1019" t="s">
        <v>895</v>
      </c>
      <c r="F113" s="1020" t="str">
        <f>E2</f>
        <v>住宅</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0.91239999999999999</v>
      </c>
      <c r="C115" s="1030">
        <f>B115</f>
        <v>0.91239999999999999</v>
      </c>
      <c r="D115" s="1030">
        <f>ROUND(0.8331-0.0109*B113,4)</f>
        <v>0.80859999999999999</v>
      </c>
      <c r="E115" s="1030">
        <f>D115</f>
        <v>0.80859999999999999</v>
      </c>
      <c r="F115" s="1030">
        <f>E115</f>
        <v>0.80859999999999999</v>
      </c>
      <c r="G115" s="1030">
        <f>F115</f>
        <v>0.80859999999999999</v>
      </c>
      <c r="H115" s="1030">
        <f>G115</f>
        <v>0.80859999999999999</v>
      </c>
      <c r="I115" s="1030">
        <f>ROUND(0.689-0.0155*B113,4)</f>
        <v>0.65410000000000001</v>
      </c>
      <c r="J115" s="1030">
        <f t="shared" ref="J115:M118" si="34">I115</f>
        <v>0.65410000000000001</v>
      </c>
      <c r="K115" s="1030">
        <f t="shared" si="34"/>
        <v>0.65410000000000001</v>
      </c>
      <c r="L115" s="1030">
        <f t="shared" si="34"/>
        <v>0.65410000000000001</v>
      </c>
      <c r="M115" s="1031">
        <f t="shared" si="34"/>
        <v>0.65410000000000001</v>
      </c>
    </row>
    <row r="116" spans="1:13" ht="12.75">
      <c r="A116" s="1029" t="s">
        <v>898</v>
      </c>
      <c r="B116" s="1030">
        <f>ROUND(0.949-0.012*B113,4)</f>
        <v>0.92200000000000004</v>
      </c>
      <c r="C116" s="1030">
        <f>B116</f>
        <v>0.92200000000000004</v>
      </c>
      <c r="D116" s="1030">
        <f>ROUND(0.8567-0.013*B113,4)</f>
        <v>0.82750000000000001</v>
      </c>
      <c r="E116" s="1030">
        <f t="shared" ref="E116:H117" si="35">D116</f>
        <v>0.82750000000000001</v>
      </c>
      <c r="F116" s="1030">
        <f t="shared" si="35"/>
        <v>0.82750000000000001</v>
      </c>
      <c r="G116" s="1030">
        <f t="shared" si="35"/>
        <v>0.82750000000000001</v>
      </c>
      <c r="H116" s="1030">
        <f t="shared" si="35"/>
        <v>0.82750000000000001</v>
      </c>
      <c r="I116" s="1030">
        <f>ROUND(0.7694-0.014*B113,4)</f>
        <v>0.7379</v>
      </c>
      <c r="J116" s="1030">
        <f t="shared" si="34"/>
        <v>0.7379</v>
      </c>
      <c r="K116" s="1030">
        <f t="shared" si="34"/>
        <v>0.7379</v>
      </c>
      <c r="L116" s="1030">
        <f t="shared" si="34"/>
        <v>0.7379</v>
      </c>
      <c r="M116" s="1031">
        <f t="shared" si="34"/>
        <v>0.7379</v>
      </c>
    </row>
    <row r="117" spans="1:13" ht="12.75">
      <c r="A117" s="1032" t="s">
        <v>899</v>
      </c>
      <c r="B117" s="1030">
        <f>ROUND(0.8808-0.006*B113,4)</f>
        <v>0.86729999999999996</v>
      </c>
      <c r="C117" s="1030">
        <f>B117</f>
        <v>0.86729999999999996</v>
      </c>
      <c r="D117" s="1030">
        <f>ROUND(0.8748-0.008*B113,4)</f>
        <v>0.85680000000000001</v>
      </c>
      <c r="E117" s="1030">
        <f t="shared" si="35"/>
        <v>0.85680000000000001</v>
      </c>
      <c r="F117" s="1030">
        <f t="shared" si="35"/>
        <v>0.85680000000000001</v>
      </c>
      <c r="G117" s="1030">
        <f t="shared" si="35"/>
        <v>0.85680000000000001</v>
      </c>
      <c r="H117" s="1030">
        <f t="shared" si="35"/>
        <v>0.85680000000000001</v>
      </c>
      <c r="I117" s="1030">
        <f>ROUND(0.7412-0.0095*B113,4)</f>
        <v>0.7198</v>
      </c>
      <c r="J117" s="1030">
        <f t="shared" si="34"/>
        <v>0.7198</v>
      </c>
      <c r="K117" s="1030">
        <f t="shared" si="34"/>
        <v>0.7198</v>
      </c>
      <c r="L117" s="1030">
        <f t="shared" si="34"/>
        <v>0.7198</v>
      </c>
      <c r="M117" s="1031">
        <f t="shared" si="34"/>
        <v>0.7198</v>
      </c>
    </row>
    <row r="118" spans="1:13" ht="13.5" thickBot="1">
      <c r="A118" s="1033" t="s">
        <v>900</v>
      </c>
      <c r="B118" s="1034">
        <f>ROUND(0.7275-0.01*B113,4)</f>
        <v>0.70499999999999996</v>
      </c>
      <c r="C118" s="1034">
        <f>B118</f>
        <v>0.70499999999999996</v>
      </c>
      <c r="D118" s="1034">
        <f>ROUND(0.7043-0.012*B113,4)</f>
        <v>0.67730000000000001</v>
      </c>
      <c r="E118" s="1034">
        <f>D118</f>
        <v>0.67730000000000001</v>
      </c>
      <c r="F118" s="1034">
        <f>E118</f>
        <v>0.67730000000000001</v>
      </c>
      <c r="G118" s="1034">
        <f>ROUND(0.6299-0.0122*B113,4)</f>
        <v>0.60250000000000004</v>
      </c>
      <c r="H118" s="1034">
        <f>G118</f>
        <v>0.60250000000000004</v>
      </c>
      <c r="I118" s="1034">
        <f>ROUND(0.5667-0.0136*B113,4)</f>
        <v>0.53610000000000002</v>
      </c>
      <c r="J118" s="1034">
        <f t="shared" si="34"/>
        <v>0.53610000000000002</v>
      </c>
      <c r="K118" s="1034">
        <f t="shared" si="34"/>
        <v>0.53610000000000002</v>
      </c>
      <c r="L118" s="1034">
        <f t="shared" si="34"/>
        <v>0.53610000000000002</v>
      </c>
      <c r="M118" s="1035">
        <f t="shared" si="34"/>
        <v>0.53610000000000002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1640</v>
      </c>
      <c r="D17" s="1129"/>
      <c r="E17" s="1068" t="s">
        <v>1443</v>
      </c>
      <c r="F17" s="1130"/>
      <c r="G17" s="1130"/>
    </row>
    <row r="18" spans="1:9" s="1600" customFormat="1" ht="19.5" customHeight="1">
      <c r="A18" s="3511" t="s">
        <v>1005</v>
      </c>
      <c r="B18" s="1154" t="s">
        <v>1444</v>
      </c>
      <c r="C18" s="1131" t="s">
        <v>1445</v>
      </c>
      <c r="D18" s="1132"/>
      <c r="E18" s="1154">
        <v>1</v>
      </c>
      <c r="F18" s="1133" t="s">
        <v>1446</v>
      </c>
      <c r="G18" s="1134"/>
      <c r="H18" s="1105"/>
      <c r="I18" s="1105"/>
    </row>
    <row r="19" spans="1:9" s="1600" customFormat="1" ht="19.5" customHeight="1">
      <c r="A19" s="3511"/>
      <c r="B19" s="3511" t="s">
        <v>1447</v>
      </c>
      <c r="C19" s="1131" t="s">
        <v>1448</v>
      </c>
      <c r="D19" s="1132"/>
      <c r="E19" s="1154">
        <v>0.9</v>
      </c>
      <c r="F19" s="1133" t="s">
        <v>1449</v>
      </c>
      <c r="G19" s="1134"/>
      <c r="H19" s="1105"/>
      <c r="I19" s="1105"/>
    </row>
    <row r="20" spans="1:9" s="1600" customFormat="1" ht="19.5" customHeight="1">
      <c r="A20" s="3511"/>
      <c r="B20" s="3511"/>
      <c r="C20" s="1131" t="s">
        <v>1450</v>
      </c>
      <c r="D20" s="1132"/>
      <c r="E20" s="1154">
        <v>1.1000000000000001</v>
      </c>
      <c r="F20" s="1133" t="s">
        <v>1451</v>
      </c>
      <c r="G20" s="1134"/>
      <c r="H20" s="1105"/>
      <c r="I20" s="1105"/>
    </row>
    <row r="21" spans="1:9" s="1600" customFormat="1" ht="19.5" customHeight="1">
      <c r="A21" s="3511"/>
      <c r="B21" s="3511"/>
      <c r="C21" s="1131" t="s">
        <v>1452</v>
      </c>
      <c r="D21" s="1132"/>
      <c r="E21" s="1154">
        <v>0.8</v>
      </c>
      <c r="F21" s="1133" t="s">
        <v>1453</v>
      </c>
      <c r="G21" s="1134"/>
      <c r="H21" s="1105"/>
      <c r="I21" s="1105"/>
    </row>
    <row r="22" spans="1:9" s="1600" customFormat="1" ht="19.5" customHeight="1">
      <c r="A22" s="3511"/>
      <c r="B22" s="3511"/>
      <c r="C22" s="1131" t="s">
        <v>1454</v>
      </c>
      <c r="D22" s="1132"/>
      <c r="E22" s="1154">
        <v>0.5</v>
      </c>
      <c r="F22" s="1133"/>
      <c r="G22" s="1134"/>
      <c r="H22" s="1105"/>
      <c r="I22" s="1105"/>
    </row>
    <row r="23" spans="1:9" s="1600" customFormat="1" ht="19.5" customHeight="1">
      <c r="A23" s="3511" t="s">
        <v>1027</v>
      </c>
      <c r="B23" s="1154" t="s">
        <v>1444</v>
      </c>
      <c r="C23" s="1131" t="s">
        <v>1455</v>
      </c>
      <c r="D23" s="1132"/>
      <c r="E23" s="1154">
        <v>1</v>
      </c>
      <c r="F23" s="1133" t="s">
        <v>1456</v>
      </c>
      <c r="G23" s="1134"/>
      <c r="H23" s="1105"/>
      <c r="I23" s="1105"/>
    </row>
    <row r="24" spans="1:9" s="1600" customFormat="1" ht="19.5" customHeight="1">
      <c r="A24" s="3511"/>
      <c r="B24" s="3511" t="s">
        <v>1447</v>
      </c>
      <c r="C24" s="1131" t="s">
        <v>1457</v>
      </c>
      <c r="D24" s="1132"/>
      <c r="E24" s="1154">
        <v>0.5</v>
      </c>
      <c r="F24" s="1133"/>
      <c r="G24" s="1134"/>
      <c r="H24" s="1105"/>
      <c r="I24" s="1105"/>
    </row>
    <row r="25" spans="1:9" s="1600" customFormat="1" ht="19.5" customHeight="1">
      <c r="A25" s="3511"/>
      <c r="B25" s="3511"/>
      <c r="C25" s="1131" t="s">
        <v>1458</v>
      </c>
      <c r="D25" s="1132"/>
      <c r="E25" s="1154">
        <v>1.1000000000000001</v>
      </c>
      <c r="F25" s="1133"/>
      <c r="G25" s="1134"/>
      <c r="H25" s="1105"/>
      <c r="I25" s="1105"/>
    </row>
    <row r="26" spans="1:9" s="1600" customFormat="1" ht="19.5" customHeight="1">
      <c r="A26" s="3511"/>
      <c r="B26" s="3511"/>
      <c r="C26" s="1131" t="s">
        <v>1459</v>
      </c>
      <c r="D26" s="1132"/>
      <c r="E26" s="1154">
        <v>1.1000000000000001</v>
      </c>
      <c r="F26" s="1133"/>
      <c r="G26" s="1134"/>
      <c r="H26" s="1105"/>
      <c r="I26" s="1105"/>
    </row>
    <row r="27" spans="1:9" s="1600" customFormat="1" ht="19.5" customHeight="1">
      <c r="A27" s="3511"/>
      <c r="B27" s="3511"/>
      <c r="C27" s="1131" t="s">
        <v>1460</v>
      </c>
      <c r="D27" s="1132"/>
      <c r="E27" s="1154">
        <v>0.9</v>
      </c>
      <c r="F27" s="1133" t="s">
        <v>1461</v>
      </c>
      <c r="G27" s="1134"/>
      <c r="H27" s="1105"/>
      <c r="I27" s="1105"/>
    </row>
    <row r="28" spans="1:9" s="1600" customFormat="1" ht="19.5" customHeight="1">
      <c r="A28" s="3511"/>
      <c r="B28" s="3511"/>
      <c r="C28" s="1131" t="s">
        <v>1462</v>
      </c>
      <c r="D28" s="1132"/>
      <c r="E28" s="1154">
        <v>0.9</v>
      </c>
      <c r="F28" s="1133" t="s">
        <v>1463</v>
      </c>
      <c r="G28" s="1134"/>
      <c r="H28" s="1105"/>
      <c r="I28" s="1105"/>
    </row>
    <row r="29" spans="1:9" s="1600" customFormat="1" ht="19.5" customHeight="1">
      <c r="A29" s="3511"/>
      <c r="B29" s="3511"/>
      <c r="C29" s="1131" t="s">
        <v>1464</v>
      </c>
      <c r="D29" s="1132"/>
      <c r="E29" s="1154">
        <v>0.9</v>
      </c>
      <c r="F29" s="1133" t="s">
        <v>1465</v>
      </c>
      <c r="G29" s="1134"/>
      <c r="H29" s="1105"/>
      <c r="I29" s="1105"/>
    </row>
    <row r="30" spans="1:9" s="1600" customFormat="1" ht="19.5" customHeight="1">
      <c r="A30" s="3511"/>
      <c r="B30" s="3511"/>
      <c r="C30" s="1131" t="s">
        <v>1466</v>
      </c>
      <c r="D30" s="1132"/>
      <c r="E30" s="1154">
        <v>0.9</v>
      </c>
      <c r="F30" s="1133" t="s">
        <v>1467</v>
      </c>
      <c r="G30" s="1134"/>
      <c r="H30" s="1105"/>
      <c r="I30" s="1105"/>
    </row>
    <row r="31" spans="1:9" s="1600" customFormat="1" ht="19.5" customHeight="1">
      <c r="A31" s="3511"/>
      <c r="B31" s="3511"/>
      <c r="C31" s="1131" t="s">
        <v>1468</v>
      </c>
      <c r="D31" s="1132"/>
      <c r="E31" s="1154">
        <v>0.8</v>
      </c>
      <c r="F31" s="1133" t="s">
        <v>1469</v>
      </c>
      <c r="G31" s="1134"/>
      <c r="H31" s="1105"/>
      <c r="I31" s="1105"/>
    </row>
    <row r="32" spans="1:9" s="1600" customFormat="1" ht="19.5" customHeight="1">
      <c r="A32" s="3511"/>
      <c r="B32" s="3511"/>
      <c r="C32" s="1131" t="s">
        <v>1470</v>
      </c>
      <c r="D32" s="1132"/>
      <c r="E32" s="1154">
        <v>0.8</v>
      </c>
      <c r="F32" s="1133" t="s">
        <v>1471</v>
      </c>
      <c r="G32" s="1134"/>
      <c r="H32" s="1105"/>
      <c r="I32" s="1105"/>
    </row>
    <row r="33" spans="1:9" s="1600" customFormat="1" ht="19.5" customHeight="1">
      <c r="A33" s="3511" t="s">
        <v>1472</v>
      </c>
      <c r="B33" s="1154" t="s">
        <v>1444</v>
      </c>
      <c r="C33" s="1131" t="s">
        <v>1473</v>
      </c>
      <c r="D33" s="1132"/>
      <c r="E33" s="1154">
        <v>1</v>
      </c>
      <c r="F33" s="1133" t="s">
        <v>1474</v>
      </c>
      <c r="G33" s="1134"/>
      <c r="H33" s="1105"/>
      <c r="I33" s="1105"/>
    </row>
    <row r="34" spans="1:9" s="1600" customFormat="1" ht="19.5" customHeight="1">
      <c r="A34" s="3511"/>
      <c r="B34" s="1154" t="s">
        <v>1447</v>
      </c>
      <c r="C34" s="1131" t="s">
        <v>1475</v>
      </c>
      <c r="D34" s="1132"/>
      <c r="E34" s="1154">
        <v>1.5</v>
      </c>
      <c r="F34" s="1133" t="s">
        <v>1476</v>
      </c>
      <c r="G34" s="1134"/>
      <c r="H34" s="1105"/>
      <c r="I34" s="1105"/>
    </row>
    <row r="35" spans="1:9" s="1600" customFormat="1" ht="19.5" customHeight="1">
      <c r="A35" s="3511" t="s">
        <v>1430</v>
      </c>
      <c r="B35" s="1154" t="s">
        <v>1444</v>
      </c>
      <c r="C35" s="1131" t="s">
        <v>1477</v>
      </c>
      <c r="D35" s="1132"/>
      <c r="E35" s="1154">
        <v>1</v>
      </c>
      <c r="F35" s="1133" t="s">
        <v>1478</v>
      </c>
      <c r="G35" s="1134"/>
      <c r="H35" s="1105"/>
      <c r="I35" s="1105"/>
    </row>
    <row r="36" spans="1:9" s="1600" customFormat="1" ht="19.5" customHeight="1">
      <c r="A36" s="3511"/>
      <c r="B36" s="3511" t="s">
        <v>1447</v>
      </c>
      <c r="C36" s="1131" t="s">
        <v>1479</v>
      </c>
      <c r="D36" s="1132"/>
      <c r="E36" s="1154">
        <v>1</v>
      </c>
      <c r="F36" s="1133" t="s">
        <v>1480</v>
      </c>
      <c r="G36" s="1134"/>
      <c r="H36" s="1105"/>
      <c r="I36" s="1105"/>
    </row>
    <row r="37" spans="1:9" s="1600" customFormat="1" ht="19.5" customHeight="1">
      <c r="A37" s="3511"/>
      <c r="B37" s="3511"/>
      <c r="C37" s="1131" t="s">
        <v>1481</v>
      </c>
      <c r="D37" s="1132"/>
      <c r="E37" s="1154">
        <v>1.5</v>
      </c>
      <c r="F37" s="1133" t="s">
        <v>1482</v>
      </c>
      <c r="G37" s="1134"/>
      <c r="H37" s="1105"/>
      <c r="I37" s="1105"/>
    </row>
    <row r="38" spans="1:9" s="1600" customFormat="1" ht="19.5" customHeight="1">
      <c r="A38" s="3511"/>
      <c r="B38" s="3511"/>
      <c r="C38" s="1131" t="s">
        <v>1483</v>
      </c>
      <c r="D38" s="1132"/>
      <c r="E38" s="1154">
        <v>1</v>
      </c>
      <c r="F38" s="1133" t="s">
        <v>1484</v>
      </c>
      <c r="G38" s="1134"/>
      <c r="H38" s="1105"/>
      <c r="I38" s="1105"/>
    </row>
    <row r="39" spans="1:9" s="1600" customFormat="1" ht="19.5" customHeight="1">
      <c r="A39" s="3511"/>
      <c r="B39" s="3511"/>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511" t="s">
        <v>1499</v>
      </c>
      <c r="C61" s="1068" t="s">
        <v>1500</v>
      </c>
      <c r="D61" s="1068" t="s">
        <v>1501</v>
      </c>
      <c r="E61" s="1139">
        <v>0.5</v>
      </c>
      <c r="F61" s="1154">
        <v>80</v>
      </c>
      <c r="H61" s="1105">
        <f>SUMIF(C59:C119,基准地价住宅!C8,E59:E119)</f>
        <v>0</v>
      </c>
    </row>
    <row r="62" spans="1:8" s="1105" customFormat="1" ht="24">
      <c r="A62" s="1154">
        <v>2</v>
      </c>
      <c r="B62" s="3511"/>
      <c r="C62" s="1068" t="s">
        <v>1502</v>
      </c>
      <c r="D62" s="1068" t="s">
        <v>1503</v>
      </c>
      <c r="E62" s="1139">
        <v>0.5</v>
      </c>
      <c r="F62" s="1154">
        <v>80</v>
      </c>
    </row>
    <row r="63" spans="1:8" s="1105" customFormat="1" ht="36">
      <c r="A63" s="1154">
        <v>3</v>
      </c>
      <c r="B63" s="3511"/>
      <c r="C63" s="1068" t="s">
        <v>1504</v>
      </c>
      <c r="D63" s="1068" t="s">
        <v>1505</v>
      </c>
      <c r="E63" s="1139">
        <v>0.5</v>
      </c>
      <c r="F63" s="1154">
        <v>80</v>
      </c>
    </row>
    <row r="64" spans="1:8" s="1105" customFormat="1" ht="36">
      <c r="A64" s="1154">
        <v>4</v>
      </c>
      <c r="B64" s="3511"/>
      <c r="C64" s="1068" t="s">
        <v>1506</v>
      </c>
      <c r="D64" s="1068" t="s">
        <v>1507</v>
      </c>
      <c r="E64" s="1139">
        <v>0.4</v>
      </c>
      <c r="F64" s="1154">
        <v>60</v>
      </c>
    </row>
    <row r="65" spans="1:6" s="1105" customFormat="1" ht="36">
      <c r="A65" s="1154">
        <v>5</v>
      </c>
      <c r="B65" s="3511"/>
      <c r="C65" s="1068" t="s">
        <v>1508</v>
      </c>
      <c r="D65" s="1068" t="s">
        <v>1509</v>
      </c>
      <c r="E65" s="1139">
        <v>0.2</v>
      </c>
      <c r="F65" s="1154">
        <v>30</v>
      </c>
    </row>
    <row r="66" spans="1:6" s="1105" customFormat="1" ht="36">
      <c r="A66" s="1154">
        <v>6</v>
      </c>
      <c r="B66" s="3511"/>
      <c r="C66" s="1068" t="s">
        <v>1510</v>
      </c>
      <c r="D66" s="1068" t="s">
        <v>1511</v>
      </c>
      <c r="E66" s="1139">
        <v>0.3</v>
      </c>
      <c r="F66" s="1154">
        <v>50</v>
      </c>
    </row>
    <row r="67" spans="1:6" s="1105" customFormat="1" ht="36">
      <c r="A67" s="1154">
        <v>7</v>
      </c>
      <c r="B67" s="3511"/>
      <c r="C67" s="1068" t="s">
        <v>1512</v>
      </c>
      <c r="D67" s="1068" t="s">
        <v>1513</v>
      </c>
      <c r="E67" s="1139">
        <v>0.2</v>
      </c>
      <c r="F67" s="1154">
        <v>30</v>
      </c>
    </row>
    <row r="68" spans="1:6" s="1105" customFormat="1" ht="36">
      <c r="A68" s="1154">
        <v>8</v>
      </c>
      <c r="B68" s="3511"/>
      <c r="C68" s="1068" t="s">
        <v>1514</v>
      </c>
      <c r="D68" s="1068" t="s">
        <v>1515</v>
      </c>
      <c r="E68" s="1139">
        <v>0.2</v>
      </c>
      <c r="F68" s="1154">
        <v>30</v>
      </c>
    </row>
    <row r="69" spans="1:6" s="1105" customFormat="1" ht="36">
      <c r="A69" s="1154">
        <v>9</v>
      </c>
      <c r="B69" s="3511"/>
      <c r="C69" s="1068" t="s">
        <v>1516</v>
      </c>
      <c r="D69" s="1068" t="s">
        <v>1517</v>
      </c>
      <c r="E69" s="1139">
        <v>0.2</v>
      </c>
      <c r="F69" s="1154">
        <v>30</v>
      </c>
    </row>
    <row r="70" spans="1:6" s="1105" customFormat="1" ht="48">
      <c r="A70" s="1154">
        <v>10</v>
      </c>
      <c r="B70" s="3511"/>
      <c r="C70" s="1068" t="s">
        <v>1518</v>
      </c>
      <c r="D70" s="1068" t="s">
        <v>1519</v>
      </c>
      <c r="E70" s="1139">
        <v>0.2</v>
      </c>
      <c r="F70" s="1154">
        <v>30</v>
      </c>
    </row>
    <row r="71" spans="1:6" s="1105" customFormat="1" ht="48">
      <c r="A71" s="1154">
        <v>11</v>
      </c>
      <c r="B71" s="3511"/>
      <c r="C71" s="1068" t="s">
        <v>1520</v>
      </c>
      <c r="D71" s="1068" t="s">
        <v>1521</v>
      </c>
      <c r="E71" s="1139">
        <v>0.2</v>
      </c>
      <c r="F71" s="1154">
        <v>30</v>
      </c>
    </row>
    <row r="72" spans="1:6" s="1105" customFormat="1" ht="36">
      <c r="A72" s="1154">
        <v>12</v>
      </c>
      <c r="B72" s="3511"/>
      <c r="C72" s="1068" t="s">
        <v>1522</v>
      </c>
      <c r="D72" s="1068" t="s">
        <v>1523</v>
      </c>
      <c r="E72" s="1139">
        <v>0.5</v>
      </c>
      <c r="F72" s="1154">
        <v>80</v>
      </c>
    </row>
    <row r="73" spans="1:6" s="1105" customFormat="1" ht="24">
      <c r="A73" s="1154">
        <v>13</v>
      </c>
      <c r="B73" s="3511"/>
      <c r="C73" s="1068" t="s">
        <v>1524</v>
      </c>
      <c r="D73" s="1068" t="s">
        <v>1525</v>
      </c>
      <c r="E73" s="1139">
        <v>0.4</v>
      </c>
      <c r="F73" s="1154">
        <v>60</v>
      </c>
    </row>
    <row r="74" spans="1:6" s="1105" customFormat="1" ht="24">
      <c r="A74" s="1154">
        <v>14</v>
      </c>
      <c r="B74" s="3511"/>
      <c r="C74" s="1068" t="s">
        <v>1526</v>
      </c>
      <c r="D74" s="1068" t="s">
        <v>1527</v>
      </c>
      <c r="E74" s="1139">
        <v>0.2</v>
      </c>
      <c r="F74" s="1154">
        <v>30</v>
      </c>
    </row>
    <row r="75" spans="1:6" s="1105" customFormat="1" ht="24">
      <c r="A75" s="1154">
        <v>15</v>
      </c>
      <c r="B75" s="3511"/>
      <c r="C75" s="1068" t="s">
        <v>1528</v>
      </c>
      <c r="D75" s="1068" t="s">
        <v>1529</v>
      </c>
      <c r="E75" s="1139">
        <v>0.2</v>
      </c>
      <c r="F75" s="1154">
        <v>30</v>
      </c>
    </row>
    <row r="76" spans="1:6" s="1105" customFormat="1" ht="24">
      <c r="A76" s="1154">
        <v>16</v>
      </c>
      <c r="B76" s="3511" t="s">
        <v>1530</v>
      </c>
      <c r="C76" s="1068" t="s">
        <v>1531</v>
      </c>
      <c r="D76" s="1068" t="s">
        <v>1532</v>
      </c>
      <c r="E76" s="1139">
        <v>0.5</v>
      </c>
      <c r="F76" s="1154">
        <v>80</v>
      </c>
    </row>
    <row r="77" spans="1:6" s="1105" customFormat="1" ht="24">
      <c r="A77" s="1154">
        <v>17</v>
      </c>
      <c r="B77" s="3511"/>
      <c r="C77" s="1068" t="s">
        <v>1533</v>
      </c>
      <c r="D77" s="1068" t="s">
        <v>1534</v>
      </c>
      <c r="E77" s="1139">
        <v>0.5</v>
      </c>
      <c r="F77" s="1154">
        <v>80</v>
      </c>
    </row>
    <row r="78" spans="1:6" s="1105" customFormat="1" ht="24">
      <c r="A78" s="1154">
        <v>18</v>
      </c>
      <c r="B78" s="3511"/>
      <c r="C78" s="1068" t="s">
        <v>1535</v>
      </c>
      <c r="D78" s="1068" t="s">
        <v>1536</v>
      </c>
      <c r="E78" s="1139">
        <v>0.2</v>
      </c>
      <c r="F78" s="1154">
        <v>30</v>
      </c>
    </row>
    <row r="79" spans="1:6" s="1105" customFormat="1" ht="24">
      <c r="A79" s="1154">
        <v>19</v>
      </c>
      <c r="B79" s="3511"/>
      <c r="C79" s="1068" t="s">
        <v>1537</v>
      </c>
      <c r="D79" s="1068" t="s">
        <v>1538</v>
      </c>
      <c r="E79" s="1139">
        <v>0.5</v>
      </c>
      <c r="F79" s="1154">
        <v>80</v>
      </c>
    </row>
    <row r="80" spans="1:6" s="1105" customFormat="1" ht="36">
      <c r="A80" s="1154">
        <v>20</v>
      </c>
      <c r="B80" s="3511"/>
      <c r="C80" s="1068" t="s">
        <v>1539</v>
      </c>
      <c r="D80" s="1068" t="s">
        <v>1540</v>
      </c>
      <c r="E80" s="1139">
        <v>0.2</v>
      </c>
      <c r="F80" s="1154">
        <v>30</v>
      </c>
    </row>
    <row r="81" spans="1:6" s="1105" customFormat="1" ht="36">
      <c r="A81" s="1154">
        <v>21</v>
      </c>
      <c r="B81" s="3511"/>
      <c r="C81" s="1068" t="s">
        <v>1541</v>
      </c>
      <c r="D81" s="1068" t="s">
        <v>1542</v>
      </c>
      <c r="E81" s="1139">
        <v>0.2</v>
      </c>
      <c r="F81" s="1154">
        <v>30</v>
      </c>
    </row>
    <row r="82" spans="1:6" s="1105" customFormat="1" ht="48">
      <c r="A82" s="1154">
        <v>22</v>
      </c>
      <c r="B82" s="3511"/>
      <c r="C82" s="1068" t="s">
        <v>1543</v>
      </c>
      <c r="D82" s="1068" t="s">
        <v>1544</v>
      </c>
      <c r="E82" s="1139">
        <v>0.2</v>
      </c>
      <c r="F82" s="1154">
        <v>30</v>
      </c>
    </row>
    <row r="83" spans="1:6" s="1105" customFormat="1" ht="48">
      <c r="A83" s="1154">
        <v>23</v>
      </c>
      <c r="B83" s="3511"/>
      <c r="C83" s="1068" t="s">
        <v>1545</v>
      </c>
      <c r="D83" s="1068" t="s">
        <v>1546</v>
      </c>
      <c r="E83" s="1139">
        <v>0.2</v>
      </c>
      <c r="F83" s="1154">
        <v>30</v>
      </c>
    </row>
    <row r="84" spans="1:6" s="1105" customFormat="1" ht="36">
      <c r="A84" s="1154">
        <v>24</v>
      </c>
      <c r="B84" s="3511"/>
      <c r="C84" s="1068" t="s">
        <v>1547</v>
      </c>
      <c r="D84" s="1068" t="s">
        <v>1548</v>
      </c>
      <c r="E84" s="1139">
        <v>0.2</v>
      </c>
      <c r="F84" s="1154">
        <v>30</v>
      </c>
    </row>
    <row r="85" spans="1:6" s="1105" customFormat="1" ht="36">
      <c r="A85" s="1154">
        <v>25</v>
      </c>
      <c r="B85" s="3511"/>
      <c r="C85" s="1068" t="s">
        <v>1549</v>
      </c>
      <c r="D85" s="1068" t="s">
        <v>1550</v>
      </c>
      <c r="E85" s="1139">
        <v>0.5</v>
      </c>
      <c r="F85" s="1154">
        <v>80</v>
      </c>
    </row>
    <row r="86" spans="1:6" s="1105" customFormat="1" ht="36">
      <c r="A86" s="1154">
        <v>26</v>
      </c>
      <c r="B86" s="3511"/>
      <c r="C86" s="1068" t="s">
        <v>1551</v>
      </c>
      <c r="D86" s="1068" t="s">
        <v>1552</v>
      </c>
      <c r="E86" s="1139">
        <v>0.2</v>
      </c>
      <c r="F86" s="1154">
        <v>30</v>
      </c>
    </row>
    <row r="87" spans="1:6" s="1105" customFormat="1" ht="36">
      <c r="A87" s="1154">
        <v>27</v>
      </c>
      <c r="B87" s="3511"/>
      <c r="C87" s="1068" t="s">
        <v>1553</v>
      </c>
      <c r="D87" s="1068" t="s">
        <v>1554</v>
      </c>
      <c r="E87" s="1139">
        <v>0.2</v>
      </c>
      <c r="F87" s="1154">
        <v>30</v>
      </c>
    </row>
    <row r="88" spans="1:6" s="1105" customFormat="1" ht="36">
      <c r="A88" s="1154">
        <v>28</v>
      </c>
      <c r="B88" s="3511"/>
      <c r="C88" s="1068" t="s">
        <v>1555</v>
      </c>
      <c r="D88" s="1068" t="s">
        <v>1556</v>
      </c>
      <c r="E88" s="1139">
        <v>0.2</v>
      </c>
      <c r="F88" s="1154">
        <v>30</v>
      </c>
    </row>
    <row r="89" spans="1:6" s="1105" customFormat="1" ht="24">
      <c r="A89" s="1154">
        <v>29</v>
      </c>
      <c r="B89" s="3511"/>
      <c r="C89" s="1068" t="s">
        <v>1557</v>
      </c>
      <c r="D89" s="1068" t="s">
        <v>1558</v>
      </c>
      <c r="E89" s="1139">
        <v>0.2</v>
      </c>
      <c r="F89" s="1154">
        <v>30</v>
      </c>
    </row>
    <row r="90" spans="1:6" s="1105" customFormat="1" ht="24">
      <c r="A90" s="1154">
        <v>30</v>
      </c>
      <c r="B90" s="3511"/>
      <c r="C90" s="1068" t="s">
        <v>1559</v>
      </c>
      <c r="D90" s="1068" t="s">
        <v>1560</v>
      </c>
      <c r="E90" s="1139">
        <v>0.2</v>
      </c>
      <c r="F90" s="1154">
        <v>30</v>
      </c>
    </row>
    <row r="91" spans="1:6" s="1105" customFormat="1" ht="36">
      <c r="A91" s="1154">
        <v>31</v>
      </c>
      <c r="B91" s="3511"/>
      <c r="C91" s="1068" t="s">
        <v>1561</v>
      </c>
      <c r="D91" s="1068" t="s">
        <v>1562</v>
      </c>
      <c r="E91" s="1139">
        <v>0.2</v>
      </c>
      <c r="F91" s="1154">
        <v>30</v>
      </c>
    </row>
    <row r="92" spans="1:6" s="1105" customFormat="1" ht="24">
      <c r="A92" s="1154">
        <v>32</v>
      </c>
      <c r="B92" s="3511" t="s">
        <v>1563</v>
      </c>
      <c r="C92" s="1154" t="s">
        <v>1564</v>
      </c>
      <c r="D92" s="1068" t="s">
        <v>1565</v>
      </c>
      <c r="E92" s="1139">
        <v>0.2</v>
      </c>
      <c r="F92" s="1154">
        <v>30</v>
      </c>
    </row>
    <row r="93" spans="1:6" s="1105" customFormat="1" ht="36">
      <c r="A93" s="1154">
        <v>33</v>
      </c>
      <c r="B93" s="3511"/>
      <c r="C93" s="1154" t="s">
        <v>1566</v>
      </c>
      <c r="D93" s="1068" t="s">
        <v>1567</v>
      </c>
      <c r="E93" s="1139">
        <v>0.2</v>
      </c>
      <c r="F93" s="1154">
        <v>30</v>
      </c>
    </row>
    <row r="94" spans="1:6" s="1105" customFormat="1" ht="48">
      <c r="A94" s="1154">
        <v>34</v>
      </c>
      <c r="B94" s="3511"/>
      <c r="C94" s="1154" t="s">
        <v>1568</v>
      </c>
      <c r="D94" s="1068" t="s">
        <v>1569</v>
      </c>
      <c r="E94" s="1139">
        <v>0.2</v>
      </c>
      <c r="F94" s="1154">
        <v>30</v>
      </c>
    </row>
    <row r="95" spans="1:6" s="1105" customFormat="1" ht="36">
      <c r="A95" s="1154">
        <v>35</v>
      </c>
      <c r="B95" s="3511"/>
      <c r="C95" s="1154" t="s">
        <v>1570</v>
      </c>
      <c r="D95" s="1068" t="s">
        <v>1571</v>
      </c>
      <c r="E95" s="1139">
        <v>0.2</v>
      </c>
      <c r="F95" s="1154">
        <v>30</v>
      </c>
    </row>
    <row r="96" spans="1:6" s="1105" customFormat="1" ht="48">
      <c r="A96" s="1154">
        <v>36</v>
      </c>
      <c r="B96" s="3511"/>
      <c r="C96" s="1068" t="s">
        <v>1572</v>
      </c>
      <c r="D96" s="1068" t="s">
        <v>1573</v>
      </c>
      <c r="E96" s="1139">
        <v>0.2</v>
      </c>
      <c r="F96" s="1154">
        <v>30</v>
      </c>
    </row>
    <row r="97" spans="1:6" s="1105" customFormat="1" ht="36">
      <c r="A97" s="1154">
        <v>37</v>
      </c>
      <c r="B97" s="3511"/>
      <c r="C97" s="1154" t="s">
        <v>1574</v>
      </c>
      <c r="D97" s="1068" t="s">
        <v>1575</v>
      </c>
      <c r="E97" s="1139">
        <v>0.2</v>
      </c>
      <c r="F97" s="1154">
        <v>30</v>
      </c>
    </row>
    <row r="98" spans="1:6" s="1105" customFormat="1" ht="36">
      <c r="A98" s="1154">
        <v>38</v>
      </c>
      <c r="B98" s="3511"/>
      <c r="C98" s="1154" t="s">
        <v>1576</v>
      </c>
      <c r="D98" s="1068" t="s">
        <v>1577</v>
      </c>
      <c r="E98" s="1139">
        <v>0.2</v>
      </c>
      <c r="F98" s="1154">
        <v>30</v>
      </c>
    </row>
    <row r="99" spans="1:6" s="1105" customFormat="1" ht="36">
      <c r="A99" s="1154">
        <v>39</v>
      </c>
      <c r="B99" s="3511" t="s">
        <v>1578</v>
      </c>
      <c r="C99" s="1154" t="s">
        <v>1579</v>
      </c>
      <c r="D99" s="1068" t="s">
        <v>1580</v>
      </c>
      <c r="E99" s="1139">
        <v>0.3</v>
      </c>
      <c r="F99" s="1154">
        <v>50</v>
      </c>
    </row>
    <row r="100" spans="1:6" s="1105" customFormat="1" ht="24">
      <c r="A100" s="1154">
        <v>40</v>
      </c>
      <c r="B100" s="3511"/>
      <c r="C100" s="1154" t="s">
        <v>1581</v>
      </c>
      <c r="D100" s="1068" t="s">
        <v>1582</v>
      </c>
      <c r="E100" s="1139">
        <v>0.2</v>
      </c>
      <c r="F100" s="1154">
        <v>30</v>
      </c>
    </row>
    <row r="101" spans="1:6" s="1105" customFormat="1" ht="36">
      <c r="A101" s="1154">
        <v>41</v>
      </c>
      <c r="B101" s="3511"/>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511" t="s">
        <v>1593</v>
      </c>
      <c r="C105" s="1154" t="s">
        <v>1594</v>
      </c>
      <c r="D105" s="1068" t="s">
        <v>1595</v>
      </c>
      <c r="E105" s="1139">
        <v>0.2</v>
      </c>
      <c r="F105" s="1154">
        <v>30</v>
      </c>
    </row>
    <row r="106" spans="1:6" s="1105" customFormat="1" ht="36">
      <c r="A106" s="1154">
        <v>46</v>
      </c>
      <c r="B106" s="3511"/>
      <c r="C106" s="1154" t="s">
        <v>1596</v>
      </c>
      <c r="D106" s="1068" t="s">
        <v>1597</v>
      </c>
      <c r="E106" s="1139">
        <v>0.2</v>
      </c>
      <c r="F106" s="1154">
        <v>30</v>
      </c>
    </row>
    <row r="107" spans="1:6" s="1105" customFormat="1" ht="36">
      <c r="A107" s="1154">
        <v>47</v>
      </c>
      <c r="B107" s="3511" t="s">
        <v>1598</v>
      </c>
      <c r="C107" s="1154" t="s">
        <v>1599</v>
      </c>
      <c r="D107" s="1068" t="s">
        <v>1600</v>
      </c>
      <c r="E107" s="1139">
        <v>0.3</v>
      </c>
      <c r="F107" s="1154">
        <v>50</v>
      </c>
    </row>
    <row r="108" spans="1:6" s="1105" customFormat="1" ht="36">
      <c r="A108" s="1154">
        <v>48</v>
      </c>
      <c r="B108" s="3511"/>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511" t="s">
        <v>1609</v>
      </c>
      <c r="C111" s="1154" t="s">
        <v>1610</v>
      </c>
      <c r="D111" s="1068" t="s">
        <v>1611</v>
      </c>
      <c r="E111" s="1139">
        <v>0.2</v>
      </c>
      <c r="F111" s="1154">
        <v>30</v>
      </c>
    </row>
    <row r="112" spans="1:6" s="1105" customFormat="1" ht="24">
      <c r="A112" s="1154">
        <v>52</v>
      </c>
      <c r="B112" s="3511"/>
      <c r="C112" s="1154" t="s">
        <v>1612</v>
      </c>
      <c r="D112" s="1068" t="s">
        <v>1613</v>
      </c>
      <c r="E112" s="1139">
        <v>0.2</v>
      </c>
      <c r="F112" s="1154">
        <v>30</v>
      </c>
    </row>
    <row r="113" spans="1:14" s="1105" customFormat="1" ht="24">
      <c r="A113" s="1154">
        <v>53</v>
      </c>
      <c r="B113" s="3511"/>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511" t="s">
        <v>1622</v>
      </c>
      <c r="C116" s="1154" t="s">
        <v>1623</v>
      </c>
      <c r="D116" s="1068" t="s">
        <v>1624</v>
      </c>
      <c r="E116" s="1139">
        <v>0.2</v>
      </c>
      <c r="F116" s="1154">
        <v>30</v>
      </c>
    </row>
    <row r="117" spans="1:14" ht="36">
      <c r="A117" s="1154">
        <v>57</v>
      </c>
      <c r="B117" s="3511"/>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510" t="s">
        <v>1631</v>
      </c>
      <c r="B121" s="3510"/>
      <c r="C121" s="3510"/>
      <c r="D121" s="3510"/>
      <c r="E121" s="3510"/>
      <c r="F121" s="3510"/>
      <c r="G121" s="3510"/>
      <c r="H121" s="3510"/>
      <c r="I121" s="3510"/>
      <c r="J121" s="351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15" t="s">
        <v>1037</v>
      </c>
      <c r="B1" s="3515"/>
      <c r="C1" s="3515"/>
      <c r="D1" s="3515"/>
      <c r="E1" s="3515"/>
      <c r="F1" s="3515"/>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516" t="s">
        <v>1050</v>
      </c>
      <c r="B2" s="3516"/>
      <c r="C2" s="3516"/>
      <c r="D2" s="3516"/>
      <c r="E2" s="3516"/>
      <c r="F2" s="3516"/>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517"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518"/>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SUMPRODUCT((B5:B9=基准地价住宅!I2)*(C3:F3=基准地价住宅!E2)*(C5:F9))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SUMPRODUCT((B10:B28=基准地价住宅!I2)*(C3:F3=基准地价住宅!E2)*(C10:F28))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SUMPRODUCT((B29:B48=基准地价住宅!I2)*(C3:F3=基准地价住宅!E2)*(C29:F48))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SUMPRODUCT((B49:B75=基准地价住宅!I2)*(C3:F3=基准地价住宅!E2)*(C49:F75))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SUMPRODUCT((B76:B109=基准地价住宅!I2)*(C3:F3=基准地价住宅!E2)*(C76:F109))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SUMPRODUCT((B110:B157=基准地价住宅!I2)*(C3:F3=基准地价住宅!E2)*(C110:F157))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SUMPRODUCT((B158:B205=基准地价住宅!I2)*(C3:F3=基准地价住宅!E2)*(C158:F205))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SUMPRODUCT((B206:B244=基准地价住宅!I2)*(C3:F3=基准地价住宅!E2)*(C206:F244))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SUMPRODUCT((B245:B289=基准地价住宅!I2)*(C3:F3=基准地价住宅!E2)*(C245:F289))</f>
        <v>3870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SUMPRODUCT((B290:B316=基准地价住宅!I2)*(C3:F3=基准地价住宅!E2)*(C290:F316))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SUMPRODUCT((B317:B337=基准地价住宅!I2)*(C3:F3=基准地价住宅!E2)*(C317:F337))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SUMPRODUCT((B338:B344=基准地价住宅!I2)*(C3:F3=基准地价住宅!E2)*(C338:F344))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2418</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2419</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SUMPRODUCT((A105:A204=ROUNDDOWN(基准地价住宅!G3,1))*(B104:M104=基准地价住宅!G2)*(B105:M204))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19" t="s">
        <v>2075</v>
      </c>
      <c r="B1" s="3519"/>
    </row>
    <row r="2" spans="1:6" ht="14.25" thickBot="1">
      <c r="A2" s="1853"/>
      <c r="B2" s="1853"/>
    </row>
    <row r="3" spans="1:6" ht="14.25" thickBot="1">
      <c r="A3" s="1853"/>
      <c r="B3" s="1853"/>
      <c r="C3" s="1854" t="s">
        <v>2076</v>
      </c>
      <c r="D3" s="1854" t="s">
        <v>2077</v>
      </c>
      <c r="E3" s="1854" t="s">
        <v>2078</v>
      </c>
      <c r="F3" s="1854" t="s">
        <v>2079</v>
      </c>
    </row>
    <row r="4" spans="1:6" ht="14.25" thickBot="1">
      <c r="A4" s="1855" t="s">
        <v>2080</v>
      </c>
      <c r="B4" s="1856" t="s">
        <v>2081</v>
      </c>
      <c r="C4" s="1854"/>
      <c r="D4" s="1854"/>
      <c r="E4" s="1854"/>
      <c r="F4" s="1854"/>
    </row>
    <row r="5" spans="1:6" ht="14.25" thickBot="1">
      <c r="A5" s="1857" t="s">
        <v>2082</v>
      </c>
      <c r="B5" s="1858" t="s">
        <v>2083</v>
      </c>
      <c r="C5" s="1859">
        <v>8.8999999999999996E-2</v>
      </c>
      <c r="D5" s="1859">
        <v>7.3999999999999996E-2</v>
      </c>
      <c r="E5" s="1859">
        <v>7.4999999999999997E-2</v>
      </c>
      <c r="F5" s="1860">
        <v>0.1</v>
      </c>
    </row>
    <row r="6" spans="1:6" ht="14.25" thickBot="1">
      <c r="A6" s="1857" t="s">
        <v>1094</v>
      </c>
      <c r="B6" s="1861" t="s">
        <v>2084</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2085</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2086</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2087</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2088</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2089</v>
      </c>
      <c r="C72" s="1871"/>
      <c r="D72" s="1871"/>
      <c r="E72" s="1871"/>
      <c r="F72" s="1863">
        <v>0.05</v>
      </c>
    </row>
    <row r="73" spans="1:6" ht="14.25" thickBot="1">
      <c r="A73" s="1857" t="s">
        <v>922</v>
      </c>
      <c r="B73" s="1861" t="s">
        <v>2090</v>
      </c>
      <c r="C73" s="1871"/>
      <c r="D73" s="1871"/>
      <c r="E73" s="1871"/>
      <c r="F73" s="1863">
        <v>0.05</v>
      </c>
    </row>
    <row r="74" spans="1:6" ht="14.25" thickBot="1">
      <c r="A74" s="1857" t="s">
        <v>922</v>
      </c>
      <c r="B74" s="1861" t="s">
        <v>2091</v>
      </c>
      <c r="C74" s="1871"/>
      <c r="D74" s="1871"/>
      <c r="E74" s="1871"/>
      <c r="F74" s="1863">
        <v>0.05</v>
      </c>
    </row>
    <row r="75" spans="1:6" ht="14.25" thickBot="1">
      <c r="A75" s="1865" t="s">
        <v>922</v>
      </c>
      <c r="B75" s="1872" t="s">
        <v>2092</v>
      </c>
      <c r="C75" s="1868"/>
      <c r="D75" s="1868"/>
      <c r="E75" s="1868"/>
      <c r="F75" s="1873">
        <v>0.05</v>
      </c>
    </row>
    <row r="76" spans="1:6" ht="14.25" thickBot="1">
      <c r="A76" s="1857" t="s">
        <v>1405</v>
      </c>
      <c r="B76" s="1858" t="s">
        <v>2093</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2094</v>
      </c>
      <c r="C102" s="1871"/>
      <c r="D102" s="1871"/>
      <c r="E102" s="1871"/>
      <c r="F102" s="1863">
        <v>0.05</v>
      </c>
    </row>
    <row r="103" spans="1:6" ht="24.75" thickBot="1">
      <c r="A103" s="1857" t="s">
        <v>1405</v>
      </c>
      <c r="B103" s="1861" t="s">
        <v>2095</v>
      </c>
      <c r="C103" s="1871"/>
      <c r="D103" s="1871"/>
      <c r="E103" s="1871"/>
      <c r="F103" s="1863">
        <v>0.05</v>
      </c>
    </row>
    <row r="104" spans="1:6" ht="14.25" thickBot="1">
      <c r="A104" s="1857" t="s">
        <v>1405</v>
      </c>
      <c r="B104" s="1861" t="s">
        <v>2096</v>
      </c>
      <c r="C104" s="1871"/>
      <c r="D104" s="1871"/>
      <c r="E104" s="1871"/>
      <c r="F104" s="1863">
        <v>0.05</v>
      </c>
    </row>
    <row r="105" spans="1:6" ht="14.25" thickBot="1">
      <c r="A105" s="1857" t="s">
        <v>1405</v>
      </c>
      <c r="B105" s="1861" t="s">
        <v>2097</v>
      </c>
      <c r="C105" s="1871"/>
      <c r="D105" s="1871"/>
      <c r="E105" s="1871"/>
      <c r="F105" s="1863">
        <v>0.05</v>
      </c>
    </row>
    <row r="106" spans="1:6" ht="14.25" thickBot="1">
      <c r="A106" s="1857" t="s">
        <v>1405</v>
      </c>
      <c r="B106" s="1861" t="s">
        <v>2098</v>
      </c>
      <c r="C106" s="1871"/>
      <c r="D106" s="1871"/>
      <c r="E106" s="1871"/>
      <c r="F106" s="1863">
        <v>0.05</v>
      </c>
    </row>
    <row r="107" spans="1:6" ht="24.75" thickBot="1">
      <c r="A107" s="1857" t="s">
        <v>1405</v>
      </c>
      <c r="B107" s="1861" t="s">
        <v>2099</v>
      </c>
      <c r="C107" s="1871"/>
      <c r="D107" s="1871"/>
      <c r="E107" s="1871"/>
      <c r="F107" s="1863">
        <v>0.05</v>
      </c>
    </row>
    <row r="108" spans="1:6" ht="24.75" thickBot="1">
      <c r="A108" s="1857" t="s">
        <v>1405</v>
      </c>
      <c r="B108" s="1861" t="s">
        <v>2100</v>
      </c>
      <c r="C108" s="1871"/>
      <c r="D108" s="1871"/>
      <c r="E108" s="1871"/>
      <c r="F108" s="1863">
        <v>0.05</v>
      </c>
    </row>
    <row r="109" spans="1:6" ht="24.75" thickBot="1">
      <c r="A109" s="1865" t="s">
        <v>1405</v>
      </c>
      <c r="B109" s="1872" t="s">
        <v>2101</v>
      </c>
      <c r="C109" s="1868"/>
      <c r="D109" s="1868"/>
      <c r="E109" s="1868"/>
      <c r="F109" s="1873">
        <v>0.05</v>
      </c>
    </row>
    <row r="110" spans="1:6" ht="14.25" thickBot="1">
      <c r="A110" s="1857" t="s">
        <v>1407</v>
      </c>
      <c r="B110" s="1858" t="s">
        <v>2102</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2103</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2104</v>
      </c>
      <c r="C138" s="1862">
        <v>0.105</v>
      </c>
      <c r="D138" s="1862">
        <v>0.125</v>
      </c>
      <c r="E138" s="1862">
        <v>0.112</v>
      </c>
      <c r="F138" s="1870"/>
    </row>
    <row r="139" spans="1:6" ht="14.25" thickBot="1">
      <c r="A139" s="1857" t="s">
        <v>1407</v>
      </c>
      <c r="B139" s="1861" t="s">
        <v>2105</v>
      </c>
      <c r="C139" s="1862">
        <v>0.127</v>
      </c>
      <c r="D139" s="1862">
        <v>0.127</v>
      </c>
      <c r="E139" s="1862">
        <v>0.122</v>
      </c>
      <c r="F139" s="1863">
        <v>0.13</v>
      </c>
    </row>
    <row r="140" spans="1:6" ht="14.25" thickBot="1">
      <c r="A140" s="1857" t="s">
        <v>1407</v>
      </c>
      <c r="B140" s="1861" t="s">
        <v>2106</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2107</v>
      </c>
      <c r="C144" s="1875">
        <v>0.126</v>
      </c>
      <c r="D144" s="1875">
        <v>0.126</v>
      </c>
      <c r="E144" s="1875">
        <v>0.121</v>
      </c>
      <c r="F144" s="1870"/>
    </row>
    <row r="145" spans="1:6" ht="14.25" thickBot="1">
      <c r="A145" s="1865" t="s">
        <v>1407</v>
      </c>
      <c r="B145" s="1876" t="s">
        <v>2108</v>
      </c>
      <c r="C145" s="1877"/>
      <c r="D145" s="1877"/>
      <c r="E145" s="1877"/>
      <c r="F145" s="1878">
        <v>0.05</v>
      </c>
    </row>
    <row r="146" spans="1:6" ht="24.75" thickBot="1">
      <c r="A146" s="1879" t="s">
        <v>1407</v>
      </c>
      <c r="B146" s="1864" t="s">
        <v>2109</v>
      </c>
      <c r="C146" s="1871"/>
      <c r="D146" s="1871"/>
      <c r="E146" s="1871"/>
      <c r="F146" s="1880">
        <v>0.05</v>
      </c>
    </row>
    <row r="147" spans="1:6" ht="24.75" thickBot="1">
      <c r="A147" s="1857" t="s">
        <v>1407</v>
      </c>
      <c r="B147" s="1861" t="s">
        <v>2110</v>
      </c>
      <c r="C147" s="1871"/>
      <c r="D147" s="1871"/>
      <c r="E147" s="1871"/>
      <c r="F147" s="1863">
        <v>0.05</v>
      </c>
    </row>
    <row r="148" spans="1:6" ht="24.75" thickBot="1">
      <c r="A148" s="1857" t="s">
        <v>1407</v>
      </c>
      <c r="B148" s="1861" t="s">
        <v>2111</v>
      </c>
      <c r="C148" s="1871"/>
      <c r="D148" s="1871"/>
      <c r="E148" s="1871"/>
      <c r="F148" s="1863">
        <v>0.05</v>
      </c>
    </row>
    <row r="149" spans="1:6" ht="24.75" thickBot="1">
      <c r="A149" s="1857" t="s">
        <v>1407</v>
      </c>
      <c r="B149" s="1861" t="s">
        <v>2112</v>
      </c>
      <c r="C149" s="1871"/>
      <c r="D149" s="1871"/>
      <c r="E149" s="1871"/>
      <c r="F149" s="1863">
        <v>0.05</v>
      </c>
    </row>
    <row r="150" spans="1:6" ht="24.75" thickBot="1">
      <c r="A150" s="1857" t="s">
        <v>1407</v>
      </c>
      <c r="B150" s="1861" t="s">
        <v>2113</v>
      </c>
      <c r="C150" s="1871"/>
      <c r="D150" s="1871"/>
      <c r="E150" s="1871"/>
      <c r="F150" s="1863">
        <v>0.05</v>
      </c>
    </row>
    <row r="151" spans="1:6" ht="24.75" thickBot="1">
      <c r="A151" s="1857" t="s">
        <v>1407</v>
      </c>
      <c r="B151" s="1861" t="s">
        <v>2114</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2115</v>
      </c>
      <c r="C153" s="1871"/>
      <c r="D153" s="1871"/>
      <c r="E153" s="1871"/>
      <c r="F153" s="1863">
        <v>0.05</v>
      </c>
    </row>
    <row r="154" spans="1:6" ht="14.25" thickBot="1">
      <c r="A154" s="1857" t="s">
        <v>1407</v>
      </c>
      <c r="B154" s="1861" t="s">
        <v>2116</v>
      </c>
      <c r="C154" s="1871"/>
      <c r="D154" s="1871"/>
      <c r="E154" s="1871"/>
      <c r="F154" s="1863">
        <v>0.05</v>
      </c>
    </row>
    <row r="155" spans="1:6" ht="24.75" thickBot="1">
      <c r="A155" s="1857" t="s">
        <v>1407</v>
      </c>
      <c r="B155" s="1861" t="s">
        <v>2117</v>
      </c>
      <c r="C155" s="1871"/>
      <c r="D155" s="1871"/>
      <c r="E155" s="1871"/>
      <c r="F155" s="1863">
        <v>0.05</v>
      </c>
    </row>
    <row r="156" spans="1:6" ht="24.75" thickBot="1">
      <c r="A156" s="1857" t="s">
        <v>1407</v>
      </c>
      <c r="B156" s="1861" t="s">
        <v>2118</v>
      </c>
      <c r="C156" s="1871"/>
      <c r="D156" s="1871"/>
      <c r="E156" s="1871"/>
      <c r="F156" s="1863">
        <v>0.05</v>
      </c>
    </row>
    <row r="157" spans="1:6" ht="14.25" thickBot="1">
      <c r="A157" s="1865" t="s">
        <v>1407</v>
      </c>
      <c r="B157" s="1872" t="s">
        <v>2119</v>
      </c>
      <c r="C157" s="1868"/>
      <c r="D157" s="1868"/>
      <c r="E157" s="1868"/>
      <c r="F157" s="1873">
        <v>0.05</v>
      </c>
    </row>
    <row r="158" spans="1:6" ht="14.25" thickBot="1">
      <c r="A158" s="1857" t="s">
        <v>1409</v>
      </c>
      <c r="B158" s="1858" t="s">
        <v>2120</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2121</v>
      </c>
      <c r="C171" s="1862">
        <v>0.127</v>
      </c>
      <c r="D171" s="1862">
        <v>0.126</v>
      </c>
      <c r="E171" s="1862">
        <v>0.126</v>
      </c>
      <c r="F171" s="1863">
        <v>0.11799999999999999</v>
      </c>
    </row>
    <row r="172" spans="1:6" ht="14.25" thickBot="1">
      <c r="A172" s="1857" t="s">
        <v>1409</v>
      </c>
      <c r="B172" s="1861" t="s">
        <v>2122</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2123</v>
      </c>
      <c r="C174" s="1862">
        <v>0.13</v>
      </c>
      <c r="D174" s="1862">
        <v>0.13</v>
      </c>
      <c r="E174" s="1862">
        <v>0.13</v>
      </c>
      <c r="F174" s="1863">
        <v>0.13</v>
      </c>
    </row>
    <row r="175" spans="1:6" ht="14.25" thickBot="1">
      <c r="A175" s="1857" t="s">
        <v>1409</v>
      </c>
      <c r="B175" s="1861" t="s">
        <v>2124</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2125</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2126</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2127</v>
      </c>
      <c r="C185" s="1862">
        <v>0.127</v>
      </c>
      <c r="D185" s="1862">
        <v>0.127</v>
      </c>
      <c r="E185" s="1862">
        <v>0.128</v>
      </c>
      <c r="F185" s="1863">
        <v>0.13</v>
      </c>
    </row>
    <row r="186" spans="1:6" ht="24.75" thickBot="1">
      <c r="A186" s="1857" t="s">
        <v>1409</v>
      </c>
      <c r="B186" s="1861" t="s">
        <v>2128</v>
      </c>
      <c r="C186" s="1871"/>
      <c r="D186" s="1871"/>
      <c r="E186" s="1871"/>
      <c r="F186" s="1863">
        <v>0.05</v>
      </c>
    </row>
    <row r="187" spans="1:6" ht="14.25" thickBot="1">
      <c r="A187" s="1857" t="s">
        <v>1409</v>
      </c>
      <c r="B187" s="1861" t="s">
        <v>2129</v>
      </c>
      <c r="C187" s="1871"/>
      <c r="D187" s="1871"/>
      <c r="E187" s="1871"/>
      <c r="F187" s="1863">
        <v>0.05</v>
      </c>
    </row>
    <row r="188" spans="1:6" ht="14.25" thickBot="1">
      <c r="A188" s="1857" t="s">
        <v>1409</v>
      </c>
      <c r="B188" s="1861" t="s">
        <v>2130</v>
      </c>
      <c r="C188" s="1871"/>
      <c r="D188" s="1871"/>
      <c r="E188" s="1871"/>
      <c r="F188" s="1863">
        <v>0.05</v>
      </c>
    </row>
    <row r="189" spans="1:6" ht="24.75" thickBot="1">
      <c r="A189" s="1857" t="s">
        <v>1409</v>
      </c>
      <c r="B189" s="1861" t="s">
        <v>2131</v>
      </c>
      <c r="C189" s="1871"/>
      <c r="D189" s="1871"/>
      <c r="E189" s="1871"/>
      <c r="F189" s="1863">
        <v>0.05</v>
      </c>
    </row>
    <row r="190" spans="1:6" ht="24.75" thickBot="1">
      <c r="A190" s="1857" t="s">
        <v>1409</v>
      </c>
      <c r="B190" s="1861" t="s">
        <v>2132</v>
      </c>
      <c r="C190" s="1871"/>
      <c r="D190" s="1871"/>
      <c r="E190" s="1871"/>
      <c r="F190" s="1863">
        <v>0.05</v>
      </c>
    </row>
    <row r="191" spans="1:6" ht="24.75" thickBot="1">
      <c r="A191" s="1857" t="s">
        <v>1409</v>
      </c>
      <c r="B191" s="1861" t="s">
        <v>2133</v>
      </c>
      <c r="C191" s="1871"/>
      <c r="D191" s="1871"/>
      <c r="E191" s="1871"/>
      <c r="F191" s="1863">
        <v>0.05</v>
      </c>
    </row>
    <row r="192" spans="1:6" ht="24.75" thickBot="1">
      <c r="A192" s="1857" t="s">
        <v>1409</v>
      </c>
      <c r="B192" s="1861" t="s">
        <v>2134</v>
      </c>
      <c r="C192" s="1871"/>
      <c r="D192" s="1871"/>
      <c r="E192" s="1871"/>
      <c r="F192" s="1863">
        <v>0.05</v>
      </c>
    </row>
    <row r="193" spans="1:6" ht="24.75" thickBot="1">
      <c r="A193" s="1857" t="s">
        <v>1409</v>
      </c>
      <c r="B193" s="1861" t="s">
        <v>2135</v>
      </c>
      <c r="C193" s="1871"/>
      <c r="D193" s="1871"/>
      <c r="E193" s="1871"/>
      <c r="F193" s="1863">
        <v>0.05</v>
      </c>
    </row>
    <row r="194" spans="1:6" ht="24.75" thickBot="1">
      <c r="A194" s="1857" t="s">
        <v>1409</v>
      </c>
      <c r="B194" s="1861" t="s">
        <v>2136</v>
      </c>
      <c r="C194" s="1871"/>
      <c r="D194" s="1871"/>
      <c r="E194" s="1871"/>
      <c r="F194" s="1863">
        <v>0.05</v>
      </c>
    </row>
    <row r="195" spans="1:6" ht="14.25" thickBot="1">
      <c r="A195" s="1857" t="s">
        <v>1409</v>
      </c>
      <c r="B195" s="1861" t="s">
        <v>2137</v>
      </c>
      <c r="C195" s="1871"/>
      <c r="D195" s="1871"/>
      <c r="E195" s="1871"/>
      <c r="F195" s="1863">
        <v>0.05</v>
      </c>
    </row>
    <row r="196" spans="1:6" ht="24.75" thickBot="1">
      <c r="A196" s="1857" t="s">
        <v>1409</v>
      </c>
      <c r="B196" s="1861" t="s">
        <v>2138</v>
      </c>
      <c r="C196" s="1871"/>
      <c r="D196" s="1871"/>
      <c r="E196" s="1871"/>
      <c r="F196" s="1863">
        <v>0.05</v>
      </c>
    </row>
    <row r="197" spans="1:6" ht="24.75" thickBot="1">
      <c r="A197" s="1857" t="s">
        <v>1409</v>
      </c>
      <c r="B197" s="1861" t="s">
        <v>2139</v>
      </c>
      <c r="C197" s="1871"/>
      <c r="D197" s="1871"/>
      <c r="E197" s="1871"/>
      <c r="F197" s="1863">
        <v>0.05</v>
      </c>
    </row>
    <row r="198" spans="1:6" ht="24.75" thickBot="1">
      <c r="A198" s="1857" t="s">
        <v>1409</v>
      </c>
      <c r="B198" s="1861" t="s">
        <v>2140</v>
      </c>
      <c r="C198" s="1871"/>
      <c r="D198" s="1871"/>
      <c r="E198" s="1871"/>
      <c r="F198" s="1863">
        <v>0.05</v>
      </c>
    </row>
    <row r="199" spans="1:6" ht="24.75" thickBot="1">
      <c r="A199" s="1857" t="s">
        <v>1409</v>
      </c>
      <c r="B199" s="1861" t="s">
        <v>2141</v>
      </c>
      <c r="C199" s="1871"/>
      <c r="D199" s="1871"/>
      <c r="E199" s="1871"/>
      <c r="F199" s="1863">
        <v>0.05</v>
      </c>
    </row>
    <row r="200" spans="1:6" ht="24.75" thickBot="1">
      <c r="A200" s="1857" t="s">
        <v>1409</v>
      </c>
      <c r="B200" s="1861" t="s">
        <v>2142</v>
      </c>
      <c r="C200" s="1871"/>
      <c r="D200" s="1871"/>
      <c r="E200" s="1871"/>
      <c r="F200" s="1863">
        <v>0.05</v>
      </c>
    </row>
    <row r="201" spans="1:6" ht="24.75" thickBot="1">
      <c r="A201" s="1857" t="s">
        <v>1409</v>
      </c>
      <c r="B201" s="1861" t="s">
        <v>2143</v>
      </c>
      <c r="C201" s="1871"/>
      <c r="D201" s="1871"/>
      <c r="E201" s="1871"/>
      <c r="F201" s="1863">
        <v>0.05</v>
      </c>
    </row>
    <row r="202" spans="1:6" ht="24.75" thickBot="1">
      <c r="A202" s="1857" t="s">
        <v>1409</v>
      </c>
      <c r="B202" s="1861" t="s">
        <v>2144</v>
      </c>
      <c r="C202" s="1871"/>
      <c r="D202" s="1871"/>
      <c r="E202" s="1871"/>
      <c r="F202" s="1863">
        <v>0.05</v>
      </c>
    </row>
    <row r="203" spans="1:6" ht="24.75" thickBot="1">
      <c r="A203" s="1857" t="s">
        <v>1409</v>
      </c>
      <c r="B203" s="1861" t="s">
        <v>2145</v>
      </c>
      <c r="C203" s="1871"/>
      <c r="D203" s="1871"/>
      <c r="E203" s="1871"/>
      <c r="F203" s="1863">
        <v>0.05</v>
      </c>
    </row>
    <row r="204" spans="1:6" ht="14.25" thickBot="1">
      <c r="A204" s="1857" t="s">
        <v>1409</v>
      </c>
      <c r="B204" s="1861" t="s">
        <v>2146</v>
      </c>
      <c r="C204" s="1871"/>
      <c r="D204" s="1871"/>
      <c r="E204" s="1871"/>
      <c r="F204" s="1863">
        <v>0.05</v>
      </c>
    </row>
    <row r="205" spans="1:6" ht="14.25" thickBot="1">
      <c r="A205" s="1865" t="s">
        <v>1409</v>
      </c>
      <c r="B205" s="1872" t="s">
        <v>2147</v>
      </c>
      <c r="C205" s="1868"/>
      <c r="D205" s="1868"/>
      <c r="E205" s="1868"/>
      <c r="F205" s="1873">
        <v>0.05</v>
      </c>
    </row>
    <row r="206" spans="1:6" ht="14.25" thickBot="1">
      <c r="A206" s="1857" t="s">
        <v>1411</v>
      </c>
      <c r="B206" s="1858" t="s">
        <v>2148</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2149</v>
      </c>
      <c r="C210" s="1862">
        <v>0.15</v>
      </c>
      <c r="D210" s="1862">
        <v>0.15</v>
      </c>
      <c r="E210" s="1862">
        <v>0.15</v>
      </c>
      <c r="F210" s="1863">
        <v>0.13800000000000001</v>
      </c>
    </row>
    <row r="211" spans="1:6" ht="14.25" thickBot="1">
      <c r="A211" s="1857" t="s">
        <v>1411</v>
      </c>
      <c r="B211" s="1861" t="s">
        <v>2150</v>
      </c>
      <c r="C211" s="1862">
        <v>0.13700000000000001</v>
      </c>
      <c r="D211" s="1862">
        <v>0.13500000000000001</v>
      </c>
      <c r="E211" s="1862">
        <v>0.13600000000000001</v>
      </c>
      <c r="F211" s="1863">
        <v>0.1</v>
      </c>
    </row>
    <row r="212" spans="1:6" ht="14.25" thickBot="1">
      <c r="A212" s="1857" t="s">
        <v>1411</v>
      </c>
      <c r="B212" s="1861" t="s">
        <v>2151</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2152</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2153</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2154</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2155</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2156</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2157</v>
      </c>
      <c r="C231" s="1862">
        <v>0.128</v>
      </c>
      <c r="D231" s="1862">
        <v>0.125</v>
      </c>
      <c r="E231" s="1862">
        <v>0.13200000000000001</v>
      </c>
      <c r="F231" s="1870"/>
    </row>
    <row r="232" spans="1:6" ht="14.25" thickBot="1">
      <c r="A232" s="1857" t="s">
        <v>1411</v>
      </c>
      <c r="B232" s="1861" t="s">
        <v>2158</v>
      </c>
      <c r="C232" s="1862">
        <v>0.14499999999999999</v>
      </c>
      <c r="D232" s="1862">
        <v>0.14399999999999999</v>
      </c>
      <c r="E232" s="1862">
        <v>0.14599999999999999</v>
      </c>
      <c r="F232" s="1863">
        <v>0.13800000000000001</v>
      </c>
    </row>
    <row r="233" spans="1:6" ht="14.25" thickBot="1">
      <c r="A233" s="1857" t="s">
        <v>1411</v>
      </c>
      <c r="B233" s="1861" t="s">
        <v>2159</v>
      </c>
      <c r="C233" s="1862">
        <v>0.14499999999999999</v>
      </c>
      <c r="D233" s="1862">
        <v>0.14299999999999999</v>
      </c>
      <c r="E233" s="1862">
        <v>0.14199999999999999</v>
      </c>
      <c r="F233" s="1870"/>
    </row>
    <row r="234" spans="1:6" ht="14.25" thickBot="1">
      <c r="A234" s="1857" t="s">
        <v>1411</v>
      </c>
      <c r="B234" s="1861" t="s">
        <v>2160</v>
      </c>
      <c r="C234" s="1862">
        <v>0.14000000000000001</v>
      </c>
      <c r="D234" s="1862">
        <v>0.14000000000000001</v>
      </c>
      <c r="E234" s="1862">
        <v>0.14399999999999999</v>
      </c>
      <c r="F234" s="1870"/>
    </row>
    <row r="235" spans="1:6" ht="14.25" thickBot="1">
      <c r="A235" s="1857" t="s">
        <v>1411</v>
      </c>
      <c r="B235" s="1861" t="s">
        <v>2161</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2162</v>
      </c>
      <c r="C237" s="1871"/>
      <c r="D237" s="1871"/>
      <c r="E237" s="1871"/>
      <c r="F237" s="1863">
        <v>0.05</v>
      </c>
    </row>
    <row r="238" spans="1:6" ht="24.75" thickBot="1">
      <c r="A238" s="1857" t="s">
        <v>1411</v>
      </c>
      <c r="B238" s="1861" t="s">
        <v>2163</v>
      </c>
      <c r="C238" s="1871"/>
      <c r="D238" s="1871"/>
      <c r="E238" s="1871"/>
      <c r="F238" s="1863">
        <v>0.05</v>
      </c>
    </row>
    <row r="239" spans="1:6" ht="24.75" thickBot="1">
      <c r="A239" s="1857" t="s">
        <v>1411</v>
      </c>
      <c r="B239" s="1861" t="s">
        <v>2164</v>
      </c>
      <c r="C239" s="1871"/>
      <c r="D239" s="1871"/>
      <c r="E239" s="1871"/>
      <c r="F239" s="1863">
        <v>0.05</v>
      </c>
    </row>
    <row r="240" spans="1:6" ht="24.75" thickBot="1">
      <c r="A240" s="1857" t="s">
        <v>1411</v>
      </c>
      <c r="B240" s="1861" t="s">
        <v>2165</v>
      </c>
      <c r="C240" s="1871"/>
      <c r="D240" s="1871"/>
      <c r="E240" s="1871"/>
      <c r="F240" s="1863">
        <v>0.05</v>
      </c>
    </row>
    <row r="241" spans="1:6" ht="24.75" thickBot="1">
      <c r="A241" s="1857" t="s">
        <v>1411</v>
      </c>
      <c r="B241" s="1861" t="s">
        <v>2166</v>
      </c>
      <c r="C241" s="1871"/>
      <c r="D241" s="1871"/>
      <c r="E241" s="1871"/>
      <c r="F241" s="1863">
        <v>0.05</v>
      </c>
    </row>
    <row r="242" spans="1:6" ht="24.75" thickBot="1">
      <c r="A242" s="1857" t="s">
        <v>1411</v>
      </c>
      <c r="B242" s="1861" t="s">
        <v>2167</v>
      </c>
      <c r="C242" s="1871"/>
      <c r="D242" s="1871"/>
      <c r="E242" s="1871"/>
      <c r="F242" s="1863">
        <v>0.05</v>
      </c>
    </row>
    <row r="243" spans="1:6" ht="24.75" thickBot="1">
      <c r="A243" s="1857" t="s">
        <v>1411</v>
      </c>
      <c r="B243" s="1861" t="s">
        <v>2168</v>
      </c>
      <c r="C243" s="1871"/>
      <c r="D243" s="1871"/>
      <c r="E243" s="1871"/>
      <c r="F243" s="1863">
        <v>0.05</v>
      </c>
    </row>
    <row r="244" spans="1:6" ht="24.75" thickBot="1">
      <c r="A244" s="1865" t="s">
        <v>1411</v>
      </c>
      <c r="B244" s="1872" t="s">
        <v>2169</v>
      </c>
      <c r="C244" s="1868"/>
      <c r="D244" s="1868"/>
      <c r="E244" s="1868"/>
      <c r="F244" s="1873">
        <v>0.05</v>
      </c>
    </row>
    <row r="245" spans="1:6" ht="14.25" thickBot="1">
      <c r="A245" s="1857" t="s">
        <v>1413</v>
      </c>
      <c r="B245" s="1858" t="s">
        <v>2170</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2171</v>
      </c>
      <c r="C247" s="1862">
        <v>0.15</v>
      </c>
      <c r="D247" s="1862">
        <v>0.15</v>
      </c>
      <c r="E247" s="1862">
        <v>0.15</v>
      </c>
      <c r="F247" s="1863">
        <v>0.15</v>
      </c>
    </row>
    <row r="248" spans="1:6" ht="14.25" thickBot="1">
      <c r="A248" s="1857" t="s">
        <v>1413</v>
      </c>
      <c r="B248" s="1861" t="s">
        <v>2172</v>
      </c>
      <c r="C248" s="1862">
        <v>0.15</v>
      </c>
      <c r="D248" s="1862">
        <v>0.15</v>
      </c>
      <c r="E248" s="1862">
        <v>0.15</v>
      </c>
      <c r="F248" s="1863">
        <v>0.14000000000000001</v>
      </c>
    </row>
    <row r="249" spans="1:6" ht="14.25" thickBot="1">
      <c r="A249" s="1857" t="s">
        <v>1413</v>
      </c>
      <c r="B249" s="1861" t="s">
        <v>2173</v>
      </c>
      <c r="C249" s="1862">
        <v>0.15</v>
      </c>
      <c r="D249" s="1862">
        <v>0.14899999999999999</v>
      </c>
      <c r="E249" s="1862">
        <v>0.15</v>
      </c>
      <c r="F249" s="1863">
        <v>0.1</v>
      </c>
    </row>
    <row r="250" spans="1:6" ht="14.25" thickBot="1">
      <c r="A250" s="1857" t="s">
        <v>1413</v>
      </c>
      <c r="B250" s="1861" t="s">
        <v>2174</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2175</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2176</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2177</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2178</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2179</v>
      </c>
      <c r="C273" s="1862">
        <v>0.14199999999999999</v>
      </c>
      <c r="D273" s="1862">
        <v>0.14299999999999999</v>
      </c>
      <c r="E273" s="1862">
        <v>0.15</v>
      </c>
      <c r="F273" s="1863">
        <v>0.1</v>
      </c>
    </row>
    <row r="274" spans="1:6" ht="14.25" thickBot="1">
      <c r="A274" s="1857" t="s">
        <v>1413</v>
      </c>
      <c r="B274" s="1861" t="s">
        <v>2180</v>
      </c>
      <c r="C274" s="1862">
        <v>0.14799999999999999</v>
      </c>
      <c r="D274" s="1862">
        <v>0.14799999999999999</v>
      </c>
      <c r="E274" s="1862">
        <v>0.15</v>
      </c>
      <c r="F274" s="1863">
        <v>6.7000000000000004E-2</v>
      </c>
    </row>
    <row r="275" spans="1:6" ht="14.25" thickBot="1">
      <c r="A275" s="1857" t="s">
        <v>1413</v>
      </c>
      <c r="B275" s="1861" t="s">
        <v>2181</v>
      </c>
      <c r="C275" s="1862">
        <v>0.15</v>
      </c>
      <c r="D275" s="1862">
        <v>0.15</v>
      </c>
      <c r="E275" s="1862">
        <v>0.15</v>
      </c>
      <c r="F275" s="1863">
        <v>0.15</v>
      </c>
    </row>
    <row r="276" spans="1:6" ht="14.25" thickBot="1">
      <c r="A276" s="1857" t="s">
        <v>1413</v>
      </c>
      <c r="B276" s="1861" t="s">
        <v>2182</v>
      </c>
      <c r="C276" s="1862">
        <v>0.14499999999999999</v>
      </c>
      <c r="D276" s="1862">
        <v>0.14299999999999999</v>
      </c>
      <c r="E276" s="1862">
        <v>0.15</v>
      </c>
      <c r="F276" s="1863">
        <v>5.8999999999999997E-2</v>
      </c>
    </row>
    <row r="277" spans="1:6" ht="14.25" thickBot="1">
      <c r="A277" s="1857" t="s">
        <v>1413</v>
      </c>
      <c r="B277" s="1861" t="s">
        <v>2183</v>
      </c>
      <c r="C277" s="1862">
        <v>0.15</v>
      </c>
      <c r="D277" s="1862">
        <v>0.15</v>
      </c>
      <c r="E277" s="1862">
        <v>0.15</v>
      </c>
      <c r="F277" s="1863">
        <v>0.121</v>
      </c>
    </row>
    <row r="278" spans="1:6" ht="14.25" thickBot="1">
      <c r="A278" s="1857" t="s">
        <v>1413</v>
      </c>
      <c r="B278" s="1861" t="s">
        <v>2184</v>
      </c>
      <c r="C278" s="1862">
        <v>0.15</v>
      </c>
      <c r="D278" s="1862">
        <v>0.15</v>
      </c>
      <c r="E278" s="1862">
        <v>0.15</v>
      </c>
      <c r="F278" s="1863">
        <v>0.13800000000000001</v>
      </c>
    </row>
    <row r="279" spans="1:6" ht="24.75" thickBot="1">
      <c r="A279" s="1857" t="s">
        <v>1413</v>
      </c>
      <c r="B279" s="1861" t="s">
        <v>2185</v>
      </c>
      <c r="C279" s="1871"/>
      <c r="D279" s="1871"/>
      <c r="E279" s="1871"/>
      <c r="F279" s="1863">
        <v>0.05</v>
      </c>
    </row>
    <row r="280" spans="1:6" ht="24.75" thickBot="1">
      <c r="A280" s="1857" t="s">
        <v>1413</v>
      </c>
      <c r="B280" s="1861" t="s">
        <v>2186</v>
      </c>
      <c r="C280" s="1871"/>
      <c r="D280" s="1871"/>
      <c r="E280" s="1871"/>
      <c r="F280" s="1863">
        <v>0.05</v>
      </c>
    </row>
    <row r="281" spans="1:6" ht="24.75" thickBot="1">
      <c r="A281" s="1857" t="s">
        <v>1413</v>
      </c>
      <c r="B281" s="1861" t="s">
        <v>2187</v>
      </c>
      <c r="C281" s="1871"/>
      <c r="D281" s="1871"/>
      <c r="E281" s="1871"/>
      <c r="F281" s="1863">
        <v>0.05</v>
      </c>
    </row>
    <row r="282" spans="1:6" ht="24.75" thickBot="1">
      <c r="A282" s="1857" t="s">
        <v>1413</v>
      </c>
      <c r="B282" s="1861" t="s">
        <v>2188</v>
      </c>
      <c r="C282" s="1871"/>
      <c r="D282" s="1871"/>
      <c r="E282" s="1871"/>
      <c r="F282" s="1863">
        <v>0.05</v>
      </c>
    </row>
    <row r="283" spans="1:6" ht="24.75" thickBot="1">
      <c r="A283" s="1857" t="s">
        <v>1413</v>
      </c>
      <c r="B283" s="1861" t="s">
        <v>2189</v>
      </c>
      <c r="C283" s="1871"/>
      <c r="D283" s="1871"/>
      <c r="E283" s="1871"/>
      <c r="F283" s="1863">
        <v>0.05</v>
      </c>
    </row>
    <row r="284" spans="1:6" ht="24.75" thickBot="1">
      <c r="A284" s="1857" t="s">
        <v>1413</v>
      </c>
      <c r="B284" s="1861" t="s">
        <v>2190</v>
      </c>
      <c r="C284" s="1871"/>
      <c r="D284" s="1871"/>
      <c r="E284" s="1871"/>
      <c r="F284" s="1863">
        <v>0.05</v>
      </c>
    </row>
    <row r="285" spans="1:6" ht="24.75" thickBot="1">
      <c r="A285" s="1857" t="s">
        <v>1413</v>
      </c>
      <c r="B285" s="1861" t="s">
        <v>2191</v>
      </c>
      <c r="C285" s="1871"/>
      <c r="D285" s="1871"/>
      <c r="E285" s="1871"/>
      <c r="F285" s="1863">
        <v>0.05</v>
      </c>
    </row>
    <row r="286" spans="1:6" ht="24.75" thickBot="1">
      <c r="A286" s="1857" t="s">
        <v>1413</v>
      </c>
      <c r="B286" s="1861" t="s">
        <v>2192</v>
      </c>
      <c r="C286" s="1871"/>
      <c r="D286" s="1871"/>
      <c r="E286" s="1871"/>
      <c r="F286" s="1863">
        <v>0.05</v>
      </c>
    </row>
    <row r="287" spans="1:6" ht="24.75" thickBot="1">
      <c r="A287" s="1857" t="s">
        <v>1413</v>
      </c>
      <c r="B287" s="1861" t="s">
        <v>2193</v>
      </c>
      <c r="C287" s="1871"/>
      <c r="D287" s="1871"/>
      <c r="E287" s="1871"/>
      <c r="F287" s="1863">
        <v>0.05</v>
      </c>
    </row>
    <row r="288" spans="1:6" ht="24.75" thickBot="1">
      <c r="A288" s="1857" t="s">
        <v>1413</v>
      </c>
      <c r="B288" s="1861" t="s">
        <v>2194</v>
      </c>
      <c r="C288" s="1871"/>
      <c r="D288" s="1871"/>
      <c r="E288" s="1871"/>
      <c r="F288" s="1863">
        <v>0.05</v>
      </c>
    </row>
    <row r="289" spans="1:6" ht="24.75" thickBot="1">
      <c r="A289" s="1865" t="s">
        <v>1413</v>
      </c>
      <c r="B289" s="1872" t="s">
        <v>2195</v>
      </c>
      <c r="C289" s="1868"/>
      <c r="D289" s="1868"/>
      <c r="E289" s="1868"/>
      <c r="F289" s="1873">
        <v>0.05</v>
      </c>
    </row>
    <row r="290" spans="1:6" ht="14.25" thickBot="1">
      <c r="A290" s="1857" t="s">
        <v>1417</v>
      </c>
      <c r="B290" s="1858" t="s">
        <v>2196</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2197</v>
      </c>
      <c r="C292" s="1862">
        <v>0.15</v>
      </c>
      <c r="D292" s="1862">
        <v>0.15</v>
      </c>
      <c r="E292" s="1862">
        <v>0.15</v>
      </c>
      <c r="F292" s="1863">
        <v>0.14699999999999999</v>
      </c>
    </row>
    <row r="293" spans="1:6" ht="14.25" thickBot="1">
      <c r="A293" s="1857" t="s">
        <v>1417</v>
      </c>
      <c r="B293" s="1861" t="s">
        <v>2198</v>
      </c>
      <c r="C293" s="1871"/>
      <c r="D293" s="1871"/>
      <c r="E293" s="1871"/>
      <c r="F293" s="1863">
        <v>0.1</v>
      </c>
    </row>
    <row r="294" spans="1:6" ht="14.25" thickBot="1">
      <c r="A294" s="1857" t="s">
        <v>1417</v>
      </c>
      <c r="B294" s="1861" t="s">
        <v>2199</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2200</v>
      </c>
      <c r="C296" s="1862">
        <v>0.15</v>
      </c>
      <c r="D296" s="1862">
        <v>0.15</v>
      </c>
      <c r="E296" s="1862">
        <v>0.15</v>
      </c>
      <c r="F296" s="1863">
        <v>0.15</v>
      </c>
    </row>
    <row r="297" spans="1:6" ht="14.25" thickBot="1">
      <c r="A297" s="1857" t="s">
        <v>1417</v>
      </c>
      <c r="B297" s="1861" t="s">
        <v>2201</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2202</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2203</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2204</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2205</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2206</v>
      </c>
      <c r="C310" s="1862">
        <v>0.15</v>
      </c>
      <c r="D310" s="1862">
        <v>0.15</v>
      </c>
      <c r="E310" s="1862">
        <v>0.15</v>
      </c>
      <c r="F310" s="1863">
        <v>0.13700000000000001</v>
      </c>
    </row>
    <row r="311" spans="1:6" ht="14.25" thickBot="1">
      <c r="A311" s="1857" t="s">
        <v>1417</v>
      </c>
      <c r="B311" s="1861" t="s">
        <v>2207</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2208</v>
      </c>
      <c r="C313" s="1862">
        <v>0.15</v>
      </c>
      <c r="D313" s="1862">
        <v>0.15</v>
      </c>
      <c r="E313" s="1862">
        <v>0.15</v>
      </c>
      <c r="F313" s="1863">
        <v>0.15</v>
      </c>
    </row>
    <row r="314" spans="1:6" ht="24.75" thickBot="1">
      <c r="A314" s="1857" t="s">
        <v>1417</v>
      </c>
      <c r="B314" s="1861" t="s">
        <v>2209</v>
      </c>
      <c r="C314" s="1871"/>
      <c r="D314" s="1871"/>
      <c r="E314" s="1871"/>
      <c r="F314" s="1863">
        <v>0.05</v>
      </c>
    </row>
    <row r="315" spans="1:6" ht="24.75" thickBot="1">
      <c r="A315" s="1857" t="s">
        <v>1417</v>
      </c>
      <c r="B315" s="1861" t="s">
        <v>2210</v>
      </c>
      <c r="C315" s="1871"/>
      <c r="D315" s="1871"/>
      <c r="E315" s="1871"/>
      <c r="F315" s="1863">
        <v>0.05</v>
      </c>
    </row>
    <row r="316" spans="1:6" ht="24.75" thickBot="1">
      <c r="A316" s="1865" t="s">
        <v>1417</v>
      </c>
      <c r="B316" s="1872" t="s">
        <v>2211</v>
      </c>
      <c r="C316" s="1868"/>
      <c r="D316" s="1868"/>
      <c r="E316" s="1868"/>
      <c r="F316" s="1873">
        <v>0.05</v>
      </c>
    </row>
    <row r="317" spans="1:6" ht="14.25" thickBot="1">
      <c r="A317" s="1857" t="s">
        <v>2212</v>
      </c>
      <c r="B317" s="1858" t="s">
        <v>2213</v>
      </c>
      <c r="C317" s="1859">
        <v>0.15</v>
      </c>
      <c r="D317" s="1859">
        <v>0.15</v>
      </c>
      <c r="E317" s="1859">
        <v>0.15</v>
      </c>
      <c r="F317" s="1860">
        <v>0.15</v>
      </c>
    </row>
    <row r="318" spans="1:6" ht="14.25" thickBot="1">
      <c r="A318" s="1857" t="s">
        <v>2212</v>
      </c>
      <c r="B318" s="1861" t="s">
        <v>2214</v>
      </c>
      <c r="C318" s="1862">
        <v>0.107</v>
      </c>
      <c r="D318" s="1862">
        <v>0.11</v>
      </c>
      <c r="E318" s="1862">
        <v>0.112</v>
      </c>
      <c r="F318" s="1870"/>
    </row>
    <row r="319" spans="1:6" ht="14.25" thickBot="1">
      <c r="A319" s="1857" t="s">
        <v>2212</v>
      </c>
      <c r="B319" s="1861" t="s">
        <v>2215</v>
      </c>
      <c r="C319" s="1862">
        <v>0.15</v>
      </c>
      <c r="D319" s="1862">
        <v>0.15</v>
      </c>
      <c r="E319" s="1862">
        <v>0.15</v>
      </c>
      <c r="F319" s="1863">
        <v>0.15</v>
      </c>
    </row>
    <row r="320" spans="1:6" ht="14.25" thickBot="1">
      <c r="A320" s="1857" t="s">
        <v>2212</v>
      </c>
      <c r="B320" s="1861" t="s">
        <v>1105</v>
      </c>
      <c r="C320" s="1862">
        <v>0.15</v>
      </c>
      <c r="D320" s="1862">
        <v>0.15</v>
      </c>
      <c r="E320" s="1862">
        <v>0.15</v>
      </c>
      <c r="F320" s="1870"/>
    </row>
    <row r="321" spans="1:6" ht="14.25" thickBot="1">
      <c r="A321" s="1857" t="s">
        <v>2212</v>
      </c>
      <c r="B321" s="1861" t="s">
        <v>2216</v>
      </c>
      <c r="C321" s="1862">
        <v>0.15</v>
      </c>
      <c r="D321" s="1862">
        <v>0.15</v>
      </c>
      <c r="E321" s="1862">
        <v>0.15</v>
      </c>
      <c r="F321" s="1870"/>
    </row>
    <row r="322" spans="1:6" ht="14.25" thickBot="1">
      <c r="A322" s="1857" t="s">
        <v>2212</v>
      </c>
      <c r="B322" s="1861" t="s">
        <v>2217</v>
      </c>
      <c r="C322" s="1862">
        <v>0.15</v>
      </c>
      <c r="D322" s="1862">
        <v>0.15</v>
      </c>
      <c r="E322" s="1862">
        <v>0.15</v>
      </c>
      <c r="F322" s="1863">
        <v>0.15</v>
      </c>
    </row>
    <row r="323" spans="1:6" ht="14.25" thickBot="1">
      <c r="A323" s="1857" t="s">
        <v>2212</v>
      </c>
      <c r="B323" s="1861" t="s">
        <v>2218</v>
      </c>
      <c r="C323" s="1862">
        <v>0.15</v>
      </c>
      <c r="D323" s="1862">
        <v>0.15</v>
      </c>
      <c r="E323" s="1862">
        <v>0.15</v>
      </c>
      <c r="F323" s="1870"/>
    </row>
    <row r="324" spans="1:6" ht="14.25" thickBot="1">
      <c r="A324" s="1857" t="s">
        <v>2212</v>
      </c>
      <c r="B324" s="1861" t="s">
        <v>2219</v>
      </c>
      <c r="C324" s="1862">
        <v>0.15</v>
      </c>
      <c r="D324" s="1862">
        <v>0.15</v>
      </c>
      <c r="E324" s="1862">
        <v>0.15</v>
      </c>
      <c r="F324" s="1870"/>
    </row>
    <row r="325" spans="1:6" ht="14.25" thickBot="1">
      <c r="A325" s="1857" t="s">
        <v>2212</v>
      </c>
      <c r="B325" s="1861" t="s">
        <v>2220</v>
      </c>
      <c r="C325" s="1862">
        <v>0.15</v>
      </c>
      <c r="D325" s="1862">
        <v>0.15</v>
      </c>
      <c r="E325" s="1862">
        <v>0.15</v>
      </c>
      <c r="F325" s="1863">
        <v>0.14699999999999999</v>
      </c>
    </row>
    <row r="326" spans="1:6" ht="14.25" thickBot="1">
      <c r="A326" s="1857" t="s">
        <v>2212</v>
      </c>
      <c r="B326" s="1861" t="s">
        <v>1174</v>
      </c>
      <c r="C326" s="1862">
        <v>0.15</v>
      </c>
      <c r="D326" s="1862">
        <v>0.15</v>
      </c>
      <c r="E326" s="1862">
        <v>0.15</v>
      </c>
      <c r="F326" s="1870"/>
    </row>
    <row r="327" spans="1:6" ht="14.25" thickBot="1">
      <c r="A327" s="1857" t="s">
        <v>2212</v>
      </c>
      <c r="B327" s="1861" t="s">
        <v>2221</v>
      </c>
      <c r="C327" s="1862">
        <v>0.15</v>
      </c>
      <c r="D327" s="1862">
        <v>0.15</v>
      </c>
      <c r="E327" s="1862">
        <v>0.15</v>
      </c>
      <c r="F327" s="1863">
        <v>0.15</v>
      </c>
    </row>
    <row r="328" spans="1:6" ht="14.25" thickBot="1">
      <c r="A328" s="1857" t="s">
        <v>2212</v>
      </c>
      <c r="B328" s="1861" t="s">
        <v>1194</v>
      </c>
      <c r="C328" s="1862">
        <v>0.15</v>
      </c>
      <c r="D328" s="1862">
        <v>0.15</v>
      </c>
      <c r="E328" s="1862">
        <v>0.15</v>
      </c>
      <c r="F328" s="1863">
        <v>0.14099999999999999</v>
      </c>
    </row>
    <row r="329" spans="1:6" ht="14.25" thickBot="1">
      <c r="A329" s="1857" t="s">
        <v>2212</v>
      </c>
      <c r="B329" s="1861" t="s">
        <v>1204</v>
      </c>
      <c r="C329" s="1862">
        <v>0.15</v>
      </c>
      <c r="D329" s="1862">
        <v>0.15</v>
      </c>
      <c r="E329" s="1862">
        <v>0.15</v>
      </c>
      <c r="F329" s="1863">
        <v>0.15</v>
      </c>
    </row>
    <row r="330" spans="1:6" ht="14.25" thickBot="1">
      <c r="A330" s="1857" t="s">
        <v>2212</v>
      </c>
      <c r="B330" s="1861" t="s">
        <v>1214</v>
      </c>
      <c r="C330" s="1862">
        <v>0.15</v>
      </c>
      <c r="D330" s="1862">
        <v>0.15</v>
      </c>
      <c r="E330" s="1862">
        <v>0.15</v>
      </c>
      <c r="F330" s="1870"/>
    </row>
    <row r="331" spans="1:6" ht="14.25" thickBot="1">
      <c r="A331" s="1857" t="s">
        <v>2212</v>
      </c>
      <c r="B331" s="1861" t="s">
        <v>2222</v>
      </c>
      <c r="C331" s="1862">
        <v>0.15</v>
      </c>
      <c r="D331" s="1862">
        <v>0.15</v>
      </c>
      <c r="E331" s="1862">
        <v>0.15</v>
      </c>
      <c r="F331" s="1863">
        <v>0.15</v>
      </c>
    </row>
    <row r="332" spans="1:6" ht="14.25" thickBot="1">
      <c r="A332" s="1857" t="s">
        <v>2212</v>
      </c>
      <c r="B332" s="1861" t="s">
        <v>1234</v>
      </c>
      <c r="C332" s="1862">
        <v>0.15</v>
      </c>
      <c r="D332" s="1862">
        <v>0.15</v>
      </c>
      <c r="E332" s="1862">
        <v>0.15</v>
      </c>
      <c r="F332" s="1863">
        <v>0.15</v>
      </c>
    </row>
    <row r="333" spans="1:6" ht="14.25" thickBot="1">
      <c r="A333" s="1857" t="s">
        <v>2212</v>
      </c>
      <c r="B333" s="1861" t="s">
        <v>2223</v>
      </c>
      <c r="C333" s="1862">
        <v>0.15</v>
      </c>
      <c r="D333" s="1862">
        <v>0.15</v>
      </c>
      <c r="E333" s="1862">
        <v>0.15</v>
      </c>
      <c r="F333" s="1863">
        <v>0.14099999999999999</v>
      </c>
    </row>
    <row r="334" spans="1:6" ht="14.25" thickBot="1">
      <c r="A334" s="1857" t="s">
        <v>2212</v>
      </c>
      <c r="B334" s="1861" t="s">
        <v>1254</v>
      </c>
      <c r="C334" s="1862">
        <v>0.15</v>
      </c>
      <c r="D334" s="1862">
        <v>0.15</v>
      </c>
      <c r="E334" s="1862">
        <v>0.15</v>
      </c>
      <c r="F334" s="1863">
        <v>0.15</v>
      </c>
    </row>
    <row r="335" spans="1:6" ht="14.25" thickBot="1">
      <c r="A335" s="1857" t="s">
        <v>2212</v>
      </c>
      <c r="B335" s="1861" t="s">
        <v>1264</v>
      </c>
      <c r="C335" s="1862">
        <v>0.15</v>
      </c>
      <c r="D335" s="1862">
        <v>0.15</v>
      </c>
      <c r="E335" s="1862">
        <v>0.15</v>
      </c>
      <c r="F335" s="1870"/>
    </row>
    <row r="336" spans="1:6" ht="14.25" thickBot="1">
      <c r="A336" s="1857" t="s">
        <v>2212</v>
      </c>
      <c r="B336" s="1861" t="s">
        <v>2224</v>
      </c>
      <c r="C336" s="1862">
        <v>0.15</v>
      </c>
      <c r="D336" s="1862">
        <v>0.15</v>
      </c>
      <c r="E336" s="1862">
        <v>0.15</v>
      </c>
      <c r="F336" s="1863">
        <v>0.11799999999999999</v>
      </c>
    </row>
    <row r="337" spans="1:6" ht="14.25" thickBot="1">
      <c r="A337" s="1865" t="s">
        <v>2212</v>
      </c>
      <c r="B337" s="1872" t="s">
        <v>1282</v>
      </c>
      <c r="C337" s="1868"/>
      <c r="D337" s="1868"/>
      <c r="E337" s="1868"/>
      <c r="F337" s="1873">
        <v>0.14299999999999999</v>
      </c>
    </row>
    <row r="338" spans="1:6" ht="14.25" thickBot="1">
      <c r="A338" s="1857" t="s">
        <v>2225</v>
      </c>
      <c r="B338" s="1858" t="s">
        <v>2226</v>
      </c>
      <c r="C338" s="1859">
        <v>0.15</v>
      </c>
      <c r="D338" s="1859">
        <v>0.15</v>
      </c>
      <c r="E338" s="1859">
        <v>0.15</v>
      </c>
      <c r="F338" s="1881"/>
    </row>
    <row r="339" spans="1:6" ht="14.25" thickBot="1">
      <c r="A339" s="1857" t="s">
        <v>2225</v>
      </c>
      <c r="B339" s="1861" t="s">
        <v>2227</v>
      </c>
      <c r="C339" s="1862">
        <v>0.15</v>
      </c>
      <c r="D339" s="1862">
        <v>0.15</v>
      </c>
      <c r="E339" s="1862">
        <v>0.15</v>
      </c>
      <c r="F339" s="1870"/>
    </row>
    <row r="340" spans="1:6" ht="14.25" thickBot="1">
      <c r="A340" s="1857" t="s">
        <v>2225</v>
      </c>
      <c r="B340" s="1861" t="s">
        <v>2228</v>
      </c>
      <c r="C340" s="1862">
        <v>0.15</v>
      </c>
      <c r="D340" s="1862">
        <v>0.15</v>
      </c>
      <c r="E340" s="1862">
        <v>0.15</v>
      </c>
      <c r="F340" s="1870"/>
    </row>
    <row r="341" spans="1:6" ht="14.25" thickBot="1">
      <c r="A341" s="1857" t="s">
        <v>2229</v>
      </c>
      <c r="B341" s="1861" t="s">
        <v>2230</v>
      </c>
      <c r="C341" s="1862">
        <v>0.15</v>
      </c>
      <c r="D341" s="1862">
        <v>0.15</v>
      </c>
      <c r="E341" s="1862">
        <v>0.15</v>
      </c>
      <c r="F341" s="1863">
        <v>0.15</v>
      </c>
    </row>
    <row r="342" spans="1:6" ht="14.25" thickBot="1">
      <c r="A342" s="1857" t="s">
        <v>2225</v>
      </c>
      <c r="B342" s="1861" t="s">
        <v>2231</v>
      </c>
      <c r="C342" s="1862">
        <v>0.15</v>
      </c>
      <c r="D342" s="1862">
        <v>0.15</v>
      </c>
      <c r="E342" s="1862">
        <v>0.15</v>
      </c>
      <c r="F342" s="1863">
        <v>0.15</v>
      </c>
    </row>
    <row r="343" spans="1:6" ht="14.25" thickBot="1">
      <c r="A343" s="1857" t="s">
        <v>2225</v>
      </c>
      <c r="B343" s="1861" t="s">
        <v>2232</v>
      </c>
      <c r="C343" s="1862">
        <v>0.15</v>
      </c>
      <c r="D343" s="1862">
        <v>0.15</v>
      </c>
      <c r="E343" s="1862">
        <v>0.15</v>
      </c>
      <c r="F343" s="1863">
        <v>0.15</v>
      </c>
    </row>
    <row r="344" spans="1:6" ht="14.25" thickBot="1">
      <c r="A344" s="1865" t="s">
        <v>2225</v>
      </c>
      <c r="B344" s="1872" t="s">
        <v>2233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2946</v>
      </c>
      <c r="B1" s="3108"/>
      <c r="C1" s="3108"/>
      <c r="D1" s="3108"/>
      <c r="E1" s="3108"/>
      <c r="F1" s="3108"/>
    </row>
    <row r="2" spans="1:6" ht="14.25">
      <c r="A2" s="3109" t="s">
        <v>2941</v>
      </c>
      <c r="B2" s="3110">
        <f ca="1">SUMIF(B7:B14,"&lt;&gt;#ref!",B7:B14)</f>
        <v>0</v>
      </c>
      <c r="C2" s="3109" t="s">
        <v>2942</v>
      </c>
      <c r="D2" s="3108"/>
      <c r="E2" s="3108"/>
      <c r="F2" s="3108"/>
    </row>
    <row r="3" spans="1:6" ht="14.25">
      <c r="A3" s="3109" t="s">
        <v>2975</v>
      </c>
      <c r="B3" s="3110" t="e">
        <f ca="1">ROUND(B2*10000/E3,0)</f>
        <v>#DIV/0!</v>
      </c>
      <c r="C3" s="3109" t="s">
        <v>2074</v>
      </c>
      <c r="D3" s="3109" t="s">
        <v>2943</v>
      </c>
      <c r="E3" s="3110">
        <f ca="1">SUMIF(E7:E14,"&lt;&gt;#ref!",E7:E14)</f>
        <v>0</v>
      </c>
      <c r="F3" s="3108"/>
    </row>
    <row r="4" spans="1:6" ht="14.25">
      <c r="A4" s="3109" t="s">
        <v>2950</v>
      </c>
      <c r="B4" s="3110" t="e">
        <f ca="1">ROUND(B2*10000/E4,0)</f>
        <v>#DIV/0!</v>
      </c>
      <c r="C4" s="3109" t="s">
        <v>2074</v>
      </c>
      <c r="D4" s="3109" t="s">
        <v>2951</v>
      </c>
      <c r="E4" s="3110">
        <f ca="1">SUMIF(F7:F14,"&lt;&gt;#ref!",F7:F14)</f>
        <v>0</v>
      </c>
      <c r="F4" s="3108"/>
    </row>
    <row r="5" spans="1:6" ht="14.25">
      <c r="A5" s="3111"/>
      <c r="B5" s="1883"/>
      <c r="C5" s="1883"/>
      <c r="D5" s="1883"/>
      <c r="E5" s="1883"/>
      <c r="F5" s="3108"/>
    </row>
    <row r="6" spans="1:6" ht="28.5">
      <c r="A6" s="3112" t="s">
        <v>2947</v>
      </c>
      <c r="B6" s="3109" t="s">
        <v>2944</v>
      </c>
      <c r="C6" s="3110"/>
      <c r="D6" s="1883"/>
      <c r="E6" s="3109" t="s">
        <v>2945</v>
      </c>
      <c r="F6" s="3109" t="s">
        <v>2949</v>
      </c>
    </row>
    <row r="7" spans="1:6" ht="14.25">
      <c r="A7" s="260" t="s">
        <v>2948</v>
      </c>
      <c r="B7" s="3113" t="e">
        <f ca="1">SUMIF(INDIRECT("'"&amp;A7&amp;"'"&amp;"!A:A"),"总价",INDIRECT("'"&amp;A7&amp;"'"&amp;"!B:B"))</f>
        <v>#REF!</v>
      </c>
      <c r="C7" s="3109" t="s">
        <v>2942</v>
      </c>
      <c r="D7" s="1883"/>
      <c r="E7" s="3114" t="e">
        <f ca="1">SUMIF(INDIRECT("'"&amp;A7&amp;"'"&amp;"!C:C"),"建筑面积",INDIRECT("'"&amp;A7&amp;"'"&amp;"!D:D"))</f>
        <v>#REF!</v>
      </c>
      <c r="F7" s="3114" t="e">
        <f ca="1">SUMIF(INDIRECT("'"&amp;A7&amp;"'"&amp;"!E:E"),"土地面积",INDIRECT("'"&amp;A7&amp;"'"&amp;"!F:F"))</f>
        <v>#REF!</v>
      </c>
    </row>
    <row r="8" spans="1:6" ht="14.25">
      <c r="A8" s="260"/>
      <c r="B8" s="3113" t="e">
        <f t="shared" ref="B8:B14" ca="1" si="0">SUMIF(INDIRECT("'"&amp;A8&amp;"'"&amp;"!A:A"),"总价",INDIRECT("'"&amp;A8&amp;"'"&amp;"!B:B"))</f>
        <v>#REF!</v>
      </c>
      <c r="C8" s="3109" t="s">
        <v>2942</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2942</v>
      </c>
      <c r="D9" s="1883"/>
      <c r="E9" s="3114" t="e">
        <f t="shared" ca="1" si="1"/>
        <v>#REF!</v>
      </c>
      <c r="F9" s="3114" t="e">
        <f t="shared" ca="1" si="2"/>
        <v>#REF!</v>
      </c>
    </row>
    <row r="10" spans="1:6" ht="14.25">
      <c r="A10" s="260"/>
      <c r="B10" s="3113" t="e">
        <f t="shared" ca="1" si="0"/>
        <v>#REF!</v>
      </c>
      <c r="C10" s="3109" t="s">
        <v>2942</v>
      </c>
      <c r="D10" s="1883"/>
      <c r="E10" s="3114" t="e">
        <f t="shared" ca="1" si="1"/>
        <v>#REF!</v>
      </c>
      <c r="F10" s="3114" t="e">
        <f t="shared" ca="1" si="2"/>
        <v>#REF!</v>
      </c>
    </row>
    <row r="11" spans="1:6" ht="14.25">
      <c r="A11" s="260"/>
      <c r="B11" s="3113" t="e">
        <f t="shared" ca="1" si="0"/>
        <v>#REF!</v>
      </c>
      <c r="C11" s="3109" t="s">
        <v>2942</v>
      </c>
      <c r="D11" s="1883"/>
      <c r="E11" s="3114" t="e">
        <f t="shared" ca="1" si="1"/>
        <v>#REF!</v>
      </c>
      <c r="F11" s="3114" t="e">
        <f t="shared" ca="1" si="2"/>
        <v>#REF!</v>
      </c>
    </row>
    <row r="12" spans="1:6" ht="14.25">
      <c r="A12" s="260"/>
      <c r="B12" s="3113" t="e">
        <f t="shared" ca="1" si="0"/>
        <v>#REF!</v>
      </c>
      <c r="C12" s="3109" t="s">
        <v>2942</v>
      </c>
      <c r="D12" s="1883"/>
      <c r="E12" s="3114" t="e">
        <f t="shared" ca="1" si="1"/>
        <v>#REF!</v>
      </c>
      <c r="F12" s="3114" t="e">
        <f t="shared" ca="1" si="2"/>
        <v>#REF!</v>
      </c>
    </row>
    <row r="13" spans="1:6" ht="14.25">
      <c r="A13" s="260"/>
      <c r="B13" s="3113" t="e">
        <f t="shared" ca="1" si="0"/>
        <v>#REF!</v>
      </c>
      <c r="C13" s="3109" t="s">
        <v>2942</v>
      </c>
      <c r="D13" s="1883"/>
      <c r="E13" s="3114" t="e">
        <f t="shared" ca="1" si="1"/>
        <v>#REF!</v>
      </c>
      <c r="F13" s="3114" t="e">
        <f t="shared" ca="1" si="2"/>
        <v>#REF!</v>
      </c>
    </row>
    <row r="14" spans="1:6" ht="14.25">
      <c r="A14" s="3107"/>
      <c r="B14" s="3113" t="e">
        <f t="shared" ca="1" si="0"/>
        <v>#REF!</v>
      </c>
      <c r="C14" s="3109" t="s">
        <v>2942</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128587.91平方米。根据《建设工程规划许可证》[]、《出让合同》[]，估价对象规划建筑面积为292155平方米。</v>
      </c>
    </row>
    <row r="7" spans="1:4" ht="56.25">
      <c r="A7" s="1797" t="s">
        <v>2743</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2938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根据《国有土地使用证》[]，估价对象（分摊）出让国有建设用地使用权面积为128587.91平方米。根据《建设工程规划许可证》[]、《出让合同》[]，估价对象规划建筑面积为292155平方米。</v>
      </c>
    </row>
    <row r="21" spans="1:1" ht="18.75">
      <c r="A21" s="1793" t="s">
        <v>2070</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2983</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9945</v>
      </c>
      <c r="U2" s="2928"/>
      <c r="V2" s="2939">
        <f ca="1">ROUND(T2*U2/10000,0)</f>
        <v>0</v>
      </c>
      <c r="W2" s="2191"/>
      <c r="X2" s="2191"/>
      <c r="Y2" s="2191"/>
      <c r="Z2" s="2191"/>
      <c r="AA2" s="2191"/>
      <c r="AB2" s="2191"/>
      <c r="AC2" s="2192"/>
    </row>
    <row r="3" spans="1:39" ht="15.75">
      <c r="A3" s="1412" t="s">
        <v>1681</v>
      </c>
      <c r="B3" s="1038" t="e">
        <f ca="1">ROUND(B2*10000/D1,0)</f>
        <v>#DIV/0!</v>
      </c>
      <c r="C3" s="1408" t="s">
        <v>924</v>
      </c>
      <c r="D3" s="1409" t="s">
        <v>925</v>
      </c>
      <c r="E3" s="1413" t="s">
        <v>3003</v>
      </c>
      <c r="F3" s="1414" t="s">
        <v>2932</v>
      </c>
      <c r="G3" s="1039">
        <f>IF(F3="宗地容积率",'数据-汇总表'!I4,IF(F3="估价对象容积率",'数据-汇总表'!I6,'数据-汇总表'!I7))</f>
        <v>2.27</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6554</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5158</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3780</v>
      </c>
      <c r="D5" s="3123">
        <f>ROUND(IF(E2="商业",IF(F16="增加",C6+C16,C6-C16)),0)</f>
        <v>3780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3853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SUMIF(L1:L12,基准地价商业!G2,M1:M12)</f>
        <v>3780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2898</v>
      </c>
      <c r="U6" s="2928"/>
      <c r="V6" s="2939">
        <f t="shared" ca="1" si="1"/>
        <v>0</v>
      </c>
      <c r="W6" s="2191"/>
      <c r="X6" s="2191"/>
      <c r="Y6" s="2191"/>
      <c r="Z6" s="2191"/>
      <c r="AA6" s="2191"/>
      <c r="AB6" s="2191"/>
      <c r="AC6" s="2193"/>
      <c r="AD6" s="1420"/>
      <c r="AE6" s="1420"/>
      <c r="AF6" s="1420"/>
      <c r="AG6" s="1420"/>
      <c r="AH6" s="1420"/>
      <c r="AI6" s="1420"/>
      <c r="AJ6" s="1421"/>
    </row>
    <row r="7" spans="1:39" ht="24">
      <c r="A7" s="3506" t="str">
        <f>IF(E2="商业",IF(C8="不临58条商业街","",2),"")</f>
        <v/>
      </c>
      <c r="B7" s="1428" t="s">
        <v>929</v>
      </c>
      <c r="C7" s="1043">
        <f>IF(C8="不临58条商业街",1,ROUND(1+(1.6*E8+1.2*E9+0.8*E10+0.4*E11)*C9,4))</f>
        <v>1</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2317</v>
      </c>
      <c r="U7" s="2928"/>
      <c r="V7" s="2939">
        <f t="shared" ca="1" si="1"/>
        <v>0</v>
      </c>
      <c r="W7" s="3186" t="s">
        <v>2760</v>
      </c>
      <c r="X7" s="2929" t="str">
        <f>G2</f>
        <v>九级</v>
      </c>
      <c r="Y7" s="2929" t="s">
        <v>2761</v>
      </c>
      <c r="Z7" s="2930">
        <f>G3</f>
        <v>2.27</v>
      </c>
      <c r="AA7" s="2194"/>
      <c r="AB7" s="2194"/>
      <c r="AC7" s="2195"/>
      <c r="AD7" s="2931"/>
      <c r="AE7" s="2931"/>
      <c r="AF7" s="2931"/>
      <c r="AG7" s="2931"/>
      <c r="AH7" s="2931"/>
      <c r="AI7" s="2931"/>
      <c r="AJ7" s="2932"/>
    </row>
    <row r="8" spans="1:39" ht="25.5">
      <c r="A8" s="3507"/>
      <c r="B8" s="1415" t="s">
        <v>931</v>
      </c>
      <c r="C8" s="1530" t="s">
        <v>3005</v>
      </c>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98" t="s">
        <v>2778</v>
      </c>
      <c r="X8" s="3499"/>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07"/>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3780</v>
      </c>
      <c r="N9" s="1889">
        <f>SUMPRODUCT((因素修正幅度!B245:B289=I2)*(因素修正幅度!C3:F3=E2)*(因素修正幅度!C245:F289))</f>
        <v>0.15</v>
      </c>
      <c r="O9" s="2191"/>
      <c r="P9" s="2191"/>
      <c r="Q9" s="2191"/>
      <c r="R9" s="2939">
        <v>8</v>
      </c>
      <c r="S9" s="2928"/>
      <c r="T9" s="2939">
        <f t="shared" ca="1" si="0"/>
        <v>0</v>
      </c>
      <c r="U9" s="2928"/>
      <c r="V9" s="2939">
        <f t="shared" ca="1" si="1"/>
        <v>0</v>
      </c>
      <c r="W9" s="3497"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07"/>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9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07"/>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97" t="s">
        <v>2776</v>
      </c>
      <c r="X11" s="1048" t="s">
        <v>2761</v>
      </c>
      <c r="Y11" s="1654">
        <f>$G$3</f>
        <v>2.27</v>
      </c>
      <c r="Z11" s="1654">
        <f t="shared" ref="Z11:AJ11" si="3">$G$3</f>
        <v>2.27</v>
      </c>
      <c r="AA11" s="1654">
        <f t="shared" si="3"/>
        <v>2.27</v>
      </c>
      <c r="AB11" s="1654">
        <f t="shared" si="3"/>
        <v>2.27</v>
      </c>
      <c r="AC11" s="1654">
        <f t="shared" si="3"/>
        <v>2.27</v>
      </c>
      <c r="AD11" s="1654">
        <f t="shared" si="3"/>
        <v>2.27</v>
      </c>
      <c r="AE11" s="1654">
        <f t="shared" si="3"/>
        <v>2.27</v>
      </c>
      <c r="AF11" s="1654">
        <f t="shared" si="3"/>
        <v>2.27</v>
      </c>
      <c r="AG11" s="1654">
        <f t="shared" si="3"/>
        <v>2.27</v>
      </c>
      <c r="AH11" s="1654">
        <f t="shared" si="3"/>
        <v>2.27</v>
      </c>
      <c r="AI11" s="1654">
        <f t="shared" si="3"/>
        <v>2.27</v>
      </c>
      <c r="AJ11" s="1654">
        <f t="shared" si="3"/>
        <v>2.27</v>
      </c>
    </row>
    <row r="12" spans="1:39" ht="25.5" thickBot="1">
      <c r="A12" s="3506"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97"/>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8"/>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497"/>
      <c r="X13" s="2936"/>
      <c r="Y13" s="2935">
        <f>(-0.163*(Y12^2)-0.59*Y12+7617)*(10^(-4))/Y11</f>
        <v>0.33555066079295154</v>
      </c>
      <c r="Z13" s="2935">
        <f t="shared" ref="Z13:AJ13" si="5">(-0.163*(Z12^2)-0.59*Z12+7617)*(10^(-4))/Z11</f>
        <v>0.33555066079295154</v>
      </c>
      <c r="AA13" s="2935">
        <f t="shared" si="5"/>
        <v>0.33555066079295154</v>
      </c>
      <c r="AB13" s="2935">
        <f t="shared" si="5"/>
        <v>0.33555066079295154</v>
      </c>
      <c r="AC13" s="2935">
        <f t="shared" si="5"/>
        <v>0.33555066079295154</v>
      </c>
      <c r="AD13" s="2935">
        <f t="shared" si="5"/>
        <v>0.33555066079295154</v>
      </c>
      <c r="AE13" s="2935">
        <f t="shared" si="5"/>
        <v>0.33555066079295154</v>
      </c>
      <c r="AF13" s="2935">
        <f t="shared" si="5"/>
        <v>0.33555066079295154</v>
      </c>
      <c r="AG13" s="2935">
        <f t="shared" si="5"/>
        <v>0.33555066079295154</v>
      </c>
      <c r="AH13" s="2935">
        <f t="shared" si="5"/>
        <v>0.33555066079295154</v>
      </c>
      <c r="AI13" s="2935">
        <f t="shared" si="5"/>
        <v>0.33555066079295154</v>
      </c>
      <c r="AJ13" s="2935">
        <f t="shared" si="5"/>
        <v>0.33555066079295154</v>
      </c>
    </row>
    <row r="14" spans="1:39" ht="12.75" customHeight="1" thickBot="1">
      <c r="A14" s="3508"/>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9"/>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506"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07"/>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5.3999999999999999E-2</v>
      </c>
      <c r="H20" s="2783" t="s">
        <v>972</v>
      </c>
      <c r="I20" s="2773">
        <f>SUMIF('数据-取费表'!C6:C15,E2,'数据-取费表'!F6:F15)/COUNTIF('数据-取费表'!C6:C15,E2)</f>
        <v>40</v>
      </c>
      <c r="J20" s="2785">
        <f>IF(E2="住宅",70,IF(E2="商业",40,50))</f>
        <v>40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0.93700000000000006</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0.93700000000000006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4798</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1200</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12" t="s">
        <v>2958</v>
      </c>
      <c r="B33" s="1525" t="s">
        <v>997</v>
      </c>
      <c r="C33" s="1063">
        <f ca="1">ROUND(D5*C19*C20*C24*F33,0)</f>
        <v>3072</v>
      </c>
      <c r="D33" s="1538"/>
      <c r="E33" s="1048">
        <f ca="1">ROUND(C33*D33/10000,0)</f>
        <v>0</v>
      </c>
      <c r="F33" s="1048">
        <f>SUMIF(修正!A45:A56,G2,修正!B45:B56)</f>
        <v>0.6</v>
      </c>
      <c r="G33" s="1048">
        <f t="shared" ref="G33" ca="1" si="6">ROUND(IF(E2="工业",C33*$M$39,C33*$M$38),0)</f>
        <v>768</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13"/>
      <c r="B34" s="1446" t="s">
        <v>998</v>
      </c>
      <c r="C34" s="1063">
        <f ca="1">ROUND(D5*C19*C20*C24*F34,0)</f>
        <v>1536</v>
      </c>
      <c r="D34" s="1538"/>
      <c r="E34" s="1048">
        <f t="shared" ref="E34:E39" ca="1" si="7">ROUND(C34*D34/10000,0)</f>
        <v>0</v>
      </c>
      <c r="F34" s="1048">
        <f>SUMIF(修正!A45:A56,G2,修正!C45:C56)</f>
        <v>0.3</v>
      </c>
      <c r="G34" s="1048">
        <f ca="1">ROUND(IF(E2="工业",C34*$M$39,C34*$M$38),0)</f>
        <v>384</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13"/>
      <c r="B35" s="1446" t="s">
        <v>999</v>
      </c>
      <c r="C35" s="1063">
        <f ca="1">ROUND(D5*C19*C20*C24*F35,0)</f>
        <v>1024</v>
      </c>
      <c r="D35" s="1538"/>
      <c r="E35" s="1048">
        <f t="shared" ca="1" si="7"/>
        <v>0</v>
      </c>
      <c r="F35" s="1048">
        <f>SUMIF(修正!A45:A56,G2,修正!D45:D56)</f>
        <v>0.2</v>
      </c>
      <c r="G35" s="1048">
        <f ca="1">ROUND(IF(E2="工业",C35*$M$39,C35*$M$38),0)</f>
        <v>256</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4"/>
      <c r="B36" s="1446" t="s">
        <v>1000</v>
      </c>
      <c r="C36" s="1063">
        <f ca="1">ROUND(D5*C19*C20*C24*F36,0)</f>
        <v>1024</v>
      </c>
      <c r="D36" s="1538"/>
      <c r="E36" s="1048">
        <f t="shared" ca="1" si="7"/>
        <v>0</v>
      </c>
      <c r="F36" s="1048">
        <f>SUMIF(修正!A45:A56,G2,修正!E45:E56)</f>
        <v>0.2</v>
      </c>
      <c r="G36" s="1048">
        <f ca="1">ROUND(IF(E2="工业",C36*$M$39,C36*$M$38),0)</f>
        <v>256</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1024</v>
      </c>
      <c r="D37" s="1538"/>
      <c r="E37" s="1048">
        <f t="shared" ca="1" si="7"/>
        <v>0</v>
      </c>
      <c r="F37" s="1063">
        <f>SUMIF(修正!A45:A56,G2,修正!F45:F56)</f>
        <v>0.2</v>
      </c>
      <c r="G37" s="1048">
        <f ca="1">ROUND(IF(E2="工业",C37*$M$39,C37*$M$38),0)</f>
        <v>256</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1024</v>
      </c>
      <c r="D38" s="1538"/>
      <c r="E38" s="1048">
        <f t="shared" ca="1" si="7"/>
        <v>0</v>
      </c>
      <c r="F38" s="1063">
        <f>SUMIF(修正!A45:A56,G2,修正!G45:G56)</f>
        <v>0.2</v>
      </c>
      <c r="G38" s="1048">
        <f ca="1">ROUND(IF(E2="工业",C38*$M$39,C38*$M$38),0)</f>
        <v>256</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768</v>
      </c>
      <c r="D39" s="1539"/>
      <c r="E39" s="1051">
        <f t="shared" ca="1" si="7"/>
        <v>0</v>
      </c>
      <c r="F39" s="1065">
        <f>SUMIF(修正!A45:A56,G2,修正!H45:H56)</f>
        <v>0.15</v>
      </c>
      <c r="G39" s="1051">
        <f ca="1">ROUND(IF(E2="工业",C39*$M$39,C39*$M$38),0)</f>
        <v>192</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f>IF(E2="商业",SUMIF(L1:L12,G2,N1:N12),"——")</f>
        <v>0.15</v>
      </c>
      <c r="G47" s="2417"/>
      <c r="H47" s="2463">
        <f t="shared" ref="H47:H55" si="11">IFERROR(ROUNDDOWN(($F$47*I47/2),4),"——")</f>
        <v>2.47E-2</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f t="shared" si="11"/>
        <v>1.8700000000000001E-2</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10">
        <f>估价对象房地状况!C19</f>
        <v>0</v>
      </c>
      <c r="C49" s="1050"/>
      <c r="D49" s="2419">
        <f t="shared" si="10"/>
        <v>0</v>
      </c>
      <c r="E49" s="2441"/>
      <c r="F49" s="2439"/>
      <c r="G49" s="2417"/>
      <c r="H49" s="2463">
        <f t="shared" si="11"/>
        <v>3.7000000000000002E-3</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100" t="s">
        <v>2934</v>
      </c>
      <c r="C50" s="1050"/>
      <c r="D50" s="2419">
        <f t="shared" si="10"/>
        <v>0</v>
      </c>
      <c r="E50" s="2441"/>
      <c r="F50" s="2439"/>
      <c r="G50" s="2417"/>
      <c r="H50" s="2463">
        <f t="shared" si="11"/>
        <v>3.7000000000000002E-3</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10">
        <f>估价对象房地状况!C24</f>
        <v>0</v>
      </c>
      <c r="C51" s="1050"/>
      <c r="D51" s="2419">
        <f t="shared" si="10"/>
        <v>0</v>
      </c>
      <c r="E51" s="2441"/>
      <c r="F51" s="2439"/>
      <c r="G51" s="2417"/>
      <c r="H51" s="2463">
        <f t="shared" si="11"/>
        <v>6.0000000000000001E-3</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099" t="s">
        <v>2933</v>
      </c>
      <c r="C52" s="1050"/>
      <c r="D52" s="2419">
        <f t="shared" si="10"/>
        <v>0</v>
      </c>
      <c r="E52" s="2441"/>
      <c r="F52" s="2439"/>
      <c r="G52" s="2417"/>
      <c r="H52" s="2463">
        <f t="shared" si="11"/>
        <v>2.2000000000000001E-3</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1024</v>
      </c>
      <c r="B53" s="2411" t="str">
        <f>估价对象房地状况!C21</f>
        <v>估价对象所在区域公共配套设施齐备情况</v>
      </c>
      <c r="C53" s="1050"/>
      <c r="D53" s="2419">
        <f t="shared" si="10"/>
        <v>0</v>
      </c>
      <c r="E53" s="2441"/>
      <c r="F53" s="2439"/>
      <c r="G53" s="2417"/>
      <c r="H53" s="2463">
        <f t="shared" si="11"/>
        <v>3.7000000000000002E-3</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1025</v>
      </c>
      <c r="B54" s="2410" t="str">
        <f>估价对象房地状况!C22</f>
        <v>估价对象所在区域基础设施水平</v>
      </c>
      <c r="C54" s="1050"/>
      <c r="D54" s="2419">
        <f t="shared" si="10"/>
        <v>0</v>
      </c>
      <c r="E54" s="2441"/>
      <c r="F54" s="2439"/>
      <c r="G54" s="2417"/>
      <c r="H54" s="2463">
        <f t="shared" si="11"/>
        <v>7.4999999999999997E-3</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1026</v>
      </c>
      <c r="B55" s="2414" t="str">
        <f>估价对象房地状况!C20</f>
        <v>区域自然环境：；人文环境；综合评价环境状况一般</v>
      </c>
      <c r="C55" s="1050"/>
      <c r="D55" s="2419">
        <f t="shared" si="10"/>
        <v>0</v>
      </c>
      <c r="E55" s="2445"/>
      <c r="F55" s="2439"/>
      <c r="G55" s="2417"/>
      <c r="H55" s="2463">
        <f t="shared" si="11"/>
        <v>4.4999999999999997E-3</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10" t="s">
        <v>1631</v>
      </c>
      <c r="B90" s="3510"/>
      <c r="C90" s="3510"/>
      <c r="D90" s="3510"/>
      <c r="E90" s="3510"/>
      <c r="F90" s="3510"/>
      <c r="G90" s="3510"/>
      <c r="H90" s="3510"/>
      <c r="I90" s="3510"/>
      <c r="J90" s="3510"/>
      <c r="K90" s="3188"/>
      <c r="L90" s="3188"/>
      <c r="M90" s="3188"/>
      <c r="N90" s="3188"/>
    </row>
    <row r="91" spans="1:40">
      <c r="A91" s="3511" t="s">
        <v>895</v>
      </c>
      <c r="B91" s="3511" t="s">
        <v>1632</v>
      </c>
      <c r="C91" s="1140" t="s">
        <v>1633</v>
      </c>
      <c r="D91" s="1141"/>
      <c r="E91" s="1141"/>
      <c r="F91" s="1141"/>
      <c r="G91" s="1141"/>
      <c r="H91" s="1141"/>
      <c r="I91" s="1141"/>
      <c r="J91" s="1142"/>
      <c r="K91" s="1134"/>
      <c r="L91" s="1134"/>
      <c r="M91" s="1134"/>
      <c r="N91" s="1134"/>
    </row>
    <row r="92" spans="1:40">
      <c r="A92" s="3511"/>
      <c r="B92" s="3511"/>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00"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1"/>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0" t="s">
        <v>1635</v>
      </c>
      <c r="B101" s="1147" t="s">
        <v>880</v>
      </c>
      <c r="C101" s="1148">
        <f>$G$3</f>
        <v>2.27</v>
      </c>
      <c r="D101" s="1148">
        <f t="shared" ref="D101:N101" si="31">$G$3</f>
        <v>2.27</v>
      </c>
      <c r="E101" s="1148">
        <f t="shared" si="31"/>
        <v>2.27</v>
      </c>
      <c r="F101" s="1148">
        <f t="shared" si="31"/>
        <v>2.27</v>
      </c>
      <c r="G101" s="1148">
        <f t="shared" si="31"/>
        <v>2.27</v>
      </c>
      <c r="H101" s="1148">
        <f t="shared" si="31"/>
        <v>2.27</v>
      </c>
      <c r="I101" s="1148">
        <f t="shared" si="31"/>
        <v>2.27</v>
      </c>
      <c r="J101" s="1148">
        <f t="shared" si="31"/>
        <v>2.27</v>
      </c>
      <c r="K101" s="1148">
        <f t="shared" si="31"/>
        <v>2.27</v>
      </c>
      <c r="L101" s="1148">
        <f t="shared" si="31"/>
        <v>2.27</v>
      </c>
      <c r="M101" s="1148">
        <f t="shared" si="31"/>
        <v>2.27</v>
      </c>
      <c r="N101" s="1148">
        <f t="shared" si="31"/>
        <v>2.27</v>
      </c>
    </row>
    <row r="102" spans="1:14">
      <c r="A102" s="3501"/>
      <c r="B102" s="1143">
        <v>1</v>
      </c>
      <c r="C102" s="1144">
        <f>1.9362/C101</f>
        <v>0.85295154185022026</v>
      </c>
      <c r="D102" s="1144">
        <f>1.9362/D101</f>
        <v>0.85295154185022026</v>
      </c>
      <c r="E102" s="1144">
        <f>1.8629/E101</f>
        <v>0.82066079295154182</v>
      </c>
      <c r="F102" s="1144">
        <f>1.8629/F101</f>
        <v>0.82066079295154182</v>
      </c>
      <c r="G102" s="1144">
        <f>1.8629/G101</f>
        <v>0.82066079295154182</v>
      </c>
      <c r="H102" s="1144">
        <f>1.8629/H101</f>
        <v>0.82066079295154182</v>
      </c>
      <c r="I102" s="1144">
        <f>1.8629/I101</f>
        <v>0.82066079295154182</v>
      </c>
      <c r="J102" s="1144">
        <f>1.942/J101</f>
        <v>0.85550660792951538</v>
      </c>
      <c r="K102" s="1144">
        <f>1.942/K101</f>
        <v>0.85550660792951538</v>
      </c>
      <c r="L102" s="1144">
        <f>1.942/L101</f>
        <v>0.85550660792951538</v>
      </c>
      <c r="M102" s="1144">
        <f>1.942/M101</f>
        <v>0.85550660792951538</v>
      </c>
      <c r="N102" s="1144">
        <f>1.942/N101</f>
        <v>0.85550660792951538</v>
      </c>
    </row>
    <row r="103" spans="1:14">
      <c r="A103" s="3501"/>
      <c r="B103" s="1143">
        <v>2</v>
      </c>
      <c r="C103" s="1144">
        <f>1.4198/C101</f>
        <v>0.62546255506607928</v>
      </c>
      <c r="D103" s="1144">
        <f>1.4198/D101</f>
        <v>0.62546255506607928</v>
      </c>
      <c r="E103" s="1144">
        <f>1.3372/E101</f>
        <v>0.5890748898678414</v>
      </c>
      <c r="F103" s="1144">
        <f>1.3372/F101</f>
        <v>0.5890748898678414</v>
      </c>
      <c r="G103" s="1144">
        <f>1.3372/G101</f>
        <v>0.5890748898678414</v>
      </c>
      <c r="H103" s="1144">
        <f>1.3372/H101</f>
        <v>0.5890748898678414</v>
      </c>
      <c r="I103" s="1144">
        <f>1.3372/I101</f>
        <v>0.5890748898678414</v>
      </c>
      <c r="J103" s="1144">
        <f>1.2799/J101</f>
        <v>0.56383259911894279</v>
      </c>
      <c r="K103" s="1144">
        <f>1.2799/K101</f>
        <v>0.56383259911894279</v>
      </c>
      <c r="L103" s="1144">
        <f>1.2799/L101</f>
        <v>0.56383259911894279</v>
      </c>
      <c r="M103" s="1144">
        <f>1.2799/M101</f>
        <v>0.56383259911894279</v>
      </c>
      <c r="N103" s="1144">
        <f>1.2799/N101</f>
        <v>0.56383259911894279</v>
      </c>
    </row>
    <row r="104" spans="1:14">
      <c r="A104" s="3501"/>
      <c r="B104" s="1143">
        <v>3</v>
      </c>
      <c r="C104" s="1144">
        <f>1.1594/C101</f>
        <v>0.51074889867841411</v>
      </c>
      <c r="D104" s="1144">
        <f>1.1594/D101</f>
        <v>0.51074889867841411</v>
      </c>
      <c r="E104" s="1144">
        <f>1.0788/E101</f>
        <v>0.47524229074889868</v>
      </c>
      <c r="F104" s="1144">
        <f>1.0788/F101</f>
        <v>0.47524229074889868</v>
      </c>
      <c r="G104" s="1144">
        <f>1.0788/G101</f>
        <v>0.47524229074889868</v>
      </c>
      <c r="H104" s="1144">
        <f>1.0788/H101</f>
        <v>0.47524229074889868</v>
      </c>
      <c r="I104" s="1144">
        <f>1.0788/I101</f>
        <v>0.47524229074889868</v>
      </c>
      <c r="J104" s="1144">
        <f>1.0072/J101</f>
        <v>0.44370044052863439</v>
      </c>
      <c r="K104" s="1144">
        <f>1.0072/K101</f>
        <v>0.44370044052863439</v>
      </c>
      <c r="L104" s="1144">
        <f>1.0072/L101</f>
        <v>0.44370044052863439</v>
      </c>
      <c r="M104" s="1144">
        <f>1.0072/M101</f>
        <v>0.44370044052863439</v>
      </c>
      <c r="N104" s="1144">
        <f>1.0072/N101</f>
        <v>0.44370044052863439</v>
      </c>
    </row>
    <row r="105" spans="1:14">
      <c r="A105" s="3501"/>
      <c r="B105" s="1143">
        <v>4</v>
      </c>
      <c r="C105" s="1144">
        <f>0.9622/C101</f>
        <v>0.42387665198237889</v>
      </c>
      <c r="D105" s="1144">
        <f>0.9622/D101</f>
        <v>0.42387665198237889</v>
      </c>
      <c r="E105" s="1144">
        <f>0.8656/E101</f>
        <v>0.38132158590308374</v>
      </c>
      <c r="F105" s="1144">
        <f>0.8656/F101</f>
        <v>0.38132158590308374</v>
      </c>
      <c r="G105" s="1144">
        <f>0.8656/G101</f>
        <v>0.38132158590308374</v>
      </c>
      <c r="H105" s="1144">
        <f>0.8656/H101</f>
        <v>0.38132158590308374</v>
      </c>
      <c r="I105" s="1144">
        <f>0.8656/I101</f>
        <v>0.38132158590308374</v>
      </c>
      <c r="J105" s="1144">
        <f>0.7525/J101</f>
        <v>0.33149779735682816</v>
      </c>
      <c r="K105" s="1144">
        <f>0.7525/K101</f>
        <v>0.33149779735682816</v>
      </c>
      <c r="L105" s="1144">
        <f>0.7525/L101</f>
        <v>0.33149779735682816</v>
      </c>
      <c r="M105" s="1144">
        <f>0.7525/M101</f>
        <v>0.33149779735682816</v>
      </c>
      <c r="N105" s="1144">
        <f>0.7525/N101</f>
        <v>0.33149779735682816</v>
      </c>
    </row>
    <row r="106" spans="1:14">
      <c r="A106" s="3501"/>
      <c r="B106" s="1143">
        <v>5</v>
      </c>
      <c r="C106" s="1144">
        <f>0.8417/C101</f>
        <v>0.37079295154185021</v>
      </c>
      <c r="D106" s="1144">
        <f>0.8417/D101</f>
        <v>0.37079295154185021</v>
      </c>
      <c r="E106" s="1144">
        <f>0.7371/E101</f>
        <v>0.32471365638766519</v>
      </c>
      <c r="F106" s="1144">
        <f>0.7371/F101</f>
        <v>0.32471365638766519</v>
      </c>
      <c r="G106" s="1144">
        <f>0.7371/G101</f>
        <v>0.32471365638766519</v>
      </c>
      <c r="H106" s="1144">
        <f>0.7371/H101</f>
        <v>0.32471365638766519</v>
      </c>
      <c r="I106" s="1144">
        <f>0.7371/I101</f>
        <v>0.32471365638766519</v>
      </c>
      <c r="J106" s="1144">
        <f>0.5659/J101</f>
        <v>0.24929515418502202</v>
      </c>
      <c r="K106" s="1144">
        <f>0.5659/K101</f>
        <v>0.24929515418502202</v>
      </c>
      <c r="L106" s="1144">
        <f>0.5659/L101</f>
        <v>0.24929515418502202</v>
      </c>
      <c r="M106" s="1144">
        <f>0.5659/M101</f>
        <v>0.24929515418502202</v>
      </c>
      <c r="N106" s="1144">
        <f>0.5659/N101</f>
        <v>0.24929515418502202</v>
      </c>
    </row>
    <row r="107" spans="1:14">
      <c r="A107" s="3501"/>
      <c r="B107" s="1143">
        <v>6</v>
      </c>
      <c r="C107" s="1144">
        <f>0.7608/C101</f>
        <v>0.33515418502202643</v>
      </c>
      <c r="D107" s="1144">
        <f>0.7608/D101</f>
        <v>0.33515418502202643</v>
      </c>
      <c r="E107" s="1144">
        <f>0.6482/E101</f>
        <v>0.28555066079295155</v>
      </c>
      <c r="F107" s="1144">
        <f>0.6482/F101</f>
        <v>0.28555066079295155</v>
      </c>
      <c r="G107" s="1144">
        <f>0.6482/G101</f>
        <v>0.28555066079295155</v>
      </c>
      <c r="H107" s="1144">
        <f>0.6482/H101</f>
        <v>0.28555066079295155</v>
      </c>
      <c r="I107" s="1144">
        <f>0.6482/I101</f>
        <v>0.28555066079295155</v>
      </c>
      <c r="J107" s="1144">
        <f>0.4525/J101</f>
        <v>0.19933920704845814</v>
      </c>
      <c r="K107" s="1144">
        <f>0.4525/K101</f>
        <v>0.19933920704845814</v>
      </c>
      <c r="L107" s="1144">
        <f>0.4525/L101</f>
        <v>0.19933920704845814</v>
      </c>
      <c r="M107" s="1144">
        <f>0.4525/M101</f>
        <v>0.19933920704845814</v>
      </c>
      <c r="N107" s="1144">
        <f>0.4525/N101</f>
        <v>0.19933920704845814</v>
      </c>
    </row>
    <row r="108" spans="1:14">
      <c r="A108" s="3501"/>
      <c r="B108" s="3503"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2"/>
      <c r="B109" s="3504"/>
      <c r="C109" s="1146">
        <f>(-0.163*(C108^2)-0.59*C108+7617)*(10^(-4))/C101</f>
        <v>0.33488317180616739</v>
      </c>
      <c r="D109" s="1146">
        <f>(-0.163*(D108^2)-0.59*D108+7617)*(10^(-4))/D101</f>
        <v>0.33488317180616739</v>
      </c>
      <c r="E109" s="1146">
        <f>(-0.161*(E108^2)-7.509*E108+6533)*(10^(-4))/E101</f>
        <v>0.28469709251101322</v>
      </c>
      <c r="F109" s="1146">
        <f>(-0.161*(F108^2)-7.509*F108+6533)*(10^(-4))/F101</f>
        <v>0.28469709251101322</v>
      </c>
      <c r="G109" s="1146">
        <f>(-0.161*(G108^2)-7.509*G108+6533)*(10^(-4))/G101</f>
        <v>0.28469709251101322</v>
      </c>
      <c r="H109" s="1146">
        <f>(-0.161*(H108^2)-7.509*H108+6533)*(10^(-4))/H101</f>
        <v>0.28469709251101322</v>
      </c>
      <c r="I109" s="1146">
        <f>(-0.161*(I108^2)-7.509*I108+6533)*(10^(-4))/I101</f>
        <v>0.28469709251101322</v>
      </c>
      <c r="J109" s="1146">
        <f>(-0.214*(J108^2)-21.991*J108+4665)*(10^(-4))/J101</f>
        <v>0.19715312775330399</v>
      </c>
      <c r="K109" s="1146">
        <f>(-0.214*(K108^2)-21.991*K108+4665)*(10^(-4))/K101</f>
        <v>0.19715312775330399</v>
      </c>
      <c r="L109" s="1146">
        <f>(-0.214*(L108^2)-21.991*L108+4665)*(10^(-4))/L101</f>
        <v>0.19715312775330399</v>
      </c>
      <c r="M109" s="1146">
        <f>(-0.214*(M108^2)-21.991*M108+4665)*(10^(-4))/M101</f>
        <v>0.19715312775330399</v>
      </c>
      <c r="N109" s="1146">
        <f>(-0.214*(N108^2)-21.991*N108+4665)*(10^(-4))/N101</f>
        <v>0.19715312775330399</v>
      </c>
    </row>
    <row r="110" spans="1:14">
      <c r="A110" s="3505" t="s">
        <v>1637</v>
      </c>
      <c r="B110" s="3505"/>
      <c r="C110" s="3505"/>
      <c r="D110" s="3505"/>
      <c r="E110" s="3505"/>
      <c r="F110" s="3505"/>
      <c r="G110" s="3505"/>
      <c r="H110" s="3505"/>
      <c r="I110" s="3505"/>
      <c r="J110" s="3505"/>
      <c r="K110" s="3187"/>
      <c r="L110" s="3187"/>
      <c r="M110" s="3187"/>
      <c r="N110" s="3187"/>
    </row>
    <row r="112" spans="1:14" ht="12.75" thickBot="1"/>
    <row r="113" spans="1:13" ht="25.5" thickBot="1">
      <c r="A113" s="1016" t="s">
        <v>893</v>
      </c>
      <c r="B113" s="2453">
        <f>G3</f>
        <v>2.27</v>
      </c>
      <c r="C113" s="1017" t="s">
        <v>894</v>
      </c>
      <c r="D113" s="1018">
        <f>SUMPRODUCT((A115:A118=F113)*(B114:M114=H113)*B115:M118)</f>
        <v>0.65380000000000005</v>
      </c>
      <c r="E113" s="1019" t="s">
        <v>895</v>
      </c>
      <c r="F113" s="1020" t="str">
        <f>E2</f>
        <v>商业</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0.91220000000000001</v>
      </c>
      <c r="C115" s="1030">
        <f>B115</f>
        <v>0.91220000000000001</v>
      </c>
      <c r="D115" s="1030">
        <f>ROUND(0.8331-0.0109*B113,4)</f>
        <v>0.80840000000000001</v>
      </c>
      <c r="E115" s="1030">
        <f>D115</f>
        <v>0.80840000000000001</v>
      </c>
      <c r="F115" s="1030">
        <f>E115</f>
        <v>0.80840000000000001</v>
      </c>
      <c r="G115" s="1030">
        <f>F115</f>
        <v>0.80840000000000001</v>
      </c>
      <c r="H115" s="1030">
        <f>G115</f>
        <v>0.80840000000000001</v>
      </c>
      <c r="I115" s="1030">
        <f>ROUND(0.689-0.0155*B113,4)</f>
        <v>0.65380000000000005</v>
      </c>
      <c r="J115" s="1030">
        <f t="shared" ref="J115:M118" si="33">I115</f>
        <v>0.65380000000000005</v>
      </c>
      <c r="K115" s="1030">
        <f t="shared" si="33"/>
        <v>0.65380000000000005</v>
      </c>
      <c r="L115" s="1030">
        <f t="shared" si="33"/>
        <v>0.65380000000000005</v>
      </c>
      <c r="M115" s="1031">
        <f t="shared" si="33"/>
        <v>0.65380000000000005</v>
      </c>
    </row>
    <row r="116" spans="1:13" ht="12.75">
      <c r="A116" s="1029" t="s">
        <v>898</v>
      </c>
      <c r="B116" s="1030">
        <f>ROUND(0.949-0.012*B113,4)</f>
        <v>0.92179999999999995</v>
      </c>
      <c r="C116" s="1030">
        <f>B116</f>
        <v>0.92179999999999995</v>
      </c>
      <c r="D116" s="1030">
        <f>ROUND(0.8567-0.013*B113,4)</f>
        <v>0.82720000000000005</v>
      </c>
      <c r="E116" s="1030">
        <f t="shared" ref="E116:H117" si="34">D116</f>
        <v>0.82720000000000005</v>
      </c>
      <c r="F116" s="1030">
        <f t="shared" si="34"/>
        <v>0.82720000000000005</v>
      </c>
      <c r="G116" s="1030">
        <f t="shared" si="34"/>
        <v>0.82720000000000005</v>
      </c>
      <c r="H116" s="1030">
        <f t="shared" si="34"/>
        <v>0.82720000000000005</v>
      </c>
      <c r="I116" s="1030">
        <f>ROUND(0.7694-0.014*B113,4)</f>
        <v>0.73760000000000003</v>
      </c>
      <c r="J116" s="1030">
        <f t="shared" si="33"/>
        <v>0.73760000000000003</v>
      </c>
      <c r="K116" s="1030">
        <f t="shared" si="33"/>
        <v>0.73760000000000003</v>
      </c>
      <c r="L116" s="1030">
        <f t="shared" si="33"/>
        <v>0.73760000000000003</v>
      </c>
      <c r="M116" s="1031">
        <f t="shared" si="33"/>
        <v>0.73760000000000003</v>
      </c>
    </row>
    <row r="117" spans="1:13" ht="12.75">
      <c r="A117" s="1032" t="s">
        <v>899</v>
      </c>
      <c r="B117" s="1030">
        <f>ROUND(0.8808-0.006*B113,4)</f>
        <v>0.86719999999999997</v>
      </c>
      <c r="C117" s="1030">
        <f>B117</f>
        <v>0.86719999999999997</v>
      </c>
      <c r="D117" s="1030">
        <f>ROUND(0.8748-0.008*B113,4)</f>
        <v>0.85660000000000003</v>
      </c>
      <c r="E117" s="1030">
        <f t="shared" si="34"/>
        <v>0.85660000000000003</v>
      </c>
      <c r="F117" s="1030">
        <f t="shared" si="34"/>
        <v>0.85660000000000003</v>
      </c>
      <c r="G117" s="1030">
        <f t="shared" si="34"/>
        <v>0.85660000000000003</v>
      </c>
      <c r="H117" s="1030">
        <f t="shared" si="34"/>
        <v>0.85660000000000003</v>
      </c>
      <c r="I117" s="1030">
        <f>ROUND(0.7412-0.0095*B113,4)</f>
        <v>0.71960000000000002</v>
      </c>
      <c r="J117" s="1030">
        <f t="shared" si="33"/>
        <v>0.71960000000000002</v>
      </c>
      <c r="K117" s="1030">
        <f t="shared" si="33"/>
        <v>0.71960000000000002</v>
      </c>
      <c r="L117" s="1030">
        <f t="shared" si="33"/>
        <v>0.71960000000000002</v>
      </c>
      <c r="M117" s="1031">
        <f t="shared" si="33"/>
        <v>0.71960000000000002</v>
      </c>
    </row>
    <row r="118" spans="1:13" ht="13.5" thickBot="1">
      <c r="A118" s="1033" t="s">
        <v>900</v>
      </c>
      <c r="B118" s="1034">
        <f>ROUND(0.7275-0.01*B113,4)</f>
        <v>0.70479999999999998</v>
      </c>
      <c r="C118" s="1034">
        <f>B118</f>
        <v>0.70479999999999998</v>
      </c>
      <c r="D118" s="1034">
        <f>ROUND(0.7043-0.012*B113,4)</f>
        <v>0.67710000000000004</v>
      </c>
      <c r="E118" s="1034">
        <f>D118</f>
        <v>0.67710000000000004</v>
      </c>
      <c r="F118" s="1034">
        <f>E118</f>
        <v>0.67710000000000004</v>
      </c>
      <c r="G118" s="1034">
        <f>ROUND(0.6299-0.0122*B113,4)</f>
        <v>0.60219999999999996</v>
      </c>
      <c r="H118" s="1034">
        <f>G118</f>
        <v>0.60219999999999996</v>
      </c>
      <c r="I118" s="1034">
        <f>ROUND(0.5667-0.0136*B113,4)</f>
        <v>0.53580000000000005</v>
      </c>
      <c r="J118" s="1034">
        <f t="shared" si="33"/>
        <v>0.53580000000000005</v>
      </c>
      <c r="K118" s="1034">
        <f t="shared" si="33"/>
        <v>0.53580000000000005</v>
      </c>
      <c r="L118" s="1034">
        <f t="shared" si="33"/>
        <v>0.53580000000000005</v>
      </c>
      <c r="M118" s="1035">
        <f t="shared" si="33"/>
        <v>0.53580000000000005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1674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9866</v>
      </c>
      <c r="U2" s="2928"/>
      <c r="V2" s="2939">
        <f ca="1">ROUND(T2*U2/10000,0)</f>
        <v>0</v>
      </c>
      <c r="W2" s="2191"/>
      <c r="X2" s="2191"/>
      <c r="Y2" s="2191"/>
      <c r="Z2" s="2191"/>
      <c r="AA2" s="2191"/>
      <c r="AB2" s="2191"/>
      <c r="AC2" s="2192"/>
    </row>
    <row r="3" spans="1:39" ht="24">
      <c r="A3" s="1412" t="s">
        <v>1681</v>
      </c>
      <c r="B3" s="1038" t="e">
        <f ca="1">ROUND(B2*10000/D1,0)</f>
        <v>#DIV/0!</v>
      </c>
      <c r="C3" s="1408" t="s">
        <v>924</v>
      </c>
      <c r="D3" s="1409" t="s">
        <v>925</v>
      </c>
      <c r="E3" s="1413" t="s">
        <v>3004</v>
      </c>
      <c r="F3" s="1414" t="s">
        <v>2932</v>
      </c>
      <c r="G3" s="1039">
        <f>IF(F3="宗地容积率",'数据-汇总表'!I4,IF(F3="估价对象容积率",'数据-汇总表'!I6,'数据-汇总表'!I7))</f>
        <v>2.27</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6502</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5117</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3750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3823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SUMIF(L1:L12,基准地价办公!G2,M1:M12)</f>
        <v>3750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2875</v>
      </c>
      <c r="U6" s="2928"/>
      <c r="V6" s="2939">
        <f t="shared" ca="1" si="1"/>
        <v>0</v>
      </c>
      <c r="W6" s="2191"/>
      <c r="X6" s="2191"/>
      <c r="Y6" s="2191"/>
      <c r="Z6" s="2191"/>
      <c r="AA6" s="2191"/>
      <c r="AB6" s="2191"/>
      <c r="AC6" s="2193"/>
      <c r="AD6" s="1420"/>
      <c r="AE6" s="1420"/>
      <c r="AF6" s="1420"/>
      <c r="AG6" s="1420"/>
      <c r="AH6" s="1420"/>
      <c r="AI6" s="1420"/>
      <c r="AJ6" s="1421"/>
    </row>
    <row r="7" spans="1:39" ht="24">
      <c r="A7" s="3506"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2299</v>
      </c>
      <c r="U7" s="2928"/>
      <c r="V7" s="2939">
        <f t="shared" ca="1" si="1"/>
        <v>0</v>
      </c>
      <c r="W7" s="3186" t="s">
        <v>2760</v>
      </c>
      <c r="X7" s="2929" t="str">
        <f>G2</f>
        <v>九级</v>
      </c>
      <c r="Y7" s="2929" t="s">
        <v>2761</v>
      </c>
      <c r="Z7" s="2930">
        <f>G3</f>
        <v>2.27</v>
      </c>
      <c r="AA7" s="2194"/>
      <c r="AB7" s="2194"/>
      <c r="AC7" s="2195"/>
      <c r="AD7" s="2931"/>
      <c r="AE7" s="2931"/>
      <c r="AF7" s="2931"/>
      <c r="AG7" s="2931"/>
      <c r="AH7" s="2931"/>
      <c r="AI7" s="2931"/>
      <c r="AJ7" s="2932"/>
    </row>
    <row r="8" spans="1:39" ht="15">
      <c r="A8" s="3507"/>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98" t="s">
        <v>2778</v>
      </c>
      <c r="X8" s="3499"/>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07"/>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3750</v>
      </c>
      <c r="N9" s="1889">
        <f>SUMPRODUCT((因素修正幅度!B245:B289=I2)*(因素修正幅度!C3:F3=E2)*(因素修正幅度!C245:F289))</f>
        <v>0.15</v>
      </c>
      <c r="O9" s="2191"/>
      <c r="P9" s="2191"/>
      <c r="Q9" s="2191"/>
      <c r="R9" s="2939">
        <v>8</v>
      </c>
      <c r="S9" s="2928"/>
      <c r="T9" s="2939">
        <f t="shared" ca="1" si="0"/>
        <v>0</v>
      </c>
      <c r="U9" s="2928"/>
      <c r="V9" s="2939">
        <f t="shared" ca="1" si="1"/>
        <v>0</v>
      </c>
      <c r="W9" s="3497"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07"/>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9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07"/>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97" t="s">
        <v>2776</v>
      </c>
      <c r="X11" s="1048" t="s">
        <v>2761</v>
      </c>
      <c r="Y11" s="1654">
        <f>$G$3</f>
        <v>2.27</v>
      </c>
      <c r="Z11" s="1654">
        <f t="shared" ref="Z11:AJ11" si="3">$G$3</f>
        <v>2.27</v>
      </c>
      <c r="AA11" s="1654">
        <f t="shared" si="3"/>
        <v>2.27</v>
      </c>
      <c r="AB11" s="1654">
        <f t="shared" si="3"/>
        <v>2.27</v>
      </c>
      <c r="AC11" s="1654">
        <f t="shared" si="3"/>
        <v>2.27</v>
      </c>
      <c r="AD11" s="1654">
        <f t="shared" si="3"/>
        <v>2.27</v>
      </c>
      <c r="AE11" s="1654">
        <f t="shared" si="3"/>
        <v>2.27</v>
      </c>
      <c r="AF11" s="1654">
        <f t="shared" si="3"/>
        <v>2.27</v>
      </c>
      <c r="AG11" s="1654">
        <f t="shared" si="3"/>
        <v>2.27</v>
      </c>
      <c r="AH11" s="1654">
        <f t="shared" si="3"/>
        <v>2.27</v>
      </c>
      <c r="AI11" s="1654">
        <f t="shared" si="3"/>
        <v>2.27</v>
      </c>
      <c r="AJ11" s="1654">
        <f t="shared" si="3"/>
        <v>2.27</v>
      </c>
    </row>
    <row r="12" spans="1:39" ht="25.5" thickBot="1">
      <c r="A12" s="3506"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97"/>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8"/>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497"/>
      <c r="X13" s="2936"/>
      <c r="Y13" s="2935">
        <f>(-0.163*(Y12^2)-0.59*Y12+7617)*(10^(-4))/Y11</f>
        <v>0.33555066079295154</v>
      </c>
      <c r="Z13" s="2935">
        <f t="shared" ref="Z13:AJ13" si="5">(-0.163*(Z12^2)-0.59*Z12+7617)*(10^(-4))/Z11</f>
        <v>0.33555066079295154</v>
      </c>
      <c r="AA13" s="2935">
        <f t="shared" si="5"/>
        <v>0.33555066079295154</v>
      </c>
      <c r="AB13" s="2935">
        <f t="shared" si="5"/>
        <v>0.33555066079295154</v>
      </c>
      <c r="AC13" s="2935">
        <f t="shared" si="5"/>
        <v>0.33555066079295154</v>
      </c>
      <c r="AD13" s="2935">
        <f t="shared" si="5"/>
        <v>0.33555066079295154</v>
      </c>
      <c r="AE13" s="2935">
        <f t="shared" si="5"/>
        <v>0.33555066079295154</v>
      </c>
      <c r="AF13" s="2935">
        <f t="shared" si="5"/>
        <v>0.33555066079295154</v>
      </c>
      <c r="AG13" s="2935">
        <f t="shared" si="5"/>
        <v>0.33555066079295154</v>
      </c>
      <c r="AH13" s="2935">
        <f t="shared" si="5"/>
        <v>0.33555066079295154</v>
      </c>
      <c r="AI13" s="2935">
        <f t="shared" si="5"/>
        <v>0.33555066079295154</v>
      </c>
      <c r="AJ13" s="2935">
        <f t="shared" si="5"/>
        <v>0.33555066079295154</v>
      </c>
    </row>
    <row r="14" spans="1:39" ht="12.75" customHeight="1" thickBot="1">
      <c r="A14" s="3508"/>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9"/>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506"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07"/>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5.1999999999999998E-2</v>
      </c>
      <c r="H20" s="2783" t="s">
        <v>972</v>
      </c>
      <c r="I20" s="2773">
        <f>SUMIF('数据-取费表'!C6:C15,E2,'数据-取费表'!F6:F15)/COUNTIF('数据-取费表'!C6:C15,E2)</f>
        <v>50</v>
      </c>
      <c r="J20" s="2785">
        <f>IF(E2="住宅",70,IF(E2="商业",40,50))</f>
        <v>50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0.95879999999999999</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0.95879999999999999</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0.95440000000000003</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4871</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1218</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12"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13"/>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13"/>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4"/>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1016</v>
      </c>
      <c r="D37" s="1538"/>
      <c r="E37" s="1048">
        <f t="shared" ca="1" si="7"/>
        <v>0</v>
      </c>
      <c r="F37" s="1063">
        <f>SUMIF(修正!A45:A56,G2,修正!F45:F56)</f>
        <v>0.2</v>
      </c>
      <c r="G37" s="1048">
        <f ca="1">ROUND(IF(E2="工业",C37*$M$39,C37*$M$38),0)</f>
        <v>254</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1016</v>
      </c>
      <c r="D38" s="1538"/>
      <c r="E38" s="1048">
        <f t="shared" ca="1" si="7"/>
        <v>0</v>
      </c>
      <c r="F38" s="1063">
        <f>SUMIF(修正!A45:A56,G2,修正!G45:G56)</f>
        <v>0.2</v>
      </c>
      <c r="G38" s="1048">
        <f ca="1">ROUND(IF(E2="工业",C38*$M$39,C38*$M$38),0)</f>
        <v>254</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762</v>
      </c>
      <c r="D39" s="1539"/>
      <c r="E39" s="1051">
        <f t="shared" ca="1" si="7"/>
        <v>0</v>
      </c>
      <c r="F39" s="1065">
        <f>SUMIF(修正!A45:A56,G2,修正!H45:H56)</f>
        <v>0.15</v>
      </c>
      <c r="G39" s="1051">
        <f ca="1">ROUND(IF(E2="工业",C39*$M$39,C39*$M$38),0)</f>
        <v>191</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f>IF(E2="办公",SUMIF(L1:L12,G2,N1:N12),"——")</f>
        <v>0.15</v>
      </c>
      <c r="G58" s="2417"/>
      <c r="H58" s="2463">
        <f>IFERROR(ROUNDDOWN($F$58*I58/2,4),"——")</f>
        <v>1.7999999999999999E-2</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f t="shared" ref="H59:H66" si="19">IFERROR($F$58*I59/2,"——")</f>
        <v>2.2499999999999999E-2</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f t="shared" si="19"/>
        <v>6.0000000000000001E-3</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f t="shared" si="19"/>
        <v>3.0000000000000001E-3</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f t="shared" si="19"/>
        <v>3.7499999999999999E-3</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f t="shared" si="19"/>
        <v>3.7499999999999999E-3</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f t="shared" si="19"/>
        <v>4.4999999999999997E-3</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f t="shared" si="19"/>
        <v>8.9999999999999993E-3</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f t="shared" si="19"/>
        <v>4.4999999999999997E-3</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10" t="s">
        <v>1631</v>
      </c>
      <c r="B90" s="3510"/>
      <c r="C90" s="3510"/>
      <c r="D90" s="3510"/>
      <c r="E90" s="3510"/>
      <c r="F90" s="3510"/>
      <c r="G90" s="3510"/>
      <c r="H90" s="3510"/>
      <c r="I90" s="3510"/>
      <c r="J90" s="3510"/>
      <c r="K90" s="3188"/>
      <c r="L90" s="3188"/>
      <c r="M90" s="3188"/>
      <c r="N90" s="3188"/>
    </row>
    <row r="91" spans="1:40">
      <c r="A91" s="3511" t="s">
        <v>895</v>
      </c>
      <c r="B91" s="3511" t="s">
        <v>1632</v>
      </c>
      <c r="C91" s="1140" t="s">
        <v>1633</v>
      </c>
      <c r="D91" s="1141"/>
      <c r="E91" s="1141"/>
      <c r="F91" s="1141"/>
      <c r="G91" s="1141"/>
      <c r="H91" s="1141"/>
      <c r="I91" s="1141"/>
      <c r="J91" s="1142"/>
      <c r="K91" s="1134"/>
      <c r="L91" s="1134"/>
      <c r="M91" s="1134"/>
      <c r="N91" s="1134"/>
    </row>
    <row r="92" spans="1:40">
      <c r="A92" s="3511"/>
      <c r="B92" s="3511"/>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00"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1"/>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0" t="s">
        <v>1635</v>
      </c>
      <c r="B101" s="1147" t="s">
        <v>880</v>
      </c>
      <c r="C101" s="1148">
        <f>$G$3</f>
        <v>2.27</v>
      </c>
      <c r="D101" s="1148">
        <f t="shared" ref="D101:N101" si="31">$G$3</f>
        <v>2.27</v>
      </c>
      <c r="E101" s="1148">
        <f t="shared" si="31"/>
        <v>2.27</v>
      </c>
      <c r="F101" s="1148">
        <f t="shared" si="31"/>
        <v>2.27</v>
      </c>
      <c r="G101" s="1148">
        <f t="shared" si="31"/>
        <v>2.27</v>
      </c>
      <c r="H101" s="1148">
        <f t="shared" si="31"/>
        <v>2.27</v>
      </c>
      <c r="I101" s="1148">
        <f t="shared" si="31"/>
        <v>2.27</v>
      </c>
      <c r="J101" s="1148">
        <f t="shared" si="31"/>
        <v>2.27</v>
      </c>
      <c r="K101" s="1148">
        <f t="shared" si="31"/>
        <v>2.27</v>
      </c>
      <c r="L101" s="1148">
        <f t="shared" si="31"/>
        <v>2.27</v>
      </c>
      <c r="M101" s="1148">
        <f t="shared" si="31"/>
        <v>2.27</v>
      </c>
      <c r="N101" s="1148">
        <f t="shared" si="31"/>
        <v>2.27</v>
      </c>
    </row>
    <row r="102" spans="1:14">
      <c r="A102" s="3501"/>
      <c r="B102" s="1143">
        <v>1</v>
      </c>
      <c r="C102" s="1144">
        <f>1.9362/C101</f>
        <v>0.85295154185022026</v>
      </c>
      <c r="D102" s="1144">
        <f>1.9362/D101</f>
        <v>0.85295154185022026</v>
      </c>
      <c r="E102" s="1144">
        <f>1.8629/E101</f>
        <v>0.82066079295154182</v>
      </c>
      <c r="F102" s="1144">
        <f>1.8629/F101</f>
        <v>0.82066079295154182</v>
      </c>
      <c r="G102" s="1144">
        <f>1.8629/G101</f>
        <v>0.82066079295154182</v>
      </c>
      <c r="H102" s="1144">
        <f>1.8629/H101</f>
        <v>0.82066079295154182</v>
      </c>
      <c r="I102" s="1144">
        <f>1.8629/I101</f>
        <v>0.82066079295154182</v>
      </c>
      <c r="J102" s="1144">
        <f>1.942/J101</f>
        <v>0.85550660792951538</v>
      </c>
      <c r="K102" s="1144">
        <f>1.942/K101</f>
        <v>0.85550660792951538</v>
      </c>
      <c r="L102" s="1144">
        <f>1.942/L101</f>
        <v>0.85550660792951538</v>
      </c>
      <c r="M102" s="1144">
        <f>1.942/M101</f>
        <v>0.85550660792951538</v>
      </c>
      <c r="N102" s="1144">
        <f>1.942/N101</f>
        <v>0.85550660792951538</v>
      </c>
    </row>
    <row r="103" spans="1:14">
      <c r="A103" s="3501"/>
      <c r="B103" s="1143">
        <v>2</v>
      </c>
      <c r="C103" s="1144">
        <f>1.4198/C101</f>
        <v>0.62546255506607928</v>
      </c>
      <c r="D103" s="1144">
        <f>1.4198/D101</f>
        <v>0.62546255506607928</v>
      </c>
      <c r="E103" s="1144">
        <f>1.3372/E101</f>
        <v>0.5890748898678414</v>
      </c>
      <c r="F103" s="1144">
        <f>1.3372/F101</f>
        <v>0.5890748898678414</v>
      </c>
      <c r="G103" s="1144">
        <f>1.3372/G101</f>
        <v>0.5890748898678414</v>
      </c>
      <c r="H103" s="1144">
        <f>1.3372/H101</f>
        <v>0.5890748898678414</v>
      </c>
      <c r="I103" s="1144">
        <f>1.3372/I101</f>
        <v>0.5890748898678414</v>
      </c>
      <c r="J103" s="1144">
        <f>1.2799/J101</f>
        <v>0.56383259911894279</v>
      </c>
      <c r="K103" s="1144">
        <f>1.2799/K101</f>
        <v>0.56383259911894279</v>
      </c>
      <c r="L103" s="1144">
        <f>1.2799/L101</f>
        <v>0.56383259911894279</v>
      </c>
      <c r="M103" s="1144">
        <f>1.2799/M101</f>
        <v>0.56383259911894279</v>
      </c>
      <c r="N103" s="1144">
        <f>1.2799/N101</f>
        <v>0.56383259911894279</v>
      </c>
    </row>
    <row r="104" spans="1:14">
      <c r="A104" s="3501"/>
      <c r="B104" s="1143">
        <v>3</v>
      </c>
      <c r="C104" s="1144">
        <f>1.1594/C101</f>
        <v>0.51074889867841411</v>
      </c>
      <c r="D104" s="1144">
        <f>1.1594/D101</f>
        <v>0.51074889867841411</v>
      </c>
      <c r="E104" s="1144">
        <f>1.0788/E101</f>
        <v>0.47524229074889868</v>
      </c>
      <c r="F104" s="1144">
        <f>1.0788/F101</f>
        <v>0.47524229074889868</v>
      </c>
      <c r="G104" s="1144">
        <f>1.0788/G101</f>
        <v>0.47524229074889868</v>
      </c>
      <c r="H104" s="1144">
        <f>1.0788/H101</f>
        <v>0.47524229074889868</v>
      </c>
      <c r="I104" s="1144">
        <f>1.0788/I101</f>
        <v>0.47524229074889868</v>
      </c>
      <c r="J104" s="1144">
        <f>1.0072/J101</f>
        <v>0.44370044052863439</v>
      </c>
      <c r="K104" s="1144">
        <f>1.0072/K101</f>
        <v>0.44370044052863439</v>
      </c>
      <c r="L104" s="1144">
        <f>1.0072/L101</f>
        <v>0.44370044052863439</v>
      </c>
      <c r="M104" s="1144">
        <f>1.0072/M101</f>
        <v>0.44370044052863439</v>
      </c>
      <c r="N104" s="1144">
        <f>1.0072/N101</f>
        <v>0.44370044052863439</v>
      </c>
    </row>
    <row r="105" spans="1:14">
      <c r="A105" s="3501"/>
      <c r="B105" s="1143">
        <v>4</v>
      </c>
      <c r="C105" s="1144">
        <f>0.9622/C101</f>
        <v>0.42387665198237889</v>
      </c>
      <c r="D105" s="1144">
        <f>0.9622/D101</f>
        <v>0.42387665198237889</v>
      </c>
      <c r="E105" s="1144">
        <f>0.8656/E101</f>
        <v>0.38132158590308374</v>
      </c>
      <c r="F105" s="1144">
        <f>0.8656/F101</f>
        <v>0.38132158590308374</v>
      </c>
      <c r="G105" s="1144">
        <f>0.8656/G101</f>
        <v>0.38132158590308374</v>
      </c>
      <c r="H105" s="1144">
        <f>0.8656/H101</f>
        <v>0.38132158590308374</v>
      </c>
      <c r="I105" s="1144">
        <f>0.8656/I101</f>
        <v>0.38132158590308374</v>
      </c>
      <c r="J105" s="1144">
        <f>0.7525/J101</f>
        <v>0.33149779735682816</v>
      </c>
      <c r="K105" s="1144">
        <f>0.7525/K101</f>
        <v>0.33149779735682816</v>
      </c>
      <c r="L105" s="1144">
        <f>0.7525/L101</f>
        <v>0.33149779735682816</v>
      </c>
      <c r="M105" s="1144">
        <f>0.7525/M101</f>
        <v>0.33149779735682816</v>
      </c>
      <c r="N105" s="1144">
        <f>0.7525/N101</f>
        <v>0.33149779735682816</v>
      </c>
    </row>
    <row r="106" spans="1:14">
      <c r="A106" s="3501"/>
      <c r="B106" s="1143">
        <v>5</v>
      </c>
      <c r="C106" s="1144">
        <f>0.8417/C101</f>
        <v>0.37079295154185021</v>
      </c>
      <c r="D106" s="1144">
        <f>0.8417/D101</f>
        <v>0.37079295154185021</v>
      </c>
      <c r="E106" s="1144">
        <f>0.7371/E101</f>
        <v>0.32471365638766519</v>
      </c>
      <c r="F106" s="1144">
        <f>0.7371/F101</f>
        <v>0.32471365638766519</v>
      </c>
      <c r="G106" s="1144">
        <f>0.7371/G101</f>
        <v>0.32471365638766519</v>
      </c>
      <c r="H106" s="1144">
        <f>0.7371/H101</f>
        <v>0.32471365638766519</v>
      </c>
      <c r="I106" s="1144">
        <f>0.7371/I101</f>
        <v>0.32471365638766519</v>
      </c>
      <c r="J106" s="1144">
        <f>0.5659/J101</f>
        <v>0.24929515418502202</v>
      </c>
      <c r="K106" s="1144">
        <f>0.5659/K101</f>
        <v>0.24929515418502202</v>
      </c>
      <c r="L106" s="1144">
        <f>0.5659/L101</f>
        <v>0.24929515418502202</v>
      </c>
      <c r="M106" s="1144">
        <f>0.5659/M101</f>
        <v>0.24929515418502202</v>
      </c>
      <c r="N106" s="1144">
        <f>0.5659/N101</f>
        <v>0.24929515418502202</v>
      </c>
    </row>
    <row r="107" spans="1:14">
      <c r="A107" s="3501"/>
      <c r="B107" s="1143">
        <v>6</v>
      </c>
      <c r="C107" s="1144">
        <f>0.7608/C101</f>
        <v>0.33515418502202643</v>
      </c>
      <c r="D107" s="1144">
        <f>0.7608/D101</f>
        <v>0.33515418502202643</v>
      </c>
      <c r="E107" s="1144">
        <f>0.6482/E101</f>
        <v>0.28555066079295155</v>
      </c>
      <c r="F107" s="1144">
        <f>0.6482/F101</f>
        <v>0.28555066079295155</v>
      </c>
      <c r="G107" s="1144">
        <f>0.6482/G101</f>
        <v>0.28555066079295155</v>
      </c>
      <c r="H107" s="1144">
        <f>0.6482/H101</f>
        <v>0.28555066079295155</v>
      </c>
      <c r="I107" s="1144">
        <f>0.6482/I101</f>
        <v>0.28555066079295155</v>
      </c>
      <c r="J107" s="1144">
        <f>0.4525/J101</f>
        <v>0.19933920704845814</v>
      </c>
      <c r="K107" s="1144">
        <f>0.4525/K101</f>
        <v>0.19933920704845814</v>
      </c>
      <c r="L107" s="1144">
        <f>0.4525/L101</f>
        <v>0.19933920704845814</v>
      </c>
      <c r="M107" s="1144">
        <f>0.4525/M101</f>
        <v>0.19933920704845814</v>
      </c>
      <c r="N107" s="1144">
        <f>0.4525/N101</f>
        <v>0.19933920704845814</v>
      </c>
    </row>
    <row r="108" spans="1:14">
      <c r="A108" s="3501"/>
      <c r="B108" s="3503"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2"/>
      <c r="B109" s="3504"/>
      <c r="C109" s="1146">
        <f>(-0.163*(C108^2)-0.59*C108+7617)*(10^(-4))/C101</f>
        <v>0.33488317180616739</v>
      </c>
      <c r="D109" s="1146">
        <f>(-0.163*(D108^2)-0.59*D108+7617)*(10^(-4))/D101</f>
        <v>0.33488317180616739</v>
      </c>
      <c r="E109" s="1146">
        <f>(-0.161*(E108^2)-7.509*E108+6533)*(10^(-4))/E101</f>
        <v>0.28469709251101322</v>
      </c>
      <c r="F109" s="1146">
        <f>(-0.161*(F108^2)-7.509*F108+6533)*(10^(-4))/F101</f>
        <v>0.28469709251101322</v>
      </c>
      <c r="G109" s="1146">
        <f>(-0.161*(G108^2)-7.509*G108+6533)*(10^(-4))/G101</f>
        <v>0.28469709251101322</v>
      </c>
      <c r="H109" s="1146">
        <f>(-0.161*(H108^2)-7.509*H108+6533)*(10^(-4))/H101</f>
        <v>0.28469709251101322</v>
      </c>
      <c r="I109" s="1146">
        <f>(-0.161*(I108^2)-7.509*I108+6533)*(10^(-4))/I101</f>
        <v>0.28469709251101322</v>
      </c>
      <c r="J109" s="1146">
        <f>(-0.214*(J108^2)-21.991*J108+4665)*(10^(-4))/J101</f>
        <v>0.19715312775330399</v>
      </c>
      <c r="K109" s="1146">
        <f>(-0.214*(K108^2)-21.991*K108+4665)*(10^(-4))/K101</f>
        <v>0.19715312775330399</v>
      </c>
      <c r="L109" s="1146">
        <f>(-0.214*(L108^2)-21.991*L108+4665)*(10^(-4))/L101</f>
        <v>0.19715312775330399</v>
      </c>
      <c r="M109" s="1146">
        <f>(-0.214*(M108^2)-21.991*M108+4665)*(10^(-4))/M101</f>
        <v>0.19715312775330399</v>
      </c>
      <c r="N109" s="1146">
        <f>(-0.214*(N108^2)-21.991*N108+4665)*(10^(-4))/N101</f>
        <v>0.19715312775330399</v>
      </c>
    </row>
    <row r="110" spans="1:14">
      <c r="A110" s="3505" t="s">
        <v>1637</v>
      </c>
      <c r="B110" s="3505"/>
      <c r="C110" s="3505"/>
      <c r="D110" s="3505"/>
      <c r="E110" s="3505"/>
      <c r="F110" s="3505"/>
      <c r="G110" s="3505"/>
      <c r="H110" s="3505"/>
      <c r="I110" s="3505"/>
      <c r="J110" s="3505"/>
      <c r="K110" s="3187"/>
      <c r="L110" s="3187"/>
      <c r="M110" s="3187"/>
      <c r="N110" s="3187"/>
    </row>
    <row r="112" spans="1:14" ht="12.75" thickBot="1"/>
    <row r="113" spans="1:13" ht="25.5" thickBot="1">
      <c r="A113" s="1016" t="s">
        <v>893</v>
      </c>
      <c r="B113" s="2453">
        <f>G3</f>
        <v>2.27</v>
      </c>
      <c r="C113" s="1017" t="s">
        <v>894</v>
      </c>
      <c r="D113" s="1018">
        <f>SUMPRODUCT((A115:A118=F113)*(B114:M114=H113)*B115:M118)</f>
        <v>0.73760000000000003</v>
      </c>
      <c r="E113" s="1019" t="s">
        <v>895</v>
      </c>
      <c r="F113" s="1020" t="str">
        <f>E2</f>
        <v>办公</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0.91220000000000001</v>
      </c>
      <c r="C115" s="1030">
        <f>B115</f>
        <v>0.91220000000000001</v>
      </c>
      <c r="D115" s="1030">
        <f>ROUND(0.8331-0.0109*B113,4)</f>
        <v>0.80840000000000001</v>
      </c>
      <c r="E115" s="1030">
        <f>D115</f>
        <v>0.80840000000000001</v>
      </c>
      <c r="F115" s="1030">
        <f>E115</f>
        <v>0.80840000000000001</v>
      </c>
      <c r="G115" s="1030">
        <f>F115</f>
        <v>0.80840000000000001</v>
      </c>
      <c r="H115" s="1030">
        <f>G115</f>
        <v>0.80840000000000001</v>
      </c>
      <c r="I115" s="1030">
        <f>ROUND(0.689-0.0155*B113,4)</f>
        <v>0.65380000000000005</v>
      </c>
      <c r="J115" s="1030">
        <f t="shared" ref="J115:M118" si="33">I115</f>
        <v>0.65380000000000005</v>
      </c>
      <c r="K115" s="1030">
        <f t="shared" si="33"/>
        <v>0.65380000000000005</v>
      </c>
      <c r="L115" s="1030">
        <f t="shared" si="33"/>
        <v>0.65380000000000005</v>
      </c>
      <c r="M115" s="1031">
        <f t="shared" si="33"/>
        <v>0.65380000000000005</v>
      </c>
    </row>
    <row r="116" spans="1:13" ht="12.75">
      <c r="A116" s="1029" t="s">
        <v>898</v>
      </c>
      <c r="B116" s="1030">
        <f>ROUND(0.949-0.012*B113,4)</f>
        <v>0.92179999999999995</v>
      </c>
      <c r="C116" s="1030">
        <f>B116</f>
        <v>0.92179999999999995</v>
      </c>
      <c r="D116" s="1030">
        <f>ROUND(0.8567-0.013*B113,4)</f>
        <v>0.82720000000000005</v>
      </c>
      <c r="E116" s="1030">
        <f t="shared" ref="E116:H117" si="34">D116</f>
        <v>0.82720000000000005</v>
      </c>
      <c r="F116" s="1030">
        <f t="shared" si="34"/>
        <v>0.82720000000000005</v>
      </c>
      <c r="G116" s="1030">
        <f t="shared" si="34"/>
        <v>0.82720000000000005</v>
      </c>
      <c r="H116" s="1030">
        <f t="shared" si="34"/>
        <v>0.82720000000000005</v>
      </c>
      <c r="I116" s="1030">
        <f>ROUND(0.7694-0.014*B113,4)</f>
        <v>0.73760000000000003</v>
      </c>
      <c r="J116" s="1030">
        <f t="shared" si="33"/>
        <v>0.73760000000000003</v>
      </c>
      <c r="K116" s="1030">
        <f t="shared" si="33"/>
        <v>0.73760000000000003</v>
      </c>
      <c r="L116" s="1030">
        <f t="shared" si="33"/>
        <v>0.73760000000000003</v>
      </c>
      <c r="M116" s="1031">
        <f t="shared" si="33"/>
        <v>0.73760000000000003</v>
      </c>
    </row>
    <row r="117" spans="1:13" ht="12.75">
      <c r="A117" s="1032" t="s">
        <v>899</v>
      </c>
      <c r="B117" s="1030">
        <f>ROUND(0.8808-0.006*B113,4)</f>
        <v>0.86719999999999997</v>
      </c>
      <c r="C117" s="1030">
        <f>B117</f>
        <v>0.86719999999999997</v>
      </c>
      <c r="D117" s="1030">
        <f>ROUND(0.8748-0.008*B113,4)</f>
        <v>0.85660000000000003</v>
      </c>
      <c r="E117" s="1030">
        <f t="shared" si="34"/>
        <v>0.85660000000000003</v>
      </c>
      <c r="F117" s="1030">
        <f t="shared" si="34"/>
        <v>0.85660000000000003</v>
      </c>
      <c r="G117" s="1030">
        <f t="shared" si="34"/>
        <v>0.85660000000000003</v>
      </c>
      <c r="H117" s="1030">
        <f t="shared" si="34"/>
        <v>0.85660000000000003</v>
      </c>
      <c r="I117" s="1030">
        <f>ROUND(0.7412-0.0095*B113,4)</f>
        <v>0.71960000000000002</v>
      </c>
      <c r="J117" s="1030">
        <f t="shared" si="33"/>
        <v>0.71960000000000002</v>
      </c>
      <c r="K117" s="1030">
        <f t="shared" si="33"/>
        <v>0.71960000000000002</v>
      </c>
      <c r="L117" s="1030">
        <f t="shared" si="33"/>
        <v>0.71960000000000002</v>
      </c>
      <c r="M117" s="1031">
        <f t="shared" si="33"/>
        <v>0.71960000000000002</v>
      </c>
    </row>
    <row r="118" spans="1:13" ht="13.5" thickBot="1">
      <c r="A118" s="1033" t="s">
        <v>900</v>
      </c>
      <c r="B118" s="1034">
        <f>ROUND(0.7275-0.01*B113,4)</f>
        <v>0.70479999999999998</v>
      </c>
      <c r="C118" s="1034">
        <f>B118</f>
        <v>0.70479999999999998</v>
      </c>
      <c r="D118" s="1034">
        <f>ROUND(0.7043-0.012*B113,4)</f>
        <v>0.67710000000000004</v>
      </c>
      <c r="E118" s="1034">
        <f>D118</f>
        <v>0.67710000000000004</v>
      </c>
      <c r="F118" s="1034">
        <f>E118</f>
        <v>0.67710000000000004</v>
      </c>
      <c r="G118" s="1034">
        <f>ROUND(0.6299-0.0122*B113,4)</f>
        <v>0.60219999999999996</v>
      </c>
      <c r="H118" s="1034">
        <f>G118</f>
        <v>0.60219999999999996</v>
      </c>
      <c r="I118" s="1034">
        <f>ROUND(0.5667-0.0136*B113,4)</f>
        <v>0.53580000000000005</v>
      </c>
      <c r="J118" s="1034">
        <f t="shared" si="33"/>
        <v>0.53580000000000005</v>
      </c>
      <c r="K118" s="1034">
        <f t="shared" si="33"/>
        <v>0.53580000000000005</v>
      </c>
      <c r="L118" s="1034">
        <f t="shared" si="33"/>
        <v>0.53580000000000005</v>
      </c>
      <c r="M118" s="1035">
        <f t="shared" si="33"/>
        <v>0.53580000000000005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9"/>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454" t="s">
        <v>519</v>
      </c>
      <c r="D4" s="3455"/>
      <c r="E4" s="3488" t="s">
        <v>520</v>
      </c>
      <c r="F4" s="3489"/>
      <c r="G4" s="3454" t="s">
        <v>521</v>
      </c>
      <c r="H4" s="3455"/>
      <c r="I4" s="3454" t="s">
        <v>522</v>
      </c>
      <c r="J4" s="3455"/>
      <c r="K4" s="514" t="s">
        <v>523</v>
      </c>
      <c r="L4" s="2135"/>
      <c r="M4" s="2136"/>
      <c r="N4" s="2136"/>
      <c r="O4" s="2136"/>
      <c r="P4" s="3524" t="s">
        <v>524</v>
      </c>
      <c r="Q4" s="3457"/>
      <c r="R4" s="3462" t="s">
        <v>520</v>
      </c>
      <c r="S4" s="3463"/>
      <c r="T4" s="3462" t="s">
        <v>521</v>
      </c>
      <c r="U4" s="3463"/>
      <c r="V4" s="3449" t="s">
        <v>522</v>
      </c>
      <c r="W4" s="3449"/>
      <c r="X4" s="1568"/>
      <c r="Y4" s="3462" t="s">
        <v>524</v>
      </c>
      <c r="Z4" s="3463"/>
      <c r="AA4" s="3451" t="s">
        <v>520</v>
      </c>
      <c r="AB4" s="3451" t="s">
        <v>521</v>
      </c>
      <c r="AC4" s="3451" t="s">
        <v>522</v>
      </c>
    </row>
    <row r="5" spans="1:29" ht="15">
      <c r="A5" s="515"/>
      <c r="B5" s="516"/>
      <c r="C5" s="3470" t="s">
        <v>2925</v>
      </c>
      <c r="D5" s="3471"/>
      <c r="E5" s="3490" t="s">
        <v>2926</v>
      </c>
      <c r="F5" s="3491"/>
      <c r="G5" s="3470" t="s">
        <v>2927</v>
      </c>
      <c r="H5" s="3471"/>
      <c r="I5" s="3470" t="s">
        <v>2928</v>
      </c>
      <c r="J5" s="3471"/>
      <c r="K5" s="514"/>
      <c r="L5" s="2135"/>
      <c r="M5" s="2136"/>
      <c r="N5" s="2136"/>
      <c r="O5" s="2136"/>
      <c r="P5" s="3525"/>
      <c r="Q5" s="3459"/>
      <c r="R5" s="3464"/>
      <c r="S5" s="3465"/>
      <c r="T5" s="3464"/>
      <c r="U5" s="3465"/>
      <c r="V5" s="3449"/>
      <c r="W5" s="3449"/>
      <c r="X5" s="1568"/>
      <c r="Y5" s="3464"/>
      <c r="Z5" s="3465"/>
      <c r="AA5" s="3452"/>
      <c r="AB5" s="3452"/>
      <c r="AC5" s="3452"/>
    </row>
    <row r="6" spans="1:29" ht="15.75" thickBot="1">
      <c r="A6" s="517"/>
      <c r="B6" s="518"/>
      <c r="C6" s="3468" t="s">
        <v>2929</v>
      </c>
      <c r="D6" s="3469"/>
      <c r="E6" s="3486" t="s">
        <v>2929</v>
      </c>
      <c r="F6" s="3487"/>
      <c r="G6" s="3468" t="s">
        <v>2929</v>
      </c>
      <c r="H6" s="3469"/>
      <c r="I6" s="3468" t="s">
        <v>2929</v>
      </c>
      <c r="J6" s="3469"/>
      <c r="K6" s="514" t="s">
        <v>525</v>
      </c>
      <c r="L6" s="2135"/>
      <c r="M6" s="2136"/>
      <c r="N6" s="2136"/>
      <c r="O6" s="2136"/>
      <c r="P6" s="3526"/>
      <c r="Q6" s="3461"/>
      <c r="R6" s="3464"/>
      <c r="S6" s="3465"/>
      <c r="T6" s="3466"/>
      <c r="U6" s="3467"/>
      <c r="V6" s="3449"/>
      <c r="W6" s="3449"/>
      <c r="X6" s="1568"/>
      <c r="Y6" s="3466"/>
      <c r="Z6" s="3467"/>
      <c r="AA6" s="3453"/>
      <c r="AB6" s="3453"/>
      <c r="AC6" s="3453"/>
    </row>
    <row r="7" spans="1:29" s="1220" customFormat="1" ht="15.75" thickBot="1">
      <c r="A7" s="2914"/>
      <c r="B7" s="2921" t="s">
        <v>526</v>
      </c>
      <c r="C7" s="519">
        <f>'数据-取费表'!B2</f>
        <v>43424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81" t="s">
        <v>527</v>
      </c>
      <c r="Q7" s="3481"/>
      <c r="R7" s="1569" t="s">
        <v>8</v>
      </c>
      <c r="S7" s="1570">
        <f t="shared" ref="S7:S15" si="0">F7</f>
        <v>0</v>
      </c>
      <c r="T7" s="1569" t="s">
        <v>8</v>
      </c>
      <c r="U7" s="1570">
        <f t="shared" ref="U7:U15" si="1">H7</f>
        <v>0</v>
      </c>
      <c r="V7" s="1569" t="s">
        <v>8</v>
      </c>
      <c r="W7" s="1570">
        <f t="shared" ref="W7:W15" si="2">J7</f>
        <v>0</v>
      </c>
      <c r="X7" s="1571"/>
      <c r="Y7" s="3479" t="s">
        <v>527</v>
      </c>
      <c r="Z7" s="3480"/>
      <c r="AA7" s="1572" t="e">
        <f>D7/F7</f>
        <v>#DIV/0!</v>
      </c>
      <c r="AB7" s="1572" t="e">
        <f>D7/H7</f>
        <v>#DIV/0!</v>
      </c>
      <c r="AC7" s="1572" t="e">
        <f>D7/J7</f>
        <v>#DIV/0!</v>
      </c>
    </row>
    <row r="8" spans="1:29" s="1220" customFormat="1" ht="15.75" thickBot="1">
      <c r="A8" s="2915"/>
      <c r="B8" s="2922"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81" t="s">
        <v>530</v>
      </c>
      <c r="Q8" s="3480"/>
      <c r="R8" s="1569" t="s">
        <v>8</v>
      </c>
      <c r="S8" s="1570">
        <f t="shared" si="0"/>
        <v>0</v>
      </c>
      <c r="T8" s="1569" t="s">
        <v>8</v>
      </c>
      <c r="U8" s="1570">
        <f t="shared" si="1"/>
        <v>0</v>
      </c>
      <c r="V8" s="1569" t="s">
        <v>8</v>
      </c>
      <c r="W8" s="1570">
        <f t="shared" si="2"/>
        <v>0</v>
      </c>
      <c r="X8" s="1571"/>
      <c r="Y8" s="3479" t="s">
        <v>530</v>
      </c>
      <c r="Z8" s="3480"/>
      <c r="AA8" s="1572" t="e">
        <f t="shared" ref="AA8:AA47" si="3">D8/F8</f>
        <v>#DIV/0!</v>
      </c>
      <c r="AB8" s="1572" t="e">
        <f t="shared" ref="AB8:AB47" si="4">D8/H8</f>
        <v>#DIV/0!</v>
      </c>
      <c r="AC8" s="1572" t="e">
        <f t="shared" ref="AC8:AC47" si="5">D8/J8</f>
        <v>#DIV/0!</v>
      </c>
    </row>
    <row r="9" spans="1:29" s="1220" customFormat="1" ht="15">
      <c r="A9" s="2916"/>
      <c r="B9" s="2923" t="s">
        <v>2752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48" t="s">
        <v>532</v>
      </c>
      <c r="Q9" s="1151" t="str">
        <f t="shared" ref="Q9:Q15" si="6">B9</f>
        <v>用途</v>
      </c>
      <c r="R9" s="1569" t="s">
        <v>8</v>
      </c>
      <c r="S9" s="1570">
        <f t="shared" si="0"/>
        <v>100</v>
      </c>
      <c r="T9" s="1569" t="s">
        <v>8</v>
      </c>
      <c r="U9" s="1570">
        <f t="shared" si="1"/>
        <v>100</v>
      </c>
      <c r="V9" s="1569" t="s">
        <v>8</v>
      </c>
      <c r="W9" s="1570">
        <f t="shared" si="2"/>
        <v>100</v>
      </c>
      <c r="X9" s="1571"/>
      <c r="Y9" s="3385"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48"/>
      <c r="Q10" s="1151" t="str">
        <f t="shared" si="6"/>
        <v>土地使用年限（年）</v>
      </c>
      <c r="R10" s="1569" t="s">
        <v>8</v>
      </c>
      <c r="S10" s="1570">
        <f t="shared" si="0"/>
        <v>100</v>
      </c>
      <c r="T10" s="1569" t="s">
        <v>8</v>
      </c>
      <c r="U10" s="1570">
        <f t="shared" si="1"/>
        <v>100</v>
      </c>
      <c r="V10" s="1569" t="s">
        <v>8</v>
      </c>
      <c r="W10" s="1570">
        <f t="shared" si="2"/>
        <v>100</v>
      </c>
      <c r="X10" s="1571"/>
      <c r="Y10" s="3385"/>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48"/>
      <c r="Q11" s="1151" t="str">
        <f t="shared" si="6"/>
        <v>容积率</v>
      </c>
      <c r="R11" s="1569" t="s">
        <v>8</v>
      </c>
      <c r="S11" s="1570" t="e">
        <f t="shared" si="0"/>
        <v>#N/A</v>
      </c>
      <c r="T11" s="1569" t="s">
        <v>8</v>
      </c>
      <c r="U11" s="1570" t="e">
        <f t="shared" si="1"/>
        <v>#N/A</v>
      </c>
      <c r="V11" s="1569" t="s">
        <v>8</v>
      </c>
      <c r="W11" s="1570" t="e">
        <f t="shared" si="2"/>
        <v>#N/A</v>
      </c>
      <c r="X11" s="1571"/>
      <c r="Y11" s="338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48"/>
      <c r="Q12" s="1151">
        <f t="shared" si="6"/>
        <v>111</v>
      </c>
      <c r="R12" s="1569" t="s">
        <v>8</v>
      </c>
      <c r="S12" s="1570">
        <f t="shared" si="0"/>
        <v>100</v>
      </c>
      <c r="T12" s="1569" t="s">
        <v>8</v>
      </c>
      <c r="U12" s="1570">
        <f t="shared" si="1"/>
        <v>100</v>
      </c>
      <c r="V12" s="1569" t="s">
        <v>8</v>
      </c>
      <c r="W12" s="1570">
        <f t="shared" si="2"/>
        <v>100</v>
      </c>
      <c r="X12" s="1571"/>
      <c r="Y12" s="3385"/>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48"/>
      <c r="Q13" s="1151">
        <f t="shared" si="6"/>
        <v>111</v>
      </c>
      <c r="R13" s="1569" t="s">
        <v>8</v>
      </c>
      <c r="S13" s="1570">
        <f t="shared" si="0"/>
        <v>100</v>
      </c>
      <c r="T13" s="1569" t="s">
        <v>8</v>
      </c>
      <c r="U13" s="1570">
        <f t="shared" si="1"/>
        <v>100</v>
      </c>
      <c r="V13" s="1569" t="s">
        <v>8</v>
      </c>
      <c r="W13" s="1570">
        <f t="shared" si="2"/>
        <v>100</v>
      </c>
      <c r="X13" s="1571"/>
      <c r="Y13" s="3385"/>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48"/>
      <c r="Q14" s="1151">
        <f t="shared" si="6"/>
        <v>111</v>
      </c>
      <c r="R14" s="1569" t="s">
        <v>8</v>
      </c>
      <c r="S14" s="1570">
        <f t="shared" si="0"/>
        <v>100</v>
      </c>
      <c r="T14" s="1569" t="s">
        <v>8</v>
      </c>
      <c r="U14" s="1570">
        <f t="shared" si="1"/>
        <v>100</v>
      </c>
      <c r="V14" s="1569" t="s">
        <v>8</v>
      </c>
      <c r="W14" s="1570">
        <f t="shared" si="2"/>
        <v>100</v>
      </c>
      <c r="X14" s="1571"/>
      <c r="Y14" s="3385"/>
      <c r="Z14" s="1150">
        <f t="shared" si="7"/>
        <v>111</v>
      </c>
      <c r="AA14" s="1572">
        <f t="shared" si="3"/>
        <v>1</v>
      </c>
      <c r="AB14" s="1572">
        <f t="shared" si="4"/>
        <v>1</v>
      </c>
      <c r="AC14" s="1572">
        <f t="shared" si="5"/>
        <v>1</v>
      </c>
    </row>
    <row r="15" spans="1:29" ht="71.25">
      <c r="A15" s="2912"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82" t="s">
        <v>537</v>
      </c>
      <c r="Q15" s="1573" t="str">
        <f t="shared" si="6"/>
        <v>办公集聚程度</v>
      </c>
      <c r="R15" s="1574" t="s">
        <v>8</v>
      </c>
      <c r="S15" s="1575">
        <f t="shared" si="0"/>
        <v>100</v>
      </c>
      <c r="T15" s="1574" t="s">
        <v>8</v>
      </c>
      <c r="U15" s="1575">
        <f t="shared" si="1"/>
        <v>100</v>
      </c>
      <c r="V15" s="1574" t="s">
        <v>8</v>
      </c>
      <c r="W15" s="1575">
        <f t="shared" si="2"/>
        <v>100</v>
      </c>
      <c r="X15" s="1568"/>
      <c r="Y15" s="3482"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83"/>
      <c r="Q16" s="1573"/>
      <c r="R16" s="1574"/>
      <c r="S16" s="1575"/>
      <c r="T16" s="1574"/>
      <c r="U16" s="1575"/>
      <c r="V16" s="1574"/>
      <c r="W16" s="1575"/>
      <c r="X16" s="1568"/>
      <c r="Y16" s="3483"/>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83"/>
      <c r="Q17" s="1573" t="str">
        <f>B17</f>
        <v>交通便捷度</v>
      </c>
      <c r="R17" s="1574" t="s">
        <v>8</v>
      </c>
      <c r="S17" s="1575">
        <f>F17</f>
        <v>100</v>
      </c>
      <c r="T17" s="1574" t="s">
        <v>8</v>
      </c>
      <c r="U17" s="1575">
        <f>H17</f>
        <v>100</v>
      </c>
      <c r="V17" s="1574" t="s">
        <v>8</v>
      </c>
      <c r="W17" s="1575">
        <f>J17</f>
        <v>100</v>
      </c>
      <c r="X17" s="1568"/>
      <c r="Y17" s="348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83"/>
      <c r="Q18" s="1573"/>
      <c r="R18" s="1574"/>
      <c r="S18" s="1575"/>
      <c r="T18" s="1574"/>
      <c r="U18" s="1575"/>
      <c r="V18" s="1574"/>
      <c r="W18" s="1575"/>
      <c r="X18" s="1568"/>
      <c r="Y18" s="3483"/>
      <c r="Z18" s="1576"/>
      <c r="AA18" s="1577">
        <v>1</v>
      </c>
      <c r="AB18" s="1577">
        <v>1</v>
      </c>
      <c r="AC18" s="1577">
        <v>1</v>
      </c>
    </row>
    <row r="19" spans="1:29" ht="42.75">
      <c r="A19" s="532"/>
      <c r="B19" s="2605"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83"/>
      <c r="Q19" s="1573" t="str">
        <f>B19</f>
        <v>公共配套设施</v>
      </c>
      <c r="R19" s="1574" t="s">
        <v>8</v>
      </c>
      <c r="S19" s="1575">
        <f>F19</f>
        <v>100</v>
      </c>
      <c r="T19" s="1574" t="s">
        <v>8</v>
      </c>
      <c r="U19" s="1575">
        <f>H19</f>
        <v>100</v>
      </c>
      <c r="V19" s="1574" t="s">
        <v>8</v>
      </c>
      <c r="W19" s="1575">
        <f>J19</f>
        <v>100</v>
      </c>
      <c r="X19" s="1568"/>
      <c r="Y19" s="348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83"/>
      <c r="Q20" s="1573"/>
      <c r="R20" s="1574"/>
      <c r="S20" s="1575"/>
      <c r="T20" s="1574"/>
      <c r="U20" s="1575"/>
      <c r="V20" s="1574"/>
      <c r="W20" s="1575"/>
      <c r="X20" s="1568"/>
      <c r="Y20" s="3483"/>
      <c r="Z20" s="1576"/>
      <c r="AA20" s="1577">
        <v>1</v>
      </c>
      <c r="AB20" s="1577">
        <v>1</v>
      </c>
      <c r="AC20" s="1577">
        <v>1</v>
      </c>
    </row>
    <row r="21" spans="1:29" ht="28.5">
      <c r="A21" s="532"/>
      <c r="B21" s="2593"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83"/>
      <c r="Q21" s="2581" t="str">
        <f>B21</f>
        <v>基础设施水平</v>
      </c>
      <c r="R21" s="1574" t="s">
        <v>8</v>
      </c>
      <c r="S21" s="1575">
        <f>F21</f>
        <v>100</v>
      </c>
      <c r="T21" s="1574" t="s">
        <v>8</v>
      </c>
      <c r="U21" s="1575">
        <f>H21</f>
        <v>100</v>
      </c>
      <c r="V21" s="1574" t="s">
        <v>8</v>
      </c>
      <c r="W21" s="1575">
        <f>J21</f>
        <v>100</v>
      </c>
      <c r="X21" s="2583"/>
      <c r="Y21" s="3483"/>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83"/>
      <c r="Q22" s="2581"/>
      <c r="R22" s="1574"/>
      <c r="S22" s="1575"/>
      <c r="T22" s="1574"/>
      <c r="U22" s="1575"/>
      <c r="V22" s="1574"/>
      <c r="W22" s="1575"/>
      <c r="X22" s="2583"/>
      <c r="Y22" s="3483"/>
      <c r="Z22" s="2582"/>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83"/>
      <c r="Q23" s="1573" t="str">
        <f>B23</f>
        <v>环境质量</v>
      </c>
      <c r="R23" s="1574" t="s">
        <v>8</v>
      </c>
      <c r="S23" s="1575">
        <f>F23</f>
        <v>100</v>
      </c>
      <c r="T23" s="1574" t="s">
        <v>8</v>
      </c>
      <c r="U23" s="1575">
        <f>H23</f>
        <v>100</v>
      </c>
      <c r="V23" s="1574" t="s">
        <v>8</v>
      </c>
      <c r="W23" s="1575">
        <f>J23</f>
        <v>100</v>
      </c>
      <c r="X23" s="1568"/>
      <c r="Y23" s="348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83"/>
      <c r="Q24" s="1573"/>
      <c r="R24" s="1574"/>
      <c r="S24" s="1575"/>
      <c r="T24" s="1574"/>
      <c r="U24" s="1575"/>
      <c r="V24" s="1574"/>
      <c r="W24" s="1575"/>
      <c r="X24" s="1568"/>
      <c r="Y24" s="3483"/>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83"/>
      <c r="Q25" s="1573" t="str">
        <f>B25</f>
        <v>毗邻道路的类型与等级</v>
      </c>
      <c r="R25" s="1574" t="s">
        <v>8</v>
      </c>
      <c r="S25" s="1575">
        <f>F25</f>
        <v>100</v>
      </c>
      <c r="T25" s="1574" t="s">
        <v>8</v>
      </c>
      <c r="U25" s="1575">
        <f>H25</f>
        <v>100</v>
      </c>
      <c r="V25" s="1574" t="s">
        <v>8</v>
      </c>
      <c r="W25" s="1575">
        <f>J25</f>
        <v>100</v>
      </c>
      <c r="X25" s="1568"/>
      <c r="Y25" s="348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83"/>
      <c r="Q26" s="1573"/>
      <c r="R26" s="1574"/>
      <c r="S26" s="1575"/>
      <c r="T26" s="1574"/>
      <c r="U26" s="1575"/>
      <c r="V26" s="1574"/>
      <c r="W26" s="1575"/>
      <c r="X26" s="1568"/>
      <c r="Y26" s="3483"/>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83"/>
      <c r="Q27" s="1573" t="str">
        <f t="shared" ref="Q27:Q47" si="11">B27</f>
        <v>楼层</v>
      </c>
      <c r="R27" s="1574" t="s">
        <v>8</v>
      </c>
      <c r="S27" s="1575">
        <f>F27</f>
        <v>100</v>
      </c>
      <c r="T27" s="1574" t="s">
        <v>8</v>
      </c>
      <c r="U27" s="1575">
        <f>H27</f>
        <v>100</v>
      </c>
      <c r="V27" s="1574" t="s">
        <v>8</v>
      </c>
      <c r="W27" s="1575">
        <f>J27</f>
        <v>100</v>
      </c>
      <c r="X27" s="1568"/>
      <c r="Y27" s="3483"/>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83"/>
      <c r="Q28" s="1151" t="str">
        <f t="shared" si="11"/>
        <v>朝向</v>
      </c>
      <c r="R28" s="1569" t="s">
        <v>8</v>
      </c>
      <c r="S28" s="1570">
        <f>F28</f>
        <v>100</v>
      </c>
      <c r="T28" s="1569" t="s">
        <v>8</v>
      </c>
      <c r="U28" s="1570">
        <f>H28</f>
        <v>100</v>
      </c>
      <c r="V28" s="1569" t="s">
        <v>8</v>
      </c>
      <c r="W28" s="1570">
        <f>J28</f>
        <v>100</v>
      </c>
      <c r="X28" s="1571"/>
      <c r="Y28" s="348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83"/>
      <c r="Q29" s="1573">
        <f t="shared" si="11"/>
        <v>111</v>
      </c>
      <c r="R29" s="1574" t="s">
        <v>8</v>
      </c>
      <c r="S29" s="1575">
        <f t="shared" ref="S29:S47" si="12">F29</f>
        <v>100</v>
      </c>
      <c r="T29" s="1574" t="s">
        <v>8</v>
      </c>
      <c r="U29" s="1575">
        <f t="shared" ref="U29:U47" si="13">H29</f>
        <v>100</v>
      </c>
      <c r="V29" s="1574" t="s">
        <v>8</v>
      </c>
      <c r="W29" s="1575">
        <f t="shared" ref="W29:W47" si="14">J29</f>
        <v>100</v>
      </c>
      <c r="X29" s="1568"/>
      <c r="Y29" s="348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83"/>
      <c r="Q30" s="1573">
        <f t="shared" si="11"/>
        <v>111</v>
      </c>
      <c r="R30" s="1574" t="s">
        <v>8</v>
      </c>
      <c r="S30" s="1575">
        <f t="shared" si="12"/>
        <v>100</v>
      </c>
      <c r="T30" s="1574" t="s">
        <v>8</v>
      </c>
      <c r="U30" s="1575">
        <f t="shared" si="13"/>
        <v>100</v>
      </c>
      <c r="V30" s="1574" t="s">
        <v>8</v>
      </c>
      <c r="W30" s="1575">
        <f t="shared" si="14"/>
        <v>100</v>
      </c>
      <c r="X30" s="1568"/>
      <c r="Y30" s="348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83"/>
      <c r="Q31" s="1573">
        <f t="shared" si="11"/>
        <v>111</v>
      </c>
      <c r="R31" s="1574" t="s">
        <v>8</v>
      </c>
      <c r="S31" s="1575">
        <f t="shared" si="12"/>
        <v>100</v>
      </c>
      <c r="T31" s="1574" t="s">
        <v>8</v>
      </c>
      <c r="U31" s="1575">
        <f t="shared" si="13"/>
        <v>100</v>
      </c>
      <c r="V31" s="1574" t="s">
        <v>8</v>
      </c>
      <c r="W31" s="1575">
        <f t="shared" si="14"/>
        <v>100</v>
      </c>
      <c r="X31" s="1568"/>
      <c r="Y31" s="348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83"/>
      <c r="Q32" s="1573">
        <f t="shared" si="11"/>
        <v>111</v>
      </c>
      <c r="R32" s="1574" t="s">
        <v>8</v>
      </c>
      <c r="S32" s="1575">
        <f t="shared" si="12"/>
        <v>100</v>
      </c>
      <c r="T32" s="1574" t="s">
        <v>8</v>
      </c>
      <c r="U32" s="1575">
        <f t="shared" si="13"/>
        <v>100</v>
      </c>
      <c r="V32" s="1574" t="s">
        <v>8</v>
      </c>
      <c r="W32" s="1575">
        <f t="shared" si="14"/>
        <v>100</v>
      </c>
      <c r="X32" s="1568"/>
      <c r="Y32" s="3483"/>
      <c r="Z32" s="1576">
        <f t="shared" si="15"/>
        <v>111</v>
      </c>
      <c r="AA32" s="1577">
        <f t="shared" si="3"/>
        <v>1</v>
      </c>
      <c r="AB32" s="1577">
        <f t="shared" si="4"/>
        <v>1</v>
      </c>
      <c r="AC32" s="1577">
        <f t="shared" si="5"/>
        <v>1</v>
      </c>
    </row>
    <row r="33" spans="1:29" ht="15">
      <c r="A33" s="2909"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84" t="s">
        <v>547</v>
      </c>
      <c r="Q33" s="1573" t="str">
        <f t="shared" si="11"/>
        <v>建筑类型</v>
      </c>
      <c r="R33" s="1574" t="s">
        <v>8</v>
      </c>
      <c r="S33" s="1575">
        <f t="shared" si="12"/>
        <v>100</v>
      </c>
      <c r="T33" s="1574" t="s">
        <v>8</v>
      </c>
      <c r="U33" s="1575">
        <f t="shared" si="13"/>
        <v>100</v>
      </c>
      <c r="V33" s="1574" t="s">
        <v>8</v>
      </c>
      <c r="W33" s="1575">
        <f t="shared" si="14"/>
        <v>100</v>
      </c>
      <c r="X33" s="1568"/>
      <c r="Y33" s="3485"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85"/>
      <c r="Q34" s="1606" t="str">
        <f t="shared" si="11"/>
        <v>项目建筑规模</v>
      </c>
      <c r="R34" s="1578" t="s">
        <v>8</v>
      </c>
      <c r="S34" s="1579" t="e">
        <f t="shared" si="12"/>
        <v>#N/A</v>
      </c>
      <c r="T34" s="1578" t="s">
        <v>8</v>
      </c>
      <c r="U34" s="1579" t="e">
        <f t="shared" si="13"/>
        <v>#N/A</v>
      </c>
      <c r="V34" s="1578" t="s">
        <v>8</v>
      </c>
      <c r="W34" s="1579" t="e">
        <f t="shared" si="14"/>
        <v>#N/A</v>
      </c>
      <c r="X34" s="1580"/>
      <c r="Y34" s="3485"/>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85"/>
      <c r="Q35" s="1573" t="str">
        <f t="shared" si="11"/>
        <v>建筑结构</v>
      </c>
      <c r="R35" s="1574" t="s">
        <v>8</v>
      </c>
      <c r="S35" s="1575">
        <f t="shared" si="12"/>
        <v>100</v>
      </c>
      <c r="T35" s="1574" t="s">
        <v>8</v>
      </c>
      <c r="U35" s="1575">
        <f t="shared" si="13"/>
        <v>100</v>
      </c>
      <c r="V35" s="1574" t="s">
        <v>8</v>
      </c>
      <c r="W35" s="1575">
        <f t="shared" si="14"/>
        <v>100</v>
      </c>
      <c r="X35" s="1568"/>
      <c r="Y35" s="3485"/>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85"/>
      <c r="Q36" s="1573" t="str">
        <f t="shared" si="11"/>
        <v>公共部分装修</v>
      </c>
      <c r="R36" s="1574" t="s">
        <v>8</v>
      </c>
      <c r="S36" s="1575">
        <f t="shared" si="12"/>
        <v>100</v>
      </c>
      <c r="T36" s="1574" t="s">
        <v>8</v>
      </c>
      <c r="U36" s="1575">
        <f t="shared" si="13"/>
        <v>100</v>
      </c>
      <c r="V36" s="1574" t="s">
        <v>8</v>
      </c>
      <c r="W36" s="1575">
        <f t="shared" si="14"/>
        <v>100</v>
      </c>
      <c r="X36" s="1568"/>
      <c r="Y36" s="3485"/>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85"/>
      <c r="Q37" s="1573" t="str">
        <f t="shared" si="11"/>
        <v>成新度</v>
      </c>
      <c r="R37" s="1574" t="s">
        <v>8</v>
      </c>
      <c r="S37" s="1575" t="e">
        <f t="shared" si="12"/>
        <v>#N/A</v>
      </c>
      <c r="T37" s="1574" t="s">
        <v>8</v>
      </c>
      <c r="U37" s="1575" t="e">
        <f t="shared" si="13"/>
        <v>#N/A</v>
      </c>
      <c r="V37" s="1574" t="s">
        <v>8</v>
      </c>
      <c r="W37" s="1575" t="e">
        <f t="shared" si="14"/>
        <v>#N/A</v>
      </c>
      <c r="X37" s="1568"/>
      <c r="Y37" s="3485"/>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85"/>
      <c r="Q38" s="1151" t="str">
        <f t="shared" si="11"/>
        <v>写字楼等级</v>
      </c>
      <c r="R38" s="1569" t="s">
        <v>8</v>
      </c>
      <c r="S38" s="1570">
        <f t="shared" si="12"/>
        <v>100</v>
      </c>
      <c r="T38" s="1569" t="s">
        <v>8</v>
      </c>
      <c r="U38" s="1570">
        <f t="shared" si="13"/>
        <v>100</v>
      </c>
      <c r="V38" s="1569" t="s">
        <v>8</v>
      </c>
      <c r="W38" s="1570">
        <f t="shared" si="14"/>
        <v>100</v>
      </c>
      <c r="X38" s="1571"/>
      <c r="Y38" s="3485"/>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85" t="s">
        <v>547</v>
      </c>
      <c r="Q39" s="1573" t="str">
        <f t="shared" si="11"/>
        <v>物业管理</v>
      </c>
      <c r="R39" s="1574" t="s">
        <v>8</v>
      </c>
      <c r="S39" s="1575">
        <f t="shared" si="12"/>
        <v>100</v>
      </c>
      <c r="T39" s="1574" t="s">
        <v>8</v>
      </c>
      <c r="U39" s="1575">
        <f t="shared" si="13"/>
        <v>100</v>
      </c>
      <c r="V39" s="1574" t="s">
        <v>8</v>
      </c>
      <c r="W39" s="1575">
        <f t="shared" si="14"/>
        <v>100</v>
      </c>
      <c r="X39" s="1568"/>
      <c r="Y39" s="3485" t="s">
        <v>547</v>
      </c>
      <c r="Z39" s="1576" t="str">
        <f t="shared" si="15"/>
        <v>物业管理</v>
      </c>
      <c r="AA39" s="1577">
        <f t="shared" si="3"/>
        <v>1</v>
      </c>
      <c r="AB39" s="1577">
        <f t="shared" si="4"/>
        <v>1</v>
      </c>
      <c r="AC39" s="1577">
        <f t="shared" si="5"/>
        <v>1</v>
      </c>
    </row>
    <row r="40" spans="1:29" ht="15">
      <c r="A40" s="594"/>
      <c r="B40" s="1897"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85"/>
      <c r="Q40" s="1573" t="str">
        <f t="shared" si="11"/>
        <v>市政基础设施</v>
      </c>
      <c r="R40" s="1574" t="s">
        <v>8</v>
      </c>
      <c r="S40" s="1575">
        <f t="shared" si="12"/>
        <v>100</v>
      </c>
      <c r="T40" s="1574" t="s">
        <v>8</v>
      </c>
      <c r="U40" s="1575">
        <f t="shared" si="13"/>
        <v>100</v>
      </c>
      <c r="V40" s="1574" t="s">
        <v>8</v>
      </c>
      <c r="W40" s="1575">
        <f t="shared" si="14"/>
        <v>100</v>
      </c>
      <c r="X40" s="1568"/>
      <c r="Y40" s="3485"/>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85"/>
      <c r="Q41" s="1573" t="str">
        <f t="shared" si="11"/>
        <v>层高</v>
      </c>
      <c r="R41" s="1574" t="s">
        <v>8</v>
      </c>
      <c r="S41" s="1575">
        <f t="shared" si="12"/>
        <v>100</v>
      </c>
      <c r="T41" s="1574" t="s">
        <v>8</v>
      </c>
      <c r="U41" s="1575">
        <f t="shared" si="13"/>
        <v>100</v>
      </c>
      <c r="V41" s="1574" t="s">
        <v>8</v>
      </c>
      <c r="W41" s="1575">
        <f t="shared" si="14"/>
        <v>100</v>
      </c>
      <c r="X41" s="1568"/>
      <c r="Y41" s="3485"/>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85"/>
      <c r="Q42" s="1606" t="str">
        <f t="shared" si="11"/>
        <v>单套建筑面积</v>
      </c>
      <c r="R42" s="1578" t="s">
        <v>8</v>
      </c>
      <c r="S42" s="1579">
        <f t="shared" si="12"/>
        <v>100</v>
      </c>
      <c r="T42" s="1578" t="s">
        <v>8</v>
      </c>
      <c r="U42" s="1579">
        <f t="shared" si="13"/>
        <v>100</v>
      </c>
      <c r="V42" s="1578" t="s">
        <v>8</v>
      </c>
      <c r="W42" s="1579">
        <f t="shared" si="14"/>
        <v>100</v>
      </c>
      <c r="X42" s="1580"/>
      <c r="Y42" s="3485"/>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85"/>
      <c r="Q43" s="1573" t="str">
        <f t="shared" si="11"/>
        <v>内部装修</v>
      </c>
      <c r="R43" s="1574" t="s">
        <v>8</v>
      </c>
      <c r="S43" s="1575">
        <f t="shared" si="12"/>
        <v>100</v>
      </c>
      <c r="T43" s="1574" t="s">
        <v>8</v>
      </c>
      <c r="U43" s="1575">
        <f t="shared" si="13"/>
        <v>100</v>
      </c>
      <c r="V43" s="1574" t="s">
        <v>8</v>
      </c>
      <c r="W43" s="1575">
        <f t="shared" si="14"/>
        <v>100</v>
      </c>
      <c r="X43" s="1568"/>
      <c r="Y43" s="3485"/>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85"/>
      <c r="Q44" s="1573" t="str">
        <f t="shared" si="11"/>
        <v>内部装修维护情况</v>
      </c>
      <c r="R44" s="1574" t="s">
        <v>8</v>
      </c>
      <c r="S44" s="1575">
        <f t="shared" si="12"/>
        <v>100</v>
      </c>
      <c r="T44" s="1574" t="s">
        <v>8</v>
      </c>
      <c r="U44" s="1575">
        <f t="shared" si="13"/>
        <v>100</v>
      </c>
      <c r="V44" s="1574" t="s">
        <v>8</v>
      </c>
      <c r="W44" s="1575">
        <f t="shared" si="14"/>
        <v>100</v>
      </c>
      <c r="X44" s="1568"/>
      <c r="Y44" s="348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85"/>
      <c r="Q45" s="1151">
        <f t="shared" si="11"/>
        <v>111</v>
      </c>
      <c r="R45" s="1569" t="s">
        <v>8</v>
      </c>
      <c r="S45" s="1570">
        <f t="shared" si="12"/>
        <v>100</v>
      </c>
      <c r="T45" s="1569" t="s">
        <v>8</v>
      </c>
      <c r="U45" s="1570">
        <f t="shared" si="13"/>
        <v>100</v>
      </c>
      <c r="V45" s="1569" t="s">
        <v>8</v>
      </c>
      <c r="W45" s="1570">
        <f t="shared" si="14"/>
        <v>100</v>
      </c>
      <c r="X45" s="1571"/>
      <c r="Y45" s="348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85"/>
      <c r="Q46" s="1573">
        <f t="shared" si="11"/>
        <v>111</v>
      </c>
      <c r="R46" s="1574" t="s">
        <v>8</v>
      </c>
      <c r="S46" s="1575">
        <f t="shared" si="12"/>
        <v>100</v>
      </c>
      <c r="T46" s="1574" t="s">
        <v>8</v>
      </c>
      <c r="U46" s="1575">
        <f t="shared" si="13"/>
        <v>100</v>
      </c>
      <c r="V46" s="1574" t="s">
        <v>8</v>
      </c>
      <c r="W46" s="1575">
        <f t="shared" si="14"/>
        <v>100</v>
      </c>
      <c r="X46" s="1568"/>
      <c r="Y46" s="348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23"/>
      <c r="Q47" s="1573">
        <f t="shared" si="11"/>
        <v>111</v>
      </c>
      <c r="R47" s="1574" t="s">
        <v>8</v>
      </c>
      <c r="S47" s="1575">
        <f t="shared" si="12"/>
        <v>100</v>
      </c>
      <c r="T47" s="1574" t="s">
        <v>8</v>
      </c>
      <c r="U47" s="1575">
        <f t="shared" si="13"/>
        <v>100</v>
      </c>
      <c r="V47" s="1574" t="s">
        <v>8</v>
      </c>
      <c r="W47" s="1575">
        <f t="shared" si="14"/>
        <v>100</v>
      </c>
      <c r="X47" s="1568"/>
      <c r="Y47" s="3523"/>
      <c r="Z47" s="1576">
        <f t="shared" si="15"/>
        <v>111</v>
      </c>
      <c r="AA47" s="1577">
        <f t="shared" si="3"/>
        <v>1</v>
      </c>
      <c r="AB47" s="1577">
        <f t="shared" si="4"/>
        <v>1</v>
      </c>
      <c r="AC47" s="1577">
        <f t="shared" si="5"/>
        <v>1</v>
      </c>
    </row>
    <row r="48" spans="1:29" ht="15">
      <c r="A48" s="607" t="s">
        <v>733</v>
      </c>
      <c r="B48" s="887"/>
      <c r="C48" s="2629" t="s">
        <v>1</v>
      </c>
      <c r="D48" s="2630"/>
      <c r="E48" s="2631"/>
      <c r="F48" s="2632"/>
      <c r="G48" s="2633"/>
      <c r="H48" s="2634"/>
      <c r="I48" s="2631"/>
      <c r="J48" s="2634"/>
      <c r="K48" s="1612"/>
      <c r="L48" s="2146"/>
      <c r="M48" s="2136"/>
      <c r="N48" s="2136"/>
      <c r="O48" s="2136"/>
      <c r="P48" s="3446" t="str">
        <f>A48</f>
        <v>成交单价（元/平方米）</v>
      </c>
      <c r="Q48" s="3448"/>
      <c r="R48" s="3520">
        <f>E48</f>
        <v>0</v>
      </c>
      <c r="S48" s="3520"/>
      <c r="T48" s="3520">
        <f>G48</f>
        <v>0</v>
      </c>
      <c r="U48" s="3520"/>
      <c r="V48" s="3520">
        <f>I48</f>
        <v>0</v>
      </c>
      <c r="W48" s="3520"/>
      <c r="X48" s="1560"/>
      <c r="Y48" s="1582"/>
      <c r="Z48" s="1560"/>
      <c r="AA48" s="1560"/>
      <c r="AB48" s="1560"/>
      <c r="AC48" s="1560"/>
    </row>
    <row r="49" spans="1:29" ht="15.75" thickBot="1">
      <c r="A49" s="615" t="s">
        <v>2756</v>
      </c>
      <c r="B49" s="888"/>
      <c r="C49" s="2635" t="e">
        <f>R50</f>
        <v>#DIV/0!</v>
      </c>
      <c r="D49" s="2636"/>
      <c r="E49" s="2637" t="e">
        <f>R49</f>
        <v>#DIV/0!</v>
      </c>
      <c r="F49" s="2637"/>
      <c r="G49" s="2635" t="e">
        <f>T49</f>
        <v>#DIV/0!</v>
      </c>
      <c r="H49" s="2636"/>
      <c r="I49" s="2637" t="e">
        <f>V49</f>
        <v>#DIV/0!</v>
      </c>
      <c r="J49" s="2636"/>
      <c r="K49" s="1613"/>
      <c r="L49" s="2146"/>
      <c r="M49" s="2136"/>
      <c r="N49" s="2136"/>
      <c r="O49" s="2136"/>
      <c r="P49" s="3446" t="str">
        <f>A49</f>
        <v>比较价格（元/平方米）</v>
      </c>
      <c r="Q49" s="3448"/>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21" t="str">
        <f>A50</f>
        <v>估价对象XX用房的比较价格（楼面单价，元/平方米）</v>
      </c>
      <c r="Q50" s="3446"/>
      <c r="R50" s="3522" t="e">
        <f>IF(F1="售价",ROUND(AVERAGE(R49:V49),0),ROUND(AVERAGE(R49:V49),1))</f>
        <v>#DIV/0!</v>
      </c>
      <c r="S50" s="3522"/>
      <c r="T50" s="3522"/>
      <c r="U50" s="3522"/>
      <c r="V50" s="3522"/>
      <c r="W50" s="352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2553</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2554</v>
      </c>
      <c r="C83" s="2600" t="s">
        <v>2555</v>
      </c>
      <c r="D83" s="2600" t="s">
        <v>2556</v>
      </c>
      <c r="E83" s="2600" t="s">
        <v>2557</v>
      </c>
      <c r="F83" s="2600" t="s">
        <v>2558</v>
      </c>
      <c r="G83" s="2600" t="s">
        <v>2559</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867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464</v>
      </c>
      <c r="B2" s="775" t="e">
        <f ca="1">C40+J29+L46</f>
        <v>#DIV/0!</v>
      </c>
      <c r="C2" s="2059"/>
      <c r="D2" s="2057"/>
      <c r="E2" s="2058"/>
      <c r="F2" s="2058"/>
      <c r="G2" s="1591"/>
      <c r="H2" s="2059"/>
      <c r="I2" s="2059"/>
      <c r="J2" s="2059"/>
      <c r="K2" s="2060"/>
      <c r="L2" s="2059"/>
      <c r="M2" s="2059"/>
    </row>
    <row r="3" spans="1:33" ht="18" customHeight="1" thickBot="1">
      <c r="A3" s="833" t="s">
        <v>516</v>
      </c>
      <c r="B3" s="834">
        <f ca="1">IF(ISERROR(B2*10000/F43),0,ROUND(B2*10000/F43,0))</f>
        <v>0</v>
      </c>
      <c r="C3" s="2059"/>
      <c r="D3" s="2057"/>
      <c r="E3" s="2058"/>
      <c r="F3" s="2058"/>
      <c r="G3" s="1591"/>
      <c r="H3" s="776" t="s">
        <v>692</v>
      </c>
      <c r="I3" s="1363"/>
      <c r="J3" s="1363"/>
      <c r="K3" s="1592"/>
      <c r="L3" s="1363"/>
      <c r="M3" s="1363"/>
    </row>
    <row r="4" spans="1:33" ht="18" customHeight="1">
      <c r="A4" s="777" t="s">
        <v>627</v>
      </c>
      <c r="B4" s="778" t="s">
        <v>628</v>
      </c>
      <c r="C4" s="778" t="s">
        <v>629</v>
      </c>
      <c r="D4" s="778" t="s">
        <v>630</v>
      </c>
      <c r="E4" s="779" t="s">
        <v>631</v>
      </c>
      <c r="F4" s="780"/>
      <c r="G4" s="1593"/>
      <c r="H4" s="777" t="s">
        <v>627</v>
      </c>
      <c r="I4" s="778" t="s">
        <v>628</v>
      </c>
      <c r="J4" s="778" t="s">
        <v>629</v>
      </c>
      <c r="K4" s="778" t="s">
        <v>630</v>
      </c>
      <c r="L4" s="779" t="s">
        <v>631</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27" t="s">
        <v>2459</v>
      </c>
      <c r="C6" s="783">
        <f ca="1">ROUND(F6*F8*F7*(1-F9)/10000,0)</f>
        <v>0</v>
      </c>
      <c r="D6" s="2499" t="s">
        <v>2458</v>
      </c>
      <c r="E6" s="784" t="s">
        <v>634</v>
      </c>
      <c r="F6" s="785">
        <f ca="1">INDIRECT("'数据-取费表'!u"&amp;$G$1)</f>
        <v>0</v>
      </c>
      <c r="G6" s="1593"/>
      <c r="H6" s="2506" t="s">
        <v>1818</v>
      </c>
      <c r="I6" s="3527" t="s">
        <v>2459</v>
      </c>
      <c r="J6" s="783">
        <f ca="1">ROUND(M6*M8*M7*(1-M9)/10000,0)</f>
        <v>0</v>
      </c>
      <c r="K6" s="341" t="s">
        <v>633</v>
      </c>
      <c r="L6" s="784" t="s">
        <v>634</v>
      </c>
      <c r="M6" s="785">
        <f ca="1">INDIRECT("'数据-取费表'!z"&amp;$G$1)</f>
        <v>0</v>
      </c>
    </row>
    <row r="7" spans="1:33" ht="18" customHeight="1">
      <c r="A7" s="2502"/>
      <c r="B7" s="3528"/>
      <c r="C7" s="788"/>
      <c r="D7" s="789"/>
      <c r="E7" s="784" t="s">
        <v>635</v>
      </c>
      <c r="F7" s="785">
        <f ca="1">IF(INDIRECT("'数据-取费表'!ah"&amp;$G$1)="",INDIRECT("'数据-取费表'!k"&amp;$G$1),INDIRECT("'数据-取费表'!ah"&amp;$G$1))</f>
        <v>0</v>
      </c>
      <c r="G7" s="1593"/>
      <c r="H7" s="2491"/>
      <c r="I7" s="3528"/>
      <c r="J7" s="788"/>
      <c r="K7" s="789"/>
      <c r="L7" s="784" t="s">
        <v>635</v>
      </c>
      <c r="M7" s="785">
        <f ca="1">F7</f>
        <v>0</v>
      </c>
    </row>
    <row r="8" spans="1:33" ht="18" customHeight="1">
      <c r="A8" s="2495"/>
      <c r="B8" s="3529"/>
      <c r="C8" s="788"/>
      <c r="D8" s="789"/>
      <c r="E8" s="784" t="s">
        <v>636</v>
      </c>
      <c r="F8" s="785">
        <f ca="1">INDIRECT("'数据-取费表'!ai"&amp;$G$1)</f>
        <v>0</v>
      </c>
      <c r="G8" s="1593"/>
      <c r="H8" s="2491"/>
      <c r="I8" s="3529"/>
      <c r="J8" s="788"/>
      <c r="K8" s="789"/>
      <c r="L8" s="784" t="s">
        <v>636</v>
      </c>
      <c r="M8" s="785">
        <f ca="1">INDIRECT("'数据-取费表'!ai"&amp;$G$1)</f>
        <v>0</v>
      </c>
    </row>
    <row r="9" spans="1:33" ht="18" customHeight="1">
      <c r="A9" s="786"/>
      <c r="B9" s="3530"/>
      <c r="C9" s="788"/>
      <c r="D9" s="789"/>
      <c r="E9" s="784" t="s">
        <v>637</v>
      </c>
      <c r="F9" s="794">
        <f ca="1">INDIRECT("'数据-取费表'!w"&amp;$G$1)</f>
        <v>0</v>
      </c>
      <c r="G9" s="1593"/>
      <c r="H9" s="2507"/>
      <c r="I9" s="3529"/>
      <c r="J9" s="788"/>
      <c r="K9" s="789"/>
      <c r="L9" s="795" t="s">
        <v>637</v>
      </c>
      <c r="M9" s="796">
        <f ca="1">INDIRECT("'数据-取费表'!ab"&amp;$G$1)</f>
        <v>0</v>
      </c>
    </row>
    <row r="10" spans="1:33" ht="18" customHeight="1">
      <c r="A10" s="1832" t="s">
        <v>1819</v>
      </c>
      <c r="B10" s="2496" t="s">
        <v>2455</v>
      </c>
      <c r="C10" s="799">
        <f ca="1">ROUND(IF(F10="押一",C6/12*F11,IF(F10="押二",C6/12*2*F11,IF(F10="押三",C6/12*3*F11,C11*F11))),0)</f>
        <v>0</v>
      </c>
      <c r="D10" s="2503" t="s">
        <v>2971</v>
      </c>
      <c r="E10" s="2500" t="s">
        <v>2460</v>
      </c>
      <c r="F10" s="2623"/>
      <c r="G10" s="1593"/>
      <c r="H10" s="2563" t="s">
        <v>1819</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2452</v>
      </c>
      <c r="F11" s="796">
        <f ca="1">'数据-取费表'!B39</f>
        <v>1.4999999999999999E-2</v>
      </c>
      <c r="G11" s="1593"/>
      <c r="H11" s="2564"/>
      <c r="I11" s="2497" t="s">
        <v>2569</v>
      </c>
      <c r="J11" s="2501"/>
      <c r="K11" s="2565"/>
      <c r="L11" s="2500" t="s">
        <v>2452</v>
      </c>
      <c r="M11" s="2494">
        <f ca="1">'数据-取费表'!B39</f>
        <v>1.4999999999999999E-2</v>
      </c>
    </row>
    <row r="12" spans="1:33" ht="18" customHeight="1" thickBot="1">
      <c r="A12" s="2539" t="s">
        <v>2463</v>
      </c>
      <c r="B12" s="2540" t="s">
        <v>2456</v>
      </c>
      <c r="C12" s="2541"/>
      <c r="D12" s="2542"/>
      <c r="E12" s="2543"/>
      <c r="F12" s="2544"/>
      <c r="G12" s="1593"/>
      <c r="H12" s="2553" t="s">
        <v>2463</v>
      </c>
      <c r="I12" s="2566" t="s">
        <v>2456</v>
      </c>
      <c r="J12" s="2567"/>
      <c r="K12" s="2542"/>
      <c r="L12" s="2543"/>
      <c r="M12" s="2556"/>
    </row>
    <row r="13" spans="1:33" ht="18" customHeight="1" thickTop="1">
      <c r="A13" s="1831">
        <v>2</v>
      </c>
      <c r="B13" s="1829" t="s">
        <v>641</v>
      </c>
      <c r="C13" s="792">
        <f ca="1">ROUND(C29*F13,0)</f>
        <v>0</v>
      </c>
      <c r="D13" s="1836" t="s">
        <v>2293</v>
      </c>
      <c r="E13" s="1836" t="s">
        <v>640</v>
      </c>
      <c r="F13" s="2538">
        <f ca="1">INDIRECT("'数据-取费表'!y"&amp;$G$1)</f>
        <v>0</v>
      </c>
      <c r="G13" s="1593"/>
      <c r="H13" s="1831">
        <v>2</v>
      </c>
      <c r="I13" s="1829" t="s">
        <v>641</v>
      </c>
      <c r="J13" s="1821">
        <f ca="1">ROUND(J14*J15,0)</f>
        <v>0</v>
      </c>
      <c r="K13" s="1823" t="s">
        <v>639</v>
      </c>
      <c r="L13" s="2554"/>
      <c r="M13" s="2555"/>
    </row>
    <row r="14" spans="1:33" ht="18" customHeight="1">
      <c r="A14" s="1649" t="s">
        <v>1825</v>
      </c>
      <c r="B14" s="784" t="s">
        <v>642</v>
      </c>
      <c r="C14" s="804">
        <f ca="1">INDIRECT("'数据-取费表'!m"&amp;$G$1)+INDIRECT("'数据-取费表'!t"&amp;$G$1)</f>
        <v>0</v>
      </c>
      <c r="D14" s="3183" t="s">
        <v>643</v>
      </c>
      <c r="E14" s="3182"/>
      <c r="F14" s="805"/>
      <c r="G14" s="1593"/>
      <c r="H14" s="1650" t="s">
        <v>1818</v>
      </c>
      <c r="I14" s="2233" t="s">
        <v>2820</v>
      </c>
      <c r="J14" s="53">
        <f ca="1">C29</f>
        <v>0</v>
      </c>
      <c r="K14" s="26"/>
      <c r="L14" s="801"/>
      <c r="M14" s="802"/>
    </row>
    <row r="15" spans="1:33" s="2066" customFormat="1" ht="18" customHeight="1" thickBot="1">
      <c r="A15" s="1649" t="s">
        <v>1826</v>
      </c>
      <c r="B15" s="784" t="s">
        <v>644</v>
      </c>
      <c r="C15" s="53">
        <f ca="1">ROUND(C14*F15,0)</f>
        <v>0</v>
      </c>
      <c r="D15" s="806" t="s">
        <v>645</v>
      </c>
      <c r="E15" s="806" t="s">
        <v>646</v>
      </c>
      <c r="F15" s="807">
        <f>'数据-取费表'!B33</f>
        <v>0.03</v>
      </c>
      <c r="G15" s="1594"/>
      <c r="H15" s="2553" t="s">
        <v>1883</v>
      </c>
      <c r="I15" s="2548" t="s">
        <v>640</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1827</v>
      </c>
      <c r="B16" s="784" t="s">
        <v>647</v>
      </c>
      <c r="C16" s="53">
        <f ca="1">ROUND(INDIRECT("'数据-取费表'!m"&amp;$G$1)*F16,0)</f>
        <v>0</v>
      </c>
      <c r="D16" s="784" t="s">
        <v>645</v>
      </c>
      <c r="E16" s="784" t="s">
        <v>646</v>
      </c>
      <c r="F16" s="809">
        <f ca="1">IF(INDIRECT("'数据-取费表'!c"&amp;$G$1)="住宅",'数据-取费表'!B34,0)</f>
        <v>0</v>
      </c>
      <c r="G16" s="1593"/>
      <c r="H16" s="1831" t="s">
        <v>7</v>
      </c>
      <c r="I16" s="1829" t="s">
        <v>648</v>
      </c>
      <c r="J16" s="792">
        <f ca="1">ROUND(J17+J22+J23+J24,0)</f>
        <v>0</v>
      </c>
      <c r="K16" s="1823" t="s">
        <v>649</v>
      </c>
      <c r="L16" s="3185"/>
      <c r="M16" s="2493"/>
    </row>
    <row r="17" spans="1:33" s="2066" customFormat="1" ht="18" customHeight="1">
      <c r="A17" s="1649" t="s">
        <v>1881</v>
      </c>
      <c r="B17" s="784" t="s">
        <v>650</v>
      </c>
      <c r="C17" s="53">
        <f ca="1">ROUND(F17*(F43+INDIRECT("'数据-取费表'!S"&amp;$G$1))/10000,0)</f>
        <v>0</v>
      </c>
      <c r="D17" s="784" t="s">
        <v>651</v>
      </c>
      <c r="E17" s="784" t="s">
        <v>652</v>
      </c>
      <c r="F17" s="56">
        <f>'数据-取费表'!B35</f>
        <v>200</v>
      </c>
      <c r="G17" s="1594"/>
      <c r="H17" s="1650" t="s">
        <v>1818</v>
      </c>
      <c r="I17" s="784" t="s">
        <v>653</v>
      </c>
      <c r="J17" s="53">
        <f ca="1">ROUND(IF(项目基本情况!B11="自然人",J5*M17,J18+J19+J20),0)</f>
        <v>0</v>
      </c>
      <c r="K17" s="3183" t="s">
        <v>654</v>
      </c>
      <c r="L17" s="3184" t="s">
        <v>655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645</v>
      </c>
      <c r="E18" s="784" t="s">
        <v>646</v>
      </c>
      <c r="F18" s="809">
        <f>'数据-取费表'!B36</f>
        <v>1.4999999999999999E-2</v>
      </c>
      <c r="G18" s="1594"/>
      <c r="H18" s="1649" t="s">
        <v>1825</v>
      </c>
      <c r="I18" s="784" t="s">
        <v>657</v>
      </c>
      <c r="J18" s="53">
        <f ca="1">ROUND(J5*M18/1.05,1)</f>
        <v>0</v>
      </c>
      <c r="K18" s="3184" t="s">
        <v>658</v>
      </c>
      <c r="L18" s="784" t="s">
        <v>646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1818</v>
      </c>
      <c r="B19" s="784" t="s">
        <v>659</v>
      </c>
      <c r="C19" s="53">
        <f ca="1">SUM(C14:C18)</f>
        <v>0</v>
      </c>
      <c r="D19" s="261" t="s">
        <v>660</v>
      </c>
      <c r="E19" s="3190"/>
      <c r="F19" s="56"/>
      <c r="G19" s="1593"/>
      <c r="H19" s="1649" t="s">
        <v>1826</v>
      </c>
      <c r="I19" s="784" t="s">
        <v>661</v>
      </c>
      <c r="J19" s="53">
        <f ca="1">IF(K19="按租金收入计税",ROUND(J5*M19,1),ROUND(C29*F33*0.7,1))</f>
        <v>0</v>
      </c>
      <c r="K19" s="811" t="s">
        <v>662</v>
      </c>
      <c r="L19" s="784" t="s">
        <v>646</v>
      </c>
      <c r="M19" s="809">
        <f>IF(K19="按租金收入计税",'数据-取费表'!B51,'数据-取费表'!B50)</f>
        <v>1.2E-2</v>
      </c>
    </row>
    <row r="20" spans="1:33" s="2066" customFormat="1" ht="18" customHeight="1">
      <c r="A20" s="1650" t="s">
        <v>1883</v>
      </c>
      <c r="B20" s="784" t="s">
        <v>663</v>
      </c>
      <c r="C20" s="53">
        <f ca="1">ROUND(C19*F20,0)</f>
        <v>0</v>
      </c>
      <c r="D20" s="812" t="s">
        <v>664</v>
      </c>
      <c r="E20" s="784" t="s">
        <v>646</v>
      </c>
      <c r="F20" s="809">
        <f>'数据-取费表'!B37</f>
        <v>0.02</v>
      </c>
      <c r="G20" s="1594"/>
      <c r="H20" s="1652" t="s">
        <v>1827</v>
      </c>
      <c r="I20" s="341" t="s">
        <v>665</v>
      </c>
      <c r="J20" s="54">
        <f ca="1">ROUND(M20*M21/10000,0)</f>
        <v>0</v>
      </c>
      <c r="K20" s="814" t="s">
        <v>666</v>
      </c>
      <c r="L20" s="784" t="s">
        <v>667</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668</v>
      </c>
      <c r="C21" s="53" t="s">
        <v>1</v>
      </c>
      <c r="D21" s="812" t="s">
        <v>2294</v>
      </c>
      <c r="E21" s="784" t="s">
        <v>670</v>
      </c>
      <c r="F21" s="809">
        <f>'数据-取费表'!B38</f>
        <v>0.02</v>
      </c>
      <c r="G21" s="1594"/>
      <c r="H21" s="2508"/>
      <c r="I21" s="793"/>
      <c r="J21" s="69"/>
      <c r="K21" s="816"/>
      <c r="L21" s="784" t="s">
        <v>671</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672</v>
      </c>
      <c r="C22" s="53"/>
      <c r="D22" s="2574" t="str">
        <f>IF(F23&lt;=1,"单利计息。","复利计息。")&amp;"建造成本、管理费用、销售费用产生的利息。"</f>
        <v>复利计息。建造成本、管理费用、销售费用产生的利息。</v>
      </c>
      <c r="E22" s="3190"/>
      <c r="F22" s="56"/>
      <c r="G22" s="1593"/>
      <c r="H22" s="1650" t="s">
        <v>1883</v>
      </c>
      <c r="I22" s="784" t="s">
        <v>673</v>
      </c>
      <c r="J22" s="53">
        <f ca="1">ROUND(J14*M22,0)</f>
        <v>0</v>
      </c>
      <c r="K22" s="3184" t="s">
        <v>674</v>
      </c>
      <c r="L22" s="784" t="s">
        <v>646</v>
      </c>
      <c r="M22" s="817">
        <f ca="1">INDIRECT("'数据-取费表'!Ak"&amp;$G$1)</f>
        <v>0</v>
      </c>
    </row>
    <row r="23" spans="1:33" s="2066" customFormat="1" ht="18" customHeight="1">
      <c r="A23" s="1649" t="s">
        <v>1825</v>
      </c>
      <c r="B23" s="784" t="s">
        <v>2433</v>
      </c>
      <c r="C23" s="53">
        <f ca="1">ROUND(IF('数据-取费表'!B22&lt;=1,(C19+C20)*F24*F23/2,(C19+C20)*(POWER((1+F24),F23/2)-1)),0)</f>
        <v>0</v>
      </c>
      <c r="D23" s="2573" t="str">
        <f>IF(F23&lt;=1,"(建造成本+管理费用)×利率×(建设周期÷2)","(建造成本+管理费用)×((1+利率)^(建设周期÷2)-1)")</f>
        <v>(建造成本+管理费用)×((1+利率)^(建设周期÷2)-1)</v>
      </c>
      <c r="E23" s="784" t="s">
        <v>675</v>
      </c>
      <c r="F23" s="640">
        <f>'数据-取费表'!B20</f>
        <v>3</v>
      </c>
      <c r="G23" s="1594"/>
      <c r="H23" s="1650" t="s">
        <v>1884</v>
      </c>
      <c r="I23" s="784" t="s">
        <v>676</v>
      </c>
      <c r="J23" s="53">
        <f ca="1">ROUND(J13*M23,0)</f>
        <v>0</v>
      </c>
      <c r="K23" s="3184" t="s">
        <v>677</v>
      </c>
      <c r="L23" s="784" t="s">
        <v>646</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678</v>
      </c>
      <c r="C24" s="53">
        <f ca="1">ROUND(IF('数据-取费表'!B22&lt;=1,F21*F24*F23/2,F21*(POWER((1+F24),F23/2)-1)),4)</f>
        <v>1.4E-3</v>
      </c>
      <c r="D24" s="2573" t="str">
        <f>IF(F23&lt;=1,"销售费用×利率×(建设周期÷2)","销售费用×((1+利率)^(建设周期÷2)-1)")</f>
        <v>销售费用×((1+利率)^(建设周期÷2)-1)</v>
      </c>
      <c r="E24" s="784" t="s">
        <v>679</v>
      </c>
      <c r="F24" s="819">
        <f ca="1">'数据-取费表'!B40</f>
        <v>4.7500000000000001E-2</v>
      </c>
      <c r="G24" s="1594"/>
      <c r="H24" s="2553" t="s">
        <v>1885</v>
      </c>
      <c r="I24" s="2548" t="s">
        <v>663</v>
      </c>
      <c r="J24" s="2546">
        <f ca="1">ROUND(J5*M24,0)</f>
        <v>0</v>
      </c>
      <c r="K24" s="2547" t="s">
        <v>680</v>
      </c>
      <c r="L24" s="2548" t="s">
        <v>646</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682</v>
      </c>
      <c r="E25" s="3190"/>
      <c r="F25" s="56"/>
      <c r="G25" s="1593"/>
      <c r="H25" s="1831" t="s">
        <v>1770</v>
      </c>
      <c r="I25" s="3012" t="s">
        <v>2817</v>
      </c>
      <c r="J25" s="792">
        <f ca="1">J5-J16</f>
        <v>0</v>
      </c>
      <c r="K25" s="2550" t="s">
        <v>697</v>
      </c>
      <c r="L25" s="2551"/>
      <c r="M25" s="2552"/>
    </row>
    <row r="26" spans="1:33" ht="18" customHeight="1">
      <c r="A26" s="1649" t="s">
        <v>1825</v>
      </c>
      <c r="B26" s="784" t="s">
        <v>2434</v>
      </c>
      <c r="C26" s="53">
        <f ca="1">ROUND((C19+C20)*F26,0)</f>
        <v>0</v>
      </c>
      <c r="D26" s="812" t="s">
        <v>698</v>
      </c>
      <c r="E26" s="795" t="s">
        <v>699</v>
      </c>
      <c r="F26" s="794">
        <f ca="1">INDIRECT("'数据-取费表'!q"&amp;$G$1)</f>
        <v>0</v>
      </c>
      <c r="G26" s="1593"/>
      <c r="H26" s="2504" t="s">
        <v>1774</v>
      </c>
      <c r="I26" s="2234" t="s">
        <v>2822</v>
      </c>
      <c r="J26" s="783">
        <f ca="1">IF(J5&lt;&gt;0,ROUND(J25*(1-((1+M28)/(1+M26))^M27)/(M26-M28),0),0)</f>
        <v>0</v>
      </c>
      <c r="K26" s="814" t="s">
        <v>701</v>
      </c>
      <c r="L26" s="784" t="s">
        <v>2415</v>
      </c>
      <c r="M26" s="794">
        <f ca="1">INDIRECT("'数据-取费表'!I"&amp;$G$1)</f>
        <v>0</v>
      </c>
    </row>
    <row r="27" spans="1:33" ht="18" customHeight="1">
      <c r="A27" s="1649" t="s">
        <v>1826</v>
      </c>
      <c r="B27" s="784" t="s">
        <v>683</v>
      </c>
      <c r="C27" s="53">
        <f ca="1">ROUND(F21*F26,4)</f>
        <v>0</v>
      </c>
      <c r="D27" s="812" t="s">
        <v>703</v>
      </c>
      <c r="E27" s="806"/>
      <c r="F27" s="807"/>
      <c r="G27" s="1593"/>
      <c r="H27" s="2505"/>
      <c r="I27" s="787"/>
      <c r="J27" s="788"/>
      <c r="K27" s="821" t="s">
        <v>704</v>
      </c>
      <c r="L27" s="784" t="s">
        <v>705</v>
      </c>
      <c r="M27" s="822">
        <f ca="1">INDIRECT("'数据-取费表'!ag"&amp;$G$1)</f>
        <v>0</v>
      </c>
    </row>
    <row r="28" spans="1:33" s="2066" customFormat="1" ht="18" customHeight="1">
      <c r="A28" s="1651" t="s">
        <v>1835</v>
      </c>
      <c r="B28" s="784" t="s">
        <v>684</v>
      </c>
      <c r="C28" s="53">
        <f>ROUND(F28/(1+'数据-取费表'!C42),4)</f>
        <v>5.2400000000000002E-2</v>
      </c>
      <c r="D28" s="812" t="s">
        <v>2295</v>
      </c>
      <c r="E28" s="784" t="s">
        <v>646</v>
      </c>
      <c r="F28" s="809">
        <f>'数据-取费表'!B41</f>
        <v>5.5000000000000007E-2</v>
      </c>
      <c r="G28" s="1594"/>
      <c r="H28" s="1831"/>
      <c r="I28" s="791"/>
      <c r="J28" s="792"/>
      <c r="K28" s="816"/>
      <c r="L28" s="784" t="s">
        <v>707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685</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7</v>
      </c>
      <c r="B30" s="1829" t="s">
        <v>648</v>
      </c>
      <c r="C30" s="792">
        <f ca="1">ROUND(C31+C36+C37+C38,0)</f>
        <v>0</v>
      </c>
      <c r="D30" s="1823" t="s">
        <v>649</v>
      </c>
      <c r="E30" s="3185"/>
      <c r="F30" s="2493"/>
      <c r="G30" s="2064"/>
      <c r="H30" s="2067"/>
      <c r="I30" s="2068"/>
      <c r="J30" s="2069"/>
      <c r="K30" s="2070"/>
      <c r="L30" s="2071"/>
      <c r="M30" s="2072"/>
    </row>
    <row r="31" spans="1:33" ht="18" customHeight="1">
      <c r="A31" s="1650" t="s">
        <v>1818</v>
      </c>
      <c r="B31" s="784" t="s">
        <v>653</v>
      </c>
      <c r="C31" s="53">
        <f ca="1">ROUND(IF(项目基本情况!B11="自然人",C5*F31,C32+C33+C34),1)</f>
        <v>0</v>
      </c>
      <c r="D31" s="3183" t="s">
        <v>654</v>
      </c>
      <c r="E31" s="3184" t="s">
        <v>687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657</v>
      </c>
      <c r="C32" s="53">
        <f ca="1">ROUND(C5*F32/1.05,1)</f>
        <v>0</v>
      </c>
      <c r="D32" s="3184" t="s">
        <v>658</v>
      </c>
      <c r="E32" s="784" t="s">
        <v>646</v>
      </c>
      <c r="F32" s="809">
        <f>'数据-取费表'!B41</f>
        <v>5.5000000000000007E-2</v>
      </c>
      <c r="G32" s="2064"/>
      <c r="H32" s="2073"/>
      <c r="I32" s="2074"/>
      <c r="J32" s="2075"/>
      <c r="K32" s="2076"/>
      <c r="L32" s="2077"/>
      <c r="M32" s="2078"/>
    </row>
    <row r="33" spans="1:18" ht="18" customHeight="1">
      <c r="A33" s="1649" t="s">
        <v>1826</v>
      </c>
      <c r="B33" s="784" t="s">
        <v>661</v>
      </c>
      <c r="C33" s="53">
        <f ca="1">IF(D33="按租金收入计税",ROUND(C5*F33,1),IF(D33="按房产原值计税",ROUND(C29*F33*0.7,1),INDIRECT("'数据-取费表'!Aj"&amp;$G$1)))</f>
        <v>0</v>
      </c>
      <c r="D33" s="811" t="s">
        <v>1677</v>
      </c>
      <c r="E33" s="784" t="s">
        <v>646</v>
      </c>
      <c r="F33" s="809">
        <f>IF(D33="按租金收入计税",'数据-取费表'!B51,'数据-取费表'!B50)</f>
        <v>1.2E-2</v>
      </c>
      <c r="G33" s="2064"/>
      <c r="H33" s="2079"/>
      <c r="I33" s="2079"/>
      <c r="J33" s="2079"/>
      <c r="K33" s="2080"/>
      <c r="L33" s="2079"/>
      <c r="M33" s="2079"/>
    </row>
    <row r="34" spans="1:18" ht="18" customHeight="1">
      <c r="A34" s="1652" t="s">
        <v>1827</v>
      </c>
      <c r="B34" s="341" t="s">
        <v>665</v>
      </c>
      <c r="C34" s="54">
        <f ca="1">ROUND(F34*F35/10000,1)</f>
        <v>0</v>
      </c>
      <c r="D34" s="814" t="s">
        <v>666</v>
      </c>
      <c r="E34" s="784" t="s">
        <v>667</v>
      </c>
      <c r="F34" s="640">
        <f>'数据-取费表'!B52</f>
        <v>1.5</v>
      </c>
      <c r="G34" s="2064"/>
      <c r="H34" s="2067"/>
      <c r="I34" s="835" t="s">
        <v>1807</v>
      </c>
      <c r="J34" s="836"/>
      <c r="K34" s="2082"/>
      <c r="L34" s="2081"/>
      <c r="M34" s="2081"/>
    </row>
    <row r="35" spans="1:18" ht="18" customHeight="1">
      <c r="A35" s="815"/>
      <c r="B35" s="793"/>
      <c r="C35" s="69"/>
      <c r="D35" s="816"/>
      <c r="E35" s="784" t="s">
        <v>671</v>
      </c>
      <c r="F35" s="785">
        <f ca="1">INDIRECT("'数据-取费表'!r"&amp;$G$1)</f>
        <v>0</v>
      </c>
      <c r="G35" s="2064"/>
      <c r="H35" s="2067"/>
      <c r="I35" s="837" t="s">
        <v>1808</v>
      </c>
      <c r="J35" s="838">
        <f ca="1">ROUND(C13*J36,0)</f>
        <v>0</v>
      </c>
      <c r="K35" s="2080"/>
      <c r="L35" s="2079"/>
      <c r="M35" s="2079"/>
    </row>
    <row r="36" spans="1:18" ht="18" customHeight="1">
      <c r="A36" s="1650" t="s">
        <v>1883</v>
      </c>
      <c r="B36" s="784" t="s">
        <v>673</v>
      </c>
      <c r="C36" s="53">
        <f ca="1">ROUND(C29*F36,1)</f>
        <v>0</v>
      </c>
      <c r="D36" s="3184" t="s">
        <v>688</v>
      </c>
      <c r="E36" s="784" t="s">
        <v>646</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3184" t="s">
        <v>677</v>
      </c>
      <c r="E37" s="784" t="s">
        <v>646</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680</v>
      </c>
      <c r="E38" s="2548" t="s">
        <v>646</v>
      </c>
      <c r="F38" s="2544">
        <f ca="1">INDIRECT("'数据-取费表'!Am"&amp;$G$1)</f>
        <v>0</v>
      </c>
      <c r="G38" s="2064"/>
      <c r="H38" s="2079"/>
      <c r="I38" s="843" t="s">
        <v>1811</v>
      </c>
      <c r="J38" s="844"/>
      <c r="K38" s="2085"/>
      <c r="L38" s="2079"/>
      <c r="M38" s="2079"/>
    </row>
    <row r="39" spans="1:18" ht="24.6" customHeight="1" thickTop="1">
      <c r="A39" s="1831" t="s">
        <v>1770</v>
      </c>
      <c r="B39" s="3012" t="s">
        <v>2817</v>
      </c>
      <c r="C39" s="792">
        <f ca="1">C5-C30</f>
        <v>0</v>
      </c>
      <c r="D39" s="2550" t="s">
        <v>697</v>
      </c>
      <c r="E39" s="2551"/>
      <c r="F39" s="2552"/>
      <c r="G39" s="2064"/>
      <c r="H39" s="2079"/>
      <c r="I39" s="837" t="s">
        <v>1812</v>
      </c>
      <c r="J39" s="845" t="e">
        <f ca="1">ROUND(J35/C39,3)</f>
        <v>#DIV/0!</v>
      </c>
      <c r="K39" s="2085"/>
      <c r="L39" s="2079"/>
      <c r="M39" s="2079"/>
    </row>
    <row r="40" spans="1:18" ht="18" customHeight="1">
      <c r="A40" s="781" t="s">
        <v>1774</v>
      </c>
      <c r="B40" s="2234" t="s">
        <v>2297</v>
      </c>
      <c r="C40" s="783" t="e">
        <f ca="1">ROUND(C39*(1-((1+F42)/(1+F40))^F41)/(F40-F42),0)</f>
        <v>#DIV/0!</v>
      </c>
      <c r="D40" s="814" t="s">
        <v>701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705</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707</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1864</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635</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636</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2971</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31" t="s">
        <v>2963</v>
      </c>
      <c r="L53" s="3532"/>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2296</v>
      </c>
      <c r="C56" s="53">
        <f ca="1">C29</f>
        <v>0</v>
      </c>
      <c r="D56" s="3184"/>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7</v>
      </c>
      <c r="B57" s="798" t="s">
        <v>648</v>
      </c>
      <c r="C57" s="799">
        <f ca="1">ROUND(C58+C63+C64+C65,0)</f>
        <v>0</v>
      </c>
      <c r="D57" s="26" t="s">
        <v>649</v>
      </c>
      <c r="E57" s="3190"/>
      <c r="F57" s="56"/>
      <c r="I57" s="3171" t="s">
        <v>2354</v>
      </c>
      <c r="J57" s="3172" t="str">
        <f ca="1">IF(OR(M47="住宅",J51&lt;L48,J56="是"),"——",J51-L48)</f>
        <v>——</v>
      </c>
      <c r="K57" s="3129" t="s">
        <v>2359</v>
      </c>
      <c r="L57" s="1910">
        <f ca="1">IF(L48&lt;J51,"——",IF(L55="比较法",L49,IF(L55="基准地价",L50,L51)))</f>
        <v>0</v>
      </c>
      <c r="O57" s="2400" t="s">
        <v>2375</v>
      </c>
      <c r="P57" s="2401" t="s">
        <v>2401</v>
      </c>
      <c r="Q57" s="2402" t="e">
        <f ca="1">C40+J29</f>
        <v>#DIV/0!</v>
      </c>
      <c r="R57" s="2401" t="s">
        <v>2376</v>
      </c>
    </row>
    <row r="58" spans="1:18" s="2061" customFormat="1" ht="28.5" customHeight="1" thickBot="1">
      <c r="A58" s="1650" t="s">
        <v>1818</v>
      </c>
      <c r="B58" s="784" t="s">
        <v>653</v>
      </c>
      <c r="C58" s="53">
        <f ca="1">ROUND(IF(项目基本情况!B11="自然人",C47*F58,C59+C60+C61),1)</f>
        <v>0</v>
      </c>
      <c r="D58" s="3183" t="s">
        <v>654</v>
      </c>
      <c r="E58" s="3184"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3184" t="s">
        <v>658</v>
      </c>
      <c r="E59" s="784" t="s">
        <v>646</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661</v>
      </c>
      <c r="C60" s="53">
        <f ca="1">IF(D60="按租金收入计税",ROUND(C47*F60,1),IF(D60="按房产原值计税",ROUND(C56*F60*0.7,1),INDIRECT("'数据-取费表'!Aj"&amp;$G$1)))</f>
        <v>0</v>
      </c>
      <c r="D60" s="3184" t="str">
        <f>D33</f>
        <v>按房产原值计税</v>
      </c>
      <c r="E60" s="784" t="s">
        <v>646</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3184" t="s">
        <v>688</v>
      </c>
      <c r="E63" s="784" t="s">
        <v>646</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3184" t="s">
        <v>677</v>
      </c>
      <c r="E64" s="784" t="s">
        <v>646</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3184" t="s">
        <v>680</v>
      </c>
      <c r="E65" s="784" t="s">
        <v>646</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3183" t="s">
        <v>697</v>
      </c>
      <c r="E66" s="3181"/>
      <c r="F66" s="820"/>
      <c r="K66" s="2088"/>
      <c r="O66" s="2400" t="s">
        <v>2375</v>
      </c>
      <c r="P66" s="2401" t="s">
        <v>2401</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705</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389" t="s">
        <v>2370</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1680</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2454</v>
      </c>
      <c r="C7" s="53">
        <f ca="1">C8+C12+C14</f>
        <v>0</v>
      </c>
      <c r="D7" s="2498" t="s">
        <v>2457</v>
      </c>
      <c r="E7" s="2492"/>
      <c r="F7" s="2493"/>
      <c r="G7" s="1593"/>
      <c r="H7" s="781">
        <v>1</v>
      </c>
      <c r="I7" s="782" t="s">
        <v>2454</v>
      </c>
      <c r="J7" s="53">
        <f ca="1">J8+J12+J14</f>
        <v>0</v>
      </c>
      <c r="K7" s="2498" t="s">
        <v>2457</v>
      </c>
      <c r="L7" s="2492"/>
      <c r="M7" s="2493"/>
    </row>
    <row r="8" spans="1:25" ht="18" customHeight="1">
      <c r="A8" s="1832" t="s">
        <v>1818</v>
      </c>
      <c r="B8" s="3527" t="s">
        <v>2459</v>
      </c>
      <c r="C8" s="1827">
        <f ca="1">ROUND(F8*F10*F9*(1-F11)/10000,0)</f>
        <v>0</v>
      </c>
      <c r="D8" s="1824" t="s">
        <v>2530</v>
      </c>
      <c r="E8" s="61" t="s">
        <v>634</v>
      </c>
      <c r="F8" s="785">
        <f ca="1">INDIRECT("'数据-取费表'!u"&amp;$G$1)</f>
        <v>0</v>
      </c>
      <c r="G8" s="1593"/>
      <c r="H8" s="2506" t="s">
        <v>1818</v>
      </c>
      <c r="I8" s="3527" t="s">
        <v>2459</v>
      </c>
      <c r="J8" s="783">
        <f ca="1">ROUND(M8*M10*M9*(1-M11)/10000,0)</f>
        <v>0</v>
      </c>
      <c r="K8" s="341" t="s">
        <v>2530</v>
      </c>
      <c r="L8" s="784" t="s">
        <v>1732</v>
      </c>
      <c r="M8" s="785">
        <f ca="1">INDIRECT("'数据-取费表'!z"&amp;$G$1)</f>
        <v>0</v>
      </c>
    </row>
    <row r="9" spans="1:25" ht="18" customHeight="1">
      <c r="A9" s="2502"/>
      <c r="B9" s="3528"/>
      <c r="C9" s="1828"/>
      <c r="D9" s="1825"/>
      <c r="E9" s="61" t="s">
        <v>635</v>
      </c>
      <c r="F9" s="785">
        <f ca="1">IF(INDIRECT("'数据-取费表'!ah"&amp;$G$1)="",INDIRECT("'数据-取费表'!k"&amp;$G$1),INDIRECT("'数据-取费表'!ah"&amp;$G$1))</f>
        <v>0</v>
      </c>
      <c r="G9" s="1593"/>
      <c r="H9" s="2491"/>
      <c r="I9" s="3528"/>
      <c r="J9" s="788"/>
      <c r="K9" s="789"/>
      <c r="L9" s="784" t="s">
        <v>1733</v>
      </c>
      <c r="M9" s="785">
        <f ca="1">F9</f>
        <v>0</v>
      </c>
    </row>
    <row r="10" spans="1:25" ht="18" customHeight="1">
      <c r="A10" s="2495"/>
      <c r="B10" s="3529"/>
      <c r="C10" s="1828"/>
      <c r="D10" s="1825"/>
      <c r="E10" s="61" t="s">
        <v>636</v>
      </c>
      <c r="F10" s="785">
        <f ca="1">INDIRECT("'数据-取费表'!ai"&amp;$G$1)</f>
        <v>0</v>
      </c>
      <c r="G10" s="1593"/>
      <c r="H10" s="2491"/>
      <c r="I10" s="3529"/>
      <c r="J10" s="788"/>
      <c r="K10" s="789"/>
      <c r="L10" s="784" t="s">
        <v>1734</v>
      </c>
      <c r="M10" s="785">
        <f ca="1">INDIRECT("'数据-取费表'!ai"&amp;$G$1)</f>
        <v>0</v>
      </c>
    </row>
    <row r="11" spans="1:25" ht="18" customHeight="1">
      <c r="A11" s="786"/>
      <c r="B11" s="3530"/>
      <c r="C11" s="1828"/>
      <c r="D11" s="1825"/>
      <c r="E11" s="61" t="s">
        <v>637</v>
      </c>
      <c r="F11" s="794">
        <f ca="1">INDIRECT("'数据-取费表'!w"&amp;$G$1)</f>
        <v>0</v>
      </c>
      <c r="G11" s="1593"/>
      <c r="H11" s="2507"/>
      <c r="I11" s="3529"/>
      <c r="J11" s="788"/>
      <c r="K11" s="789"/>
      <c r="L11" s="795" t="s">
        <v>1735</v>
      </c>
      <c r="M11" s="796">
        <f ca="1">INDIRECT("'数据-取费表'!ab"&amp;$G$1)</f>
        <v>0</v>
      </c>
    </row>
    <row r="12" spans="1:25" ht="18" customHeight="1">
      <c r="A12" s="1832" t="s">
        <v>1819</v>
      </c>
      <c r="B12" s="2496" t="s">
        <v>2455</v>
      </c>
      <c r="C12" s="799">
        <f ca="1">ROUND(IF(F12="押一",C8/12*F13,IF(F12="押二",C8/12*2*F13,IF(F12="押三",C8/12*3*F13,C13*F13))),0)</f>
        <v>0</v>
      </c>
      <c r="D12" s="2503" t="s">
        <v>2971</v>
      </c>
      <c r="E12" s="2500" t="s">
        <v>2460</v>
      </c>
      <c r="F12" s="2623"/>
      <c r="G12" s="1593"/>
      <c r="H12" s="2563" t="s">
        <v>1819</v>
      </c>
      <c r="I12" s="2568" t="s">
        <v>2455</v>
      </c>
      <c r="J12" s="783">
        <f ca="1">ROUND(IF(M12="押一",J8/12*M13,IF(M12="押二",J8/12*2*M13,IF(M12="押三",J8/12*3*M13,J13*M13))),0)</f>
        <v>0</v>
      </c>
      <c r="K12" s="2503" t="s">
        <v>2971</v>
      </c>
      <c r="L12" s="2500" t="s">
        <v>2460</v>
      </c>
      <c r="M12" s="2623"/>
    </row>
    <row r="13" spans="1:25" ht="18" customHeight="1">
      <c r="A13" s="790"/>
      <c r="B13" s="2497" t="s">
        <v>2569</v>
      </c>
      <c r="C13" s="2501"/>
      <c r="D13" s="789"/>
      <c r="E13" s="2500" t="s">
        <v>2452</v>
      </c>
      <c r="F13" s="796">
        <f ca="1">'数据-取费表'!B39</f>
        <v>1.4999999999999999E-2</v>
      </c>
      <c r="G13" s="1593"/>
      <c r="H13" s="2564"/>
      <c r="I13" s="2497" t="s">
        <v>2569</v>
      </c>
      <c r="J13" s="2501"/>
      <c r="K13" s="2565"/>
      <c r="L13" s="2500" t="s">
        <v>2452</v>
      </c>
      <c r="M13" s="2494">
        <f ca="1">'数据-取费表'!B39</f>
        <v>1.4999999999999999E-2</v>
      </c>
    </row>
    <row r="14" spans="1:25" ht="18" customHeight="1" thickBot="1">
      <c r="A14" s="2539" t="s">
        <v>2463</v>
      </c>
      <c r="B14" s="2540" t="s">
        <v>2456</v>
      </c>
      <c r="C14" s="2541"/>
      <c r="D14" s="2542"/>
      <c r="E14" s="2543"/>
      <c r="F14" s="2544"/>
      <c r="G14" s="1593"/>
      <c r="H14" s="2553" t="s">
        <v>2463</v>
      </c>
      <c r="I14" s="2566" t="s">
        <v>2456</v>
      </c>
      <c r="J14" s="2567"/>
      <c r="K14" s="2542"/>
      <c r="L14" s="2543"/>
      <c r="M14" s="2556"/>
    </row>
    <row r="15" spans="1:25" ht="18" customHeight="1" thickTop="1">
      <c r="A15" s="1831" t="s">
        <v>1868</v>
      </c>
      <c r="B15" s="1829" t="s">
        <v>638</v>
      </c>
      <c r="C15" s="792">
        <f ca="1">ROUND(C31*F15,0)</f>
        <v>0</v>
      </c>
      <c r="D15" s="1836" t="s">
        <v>639</v>
      </c>
      <c r="E15" s="795" t="s">
        <v>640</v>
      </c>
      <c r="F15" s="800">
        <f ca="1">INDIRECT("'数据-取费表'!y"&amp;$G$1)</f>
        <v>0</v>
      </c>
      <c r="G15" s="1593"/>
      <c r="H15" s="1831" t="s">
        <v>1820</v>
      </c>
      <c r="I15" s="1829" t="s">
        <v>641</v>
      </c>
      <c r="J15" s="1821">
        <f ca="1">ROUND(J16*J17,0)</f>
        <v>0</v>
      </c>
      <c r="K15" s="1823" t="s">
        <v>639</v>
      </c>
      <c r="L15" s="801"/>
      <c r="M15" s="802"/>
    </row>
    <row r="16" spans="1:25" ht="18" customHeight="1">
      <c r="A16" s="803" t="s">
        <v>1869</v>
      </c>
      <c r="B16" s="784" t="s">
        <v>642</v>
      </c>
      <c r="C16" s="804">
        <f ca="1">INDIRECT("'数据-取费表'!m"&amp;$G$1)+INDIRECT("'数据-取费表'!t"&amp;$G$1)</f>
        <v>0</v>
      </c>
      <c r="D16" s="1981" t="s">
        <v>643</v>
      </c>
      <c r="E16" s="1982"/>
      <c r="F16" s="805"/>
      <c r="G16" s="1593"/>
      <c r="H16" s="803" t="s">
        <v>2065</v>
      </c>
      <c r="I16" s="2233" t="s">
        <v>2820</v>
      </c>
      <c r="J16" s="53">
        <f ca="1">C31</f>
        <v>0</v>
      </c>
      <c r="K16" s="26"/>
      <c r="L16" s="801"/>
      <c r="M16" s="802"/>
    </row>
    <row r="17" spans="1:25" s="2066" customFormat="1" ht="18" customHeight="1">
      <c r="A17" s="803" t="s">
        <v>1843</v>
      </c>
      <c r="B17" s="784" t="s">
        <v>644</v>
      </c>
      <c r="C17" s="53">
        <f ca="1">ROUND(C16*F17,0)</f>
        <v>0</v>
      </c>
      <c r="D17" s="806" t="s">
        <v>645</v>
      </c>
      <c r="E17" s="806" t="s">
        <v>646</v>
      </c>
      <c r="F17" s="807">
        <f>'数据-取费表'!B33</f>
        <v>0.03</v>
      </c>
      <c r="G17" s="1594"/>
      <c r="H17" s="803" t="s">
        <v>2066</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1844</v>
      </c>
      <c r="B18" s="784" t="s">
        <v>647</v>
      </c>
      <c r="C18" s="53">
        <f ca="1">ROUND(INDIRECT("'数据-取费表'!m"&amp;$G$1)*F18,0)</f>
        <v>0</v>
      </c>
      <c r="D18" s="784" t="s">
        <v>645</v>
      </c>
      <c r="E18" s="784" t="s">
        <v>646</v>
      </c>
      <c r="F18" s="809">
        <f ca="1">IF(INDIRECT("'数据-取费表'!c"&amp;$G$1)="住宅",'数据-取费表'!B34,0)</f>
        <v>0</v>
      </c>
      <c r="G18" s="1593"/>
      <c r="H18" s="797" t="s">
        <v>1821</v>
      </c>
      <c r="I18" s="798" t="s">
        <v>648</v>
      </c>
      <c r="J18" s="799">
        <f ca="1">ROUND(J19+J24+J25+J26,0)</f>
        <v>0</v>
      </c>
      <c r="K18" s="26" t="s">
        <v>649</v>
      </c>
      <c r="L18" s="1984"/>
      <c r="M18" s="56"/>
    </row>
    <row r="19" spans="1:25" s="2066" customFormat="1" ht="18" customHeight="1">
      <c r="A19" s="803" t="s">
        <v>1845</v>
      </c>
      <c r="B19" s="784" t="s">
        <v>650</v>
      </c>
      <c r="C19" s="53">
        <f ca="1">ROUND(F19*(INDIRECT("'数据-取费表'!k"&amp;$G$1)+INDIRECT("'数据-取费表'!S"&amp;$G$1))/10000,0)</f>
        <v>0</v>
      </c>
      <c r="D19" s="784" t="s">
        <v>651</v>
      </c>
      <c r="E19" s="784" t="s">
        <v>652</v>
      </c>
      <c r="F19" s="56">
        <f>'数据-取费表'!B35</f>
        <v>200</v>
      </c>
      <c r="G19" s="1594"/>
      <c r="H19" s="803" t="s">
        <v>2065</v>
      </c>
      <c r="I19" s="784" t="s">
        <v>653</v>
      </c>
      <c r="J19" s="53">
        <f ca="1">ROUND(IF(项目基本情况!B11="自然人",J7*M19,J20+J21+J22),0)</f>
        <v>0</v>
      </c>
      <c r="K19" s="1981" t="s">
        <v>654</v>
      </c>
      <c r="L19" s="1979" t="s">
        <v>655</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1846</v>
      </c>
      <c r="B20" s="784" t="s">
        <v>656</v>
      </c>
      <c r="C20" s="53">
        <f ca="1">ROUND(C16*F20,0)</f>
        <v>0</v>
      </c>
      <c r="D20" s="784" t="s">
        <v>645</v>
      </c>
      <c r="E20" s="784" t="s">
        <v>646</v>
      </c>
      <c r="F20" s="809">
        <f>'数据-取费表'!B36</f>
        <v>1.4999999999999999E-2</v>
      </c>
      <c r="G20" s="1594"/>
      <c r="H20" s="803" t="s">
        <v>1825</v>
      </c>
      <c r="I20" s="784" t="s">
        <v>657</v>
      </c>
      <c r="J20" s="53">
        <f ca="1">ROUND(J7*M20/1.05,1)</f>
        <v>0</v>
      </c>
      <c r="K20" s="1979" t="s">
        <v>658</v>
      </c>
      <c r="L20" s="784" t="s">
        <v>646</v>
      </c>
      <c r="M20" s="809">
        <f>'数据-取费表'!B41</f>
        <v>5.5000000000000007E-2</v>
      </c>
      <c r="N20" s="2065"/>
      <c r="O20" s="2065"/>
      <c r="P20" s="2065"/>
      <c r="Q20" s="2065"/>
      <c r="R20" s="2065"/>
      <c r="S20" s="2065"/>
      <c r="T20" s="2065"/>
      <c r="U20" s="2065"/>
      <c r="V20" s="2065"/>
      <c r="W20" s="2065"/>
      <c r="X20" s="2065"/>
      <c r="Y20" s="2065"/>
    </row>
    <row r="21" spans="1:25" ht="18" customHeight="1">
      <c r="A21" s="803" t="s">
        <v>1870</v>
      </c>
      <c r="B21" s="784" t="s">
        <v>659</v>
      </c>
      <c r="C21" s="53">
        <f ca="1">SUM(C16:C20)</f>
        <v>0</v>
      </c>
      <c r="D21" s="261" t="s">
        <v>660</v>
      </c>
      <c r="E21" s="1984"/>
      <c r="F21" s="56"/>
      <c r="G21" s="1593"/>
      <c r="H21" s="1832" t="s">
        <v>1843</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1871</v>
      </c>
      <c r="B22" s="784" t="s">
        <v>663</v>
      </c>
      <c r="C22" s="53">
        <f ca="1">ROUND(C21*F22,0)</f>
        <v>0</v>
      </c>
      <c r="D22" s="812" t="s">
        <v>664</v>
      </c>
      <c r="E22" s="784" t="s">
        <v>646</v>
      </c>
      <c r="F22" s="809">
        <f>'数据-取费表'!B37</f>
        <v>0.02</v>
      </c>
      <c r="G22" s="1594"/>
      <c r="H22" s="1834" t="s">
        <v>1844</v>
      </c>
      <c r="I22" s="1824" t="s">
        <v>665</v>
      </c>
      <c r="J22" s="54">
        <f ca="1">ROUND(M22*M23/10000,0)</f>
        <v>0</v>
      </c>
      <c r="K22" s="814" t="s">
        <v>666</v>
      </c>
      <c r="L22" s="784" t="s">
        <v>667</v>
      </c>
      <c r="M22" s="640">
        <f>'数据-取费表'!B52</f>
        <v>1.5</v>
      </c>
      <c r="N22" s="2065"/>
      <c r="O22" s="2065"/>
      <c r="P22" s="2065"/>
      <c r="Q22" s="2065"/>
      <c r="R22" s="2065"/>
      <c r="S22" s="2065"/>
      <c r="T22" s="2065"/>
      <c r="U22" s="2065"/>
      <c r="V22" s="2065"/>
      <c r="W22" s="2065"/>
      <c r="X22" s="2065"/>
      <c r="Y22" s="2065"/>
    </row>
    <row r="23" spans="1:25" s="2066" customFormat="1" ht="18" customHeight="1">
      <c r="A23" s="803" t="s">
        <v>1872</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1873</v>
      </c>
      <c r="B24" s="784" t="s">
        <v>672</v>
      </c>
      <c r="C24" s="53"/>
      <c r="D24" s="2574" t="str">
        <f>IF(F25&lt;=1,"单利计息。","复利计息。")&amp;"建造成本、管理费用、销售费用产生的利息。"</f>
        <v>复利计息。建造成本、管理费用、销售费用产生的利息。</v>
      </c>
      <c r="E24" s="1984"/>
      <c r="F24" s="56"/>
      <c r="G24" s="1593"/>
      <c r="H24" s="1833" t="s">
        <v>2066</v>
      </c>
      <c r="I24" s="784" t="s">
        <v>673</v>
      </c>
      <c r="J24" s="53">
        <f ca="1">ROUND(J16*M24,0)</f>
        <v>0</v>
      </c>
      <c r="K24" s="1979" t="s">
        <v>674</v>
      </c>
      <c r="L24" s="784" t="s">
        <v>646</v>
      </c>
      <c r="M24" s="817">
        <f ca="1">INDIRECT("'数据-取费表'!Ak"&amp;$G$1)</f>
        <v>0</v>
      </c>
    </row>
    <row r="25" spans="1:25" s="2066" customFormat="1" ht="18" customHeight="1">
      <c r="A25" s="803" t="s">
        <v>1869</v>
      </c>
      <c r="B25" s="784" t="s">
        <v>2433</v>
      </c>
      <c r="C25" s="53">
        <f ca="1">ROUND(IF('数据-取费表'!B22&lt;=1,(C21+C22)*F26*F25/2,(C21+C22)*(POWER((1+F26),F25/2)-1)),0)</f>
        <v>0</v>
      </c>
      <c r="D25" s="2573" t="str">
        <f>IF(F25&lt;=1,"(建造成本+管理费用)×利率×(建设周期÷2)","(建造成本+管理费用)×((1+利率)^(建设周期÷2)-1)")</f>
        <v>(建造成本+管理费用)×((1+利率)^(建设周期÷2)-1)</v>
      </c>
      <c r="E25" s="784" t="s">
        <v>675</v>
      </c>
      <c r="F25" s="640">
        <f>'数据-取费表'!B20</f>
        <v>3</v>
      </c>
      <c r="G25" s="1594"/>
      <c r="H25" s="803" t="s">
        <v>1872</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1843</v>
      </c>
      <c r="B26" s="784" t="s">
        <v>678</v>
      </c>
      <c r="C26" s="53">
        <f ca="1">ROUND(IF('数据-取费表'!B22&lt;=1,F23*F26*F25/2,F23*(POWER((1+F26),F25/2)-1)),4)</f>
        <v>1.4E-3</v>
      </c>
      <c r="D26" s="2573" t="str">
        <f>IF(F25&lt;=1,"销售费用×利率×(建设周期÷2)","销售费用×((1+利率)^(建设周期÷2)-1)")</f>
        <v>销售费用×((1+利率)^(建设周期÷2)-1)</v>
      </c>
      <c r="E26" s="784" t="s">
        <v>679</v>
      </c>
      <c r="F26" s="819">
        <f ca="1">'数据-取费表'!B40</f>
        <v>4.7500000000000001E-2</v>
      </c>
      <c r="G26" s="1594"/>
      <c r="H26" s="803" t="s">
        <v>1873</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1875</v>
      </c>
      <c r="B27" s="784" t="s">
        <v>681</v>
      </c>
      <c r="C27" s="53"/>
      <c r="D27" s="261" t="s">
        <v>682</v>
      </c>
      <c r="E27" s="1984"/>
      <c r="F27" s="56"/>
      <c r="G27" s="1593"/>
      <c r="H27" s="797" t="s">
        <v>1822</v>
      </c>
      <c r="I27" s="3013" t="s">
        <v>2817</v>
      </c>
      <c r="J27" s="799">
        <f ca="1">J7-J18</f>
        <v>0</v>
      </c>
      <c r="K27" s="1981" t="s">
        <v>697</v>
      </c>
      <c r="L27" s="1983"/>
      <c r="M27" s="820"/>
    </row>
    <row r="28" spans="1:25" ht="18" customHeight="1">
      <c r="A28" s="803" t="s">
        <v>1869</v>
      </c>
      <c r="B28" s="784" t="s">
        <v>2434</v>
      </c>
      <c r="C28" s="53">
        <f ca="1">ROUND((C21+C22)*F28,0)</f>
        <v>0</v>
      </c>
      <c r="D28" s="812" t="s">
        <v>698</v>
      </c>
      <c r="E28" s="795" t="s">
        <v>699</v>
      </c>
      <c r="F28" s="794">
        <f ca="1">INDIRECT("'数据-取费表'!q"&amp;$G$1)</f>
        <v>0</v>
      </c>
      <c r="G28" s="1593"/>
      <c r="H28" s="781" t="s">
        <v>1831</v>
      </c>
      <c r="I28" s="782" t="s">
        <v>700</v>
      </c>
      <c r="J28" s="783">
        <f ca="1">IF(J7&lt;&gt;0,ROUND(J27*(1-((1+M30)/(1+M28))^M29)/(M28-M30),0),0)</f>
        <v>0</v>
      </c>
      <c r="K28" s="814" t="s">
        <v>701</v>
      </c>
      <c r="L28" s="784" t="s">
        <v>702</v>
      </c>
      <c r="M28" s="794">
        <f ca="1">INDIRECT("'数据-取费表'!I"&amp;$G$1)</f>
        <v>0</v>
      </c>
    </row>
    <row r="29" spans="1:25" ht="18" customHeight="1">
      <c r="A29" s="803" t="s">
        <v>1843</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6" customFormat="1" ht="18" customHeight="1">
      <c r="A30" s="803" t="s">
        <v>1876</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1877</v>
      </c>
      <c r="B31" s="2543" t="s">
        <v>2818</v>
      </c>
      <c r="C31" s="2546">
        <f ca="1">ROUND((C21+C22+C25+C28)/(1-F23-C26-C29-C30),0)</f>
        <v>0</v>
      </c>
      <c r="D31" s="2547"/>
      <c r="E31" s="2548"/>
      <c r="F31" s="2549"/>
      <c r="G31" s="1594"/>
      <c r="H31" s="823" t="s">
        <v>1866</v>
      </c>
      <c r="I31" s="3014" t="s">
        <v>2819</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489"/>
      <c r="F32" s="2493"/>
      <c r="G32" s="2064"/>
      <c r="H32" s="2067"/>
      <c r="I32" s="2068"/>
      <c r="J32" s="2069"/>
      <c r="K32" s="2070"/>
      <c r="L32" s="2071"/>
      <c r="M32" s="2072"/>
    </row>
    <row r="33" spans="1:18" ht="18" customHeight="1">
      <c r="A33" s="803" t="s">
        <v>1870</v>
      </c>
      <c r="B33" s="784" t="s">
        <v>653</v>
      </c>
      <c r="C33" s="53">
        <f ca="1">ROUND(IF(项目基本情况!B11="自然人",C7*F33,C34+C35+C36),1)</f>
        <v>0</v>
      </c>
      <c r="D33" s="1981" t="s">
        <v>654</v>
      </c>
      <c r="E33" s="1979" t="s">
        <v>687</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1869</v>
      </c>
      <c r="B34" s="784" t="s">
        <v>657</v>
      </c>
      <c r="C34" s="53">
        <f ca="1">ROUND(C7*F34/1.05,1)</f>
        <v>0</v>
      </c>
      <c r="D34" s="1979" t="s">
        <v>658</v>
      </c>
      <c r="E34" s="784" t="s">
        <v>646</v>
      </c>
      <c r="F34" s="809">
        <f>'数据-取费表'!B41</f>
        <v>5.5000000000000007E-2</v>
      </c>
      <c r="G34" s="2064"/>
      <c r="H34" s="2073"/>
      <c r="I34" s="2074"/>
      <c r="J34" s="2075"/>
      <c r="K34" s="2076"/>
      <c r="L34" s="2077"/>
      <c r="M34" s="2078"/>
    </row>
    <row r="35" spans="1:18" ht="18" customHeight="1">
      <c r="A35" s="803" t="s">
        <v>1843</v>
      </c>
      <c r="B35" s="784" t="s">
        <v>661</v>
      </c>
      <c r="C35" s="53">
        <f ca="1">IF(D35="按租金收入计税",ROUND(C7*F35,1),IF(D35="按房产原值计税",ROUND(C31*F35*0.7,1),INDIRECT("'数据-取费表'!Aj"&amp;$G$1)))</f>
        <v>0</v>
      </c>
      <c r="D35" s="811" t="s">
        <v>1677</v>
      </c>
      <c r="E35" s="784" t="s">
        <v>646</v>
      </c>
      <c r="F35" s="809">
        <f>IF(D35="按租金收入计税",'数据-取费表'!B51,'数据-取费表'!B50)</f>
        <v>1.2E-2</v>
      </c>
      <c r="G35" s="2064"/>
      <c r="H35" s="2079"/>
      <c r="I35" s="2079"/>
      <c r="J35" s="2079"/>
      <c r="K35" s="2080"/>
      <c r="L35" s="2079"/>
      <c r="M35" s="2079"/>
    </row>
    <row r="36" spans="1:18" ht="18" customHeight="1">
      <c r="A36" s="813" t="s">
        <v>1874</v>
      </c>
      <c r="B36" s="341" t="s">
        <v>665</v>
      </c>
      <c r="C36" s="54">
        <f ca="1">ROUND(F36*F37/10000,1)</f>
        <v>0</v>
      </c>
      <c r="D36" s="814" t="s">
        <v>666</v>
      </c>
      <c r="E36" s="784" t="s">
        <v>667</v>
      </c>
      <c r="F36" s="640">
        <f>'数据-取费表'!B52</f>
        <v>1.5</v>
      </c>
      <c r="G36" s="2064"/>
      <c r="H36" s="2067"/>
      <c r="I36" s="3533"/>
      <c r="J36" s="2081"/>
      <c r="K36" s="2082"/>
      <c r="L36" s="2081"/>
      <c r="M36" s="2081"/>
    </row>
    <row r="37" spans="1:18" ht="18" customHeight="1">
      <c r="A37" s="815"/>
      <c r="B37" s="793"/>
      <c r="C37" s="69"/>
      <c r="D37" s="816"/>
      <c r="E37" s="784" t="s">
        <v>671</v>
      </c>
      <c r="F37" s="785">
        <f ca="1">INDIRECT("'数据-取费表'!r"&amp;$G$1)</f>
        <v>0</v>
      </c>
      <c r="G37" s="2064"/>
      <c r="H37" s="2067"/>
      <c r="I37" s="3533"/>
      <c r="J37" s="2079"/>
      <c r="K37" s="2080"/>
      <c r="L37" s="2079"/>
      <c r="M37" s="2079"/>
    </row>
    <row r="38" spans="1:18" ht="18" customHeight="1">
      <c r="A38" s="803" t="s">
        <v>1871</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1872</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62" t="s">
        <v>1873</v>
      </c>
      <c r="B40" s="2548" t="s">
        <v>663</v>
      </c>
      <c r="C40" s="2546">
        <f ca="1">ROUND(C7*F40,1)</f>
        <v>0</v>
      </c>
      <c r="D40" s="2547" t="s">
        <v>680</v>
      </c>
      <c r="E40" s="2548" t="s">
        <v>646</v>
      </c>
      <c r="F40" s="2544">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1870</v>
      </c>
      <c r="B42" s="835" t="s">
        <v>690</v>
      </c>
      <c r="C42" s="829">
        <f ca="1">C7-C32</f>
        <v>0</v>
      </c>
      <c r="D42" s="1981" t="s">
        <v>691</v>
      </c>
      <c r="E42" s="1983"/>
      <c r="F42" s="820"/>
      <c r="G42" s="2064"/>
      <c r="H42" s="2064"/>
      <c r="I42" s="2064"/>
      <c r="J42" s="2064"/>
      <c r="K42" s="2085"/>
      <c r="L42" s="2064"/>
      <c r="M42" s="2064"/>
    </row>
    <row r="43" spans="1:18" ht="18" customHeight="1">
      <c r="A43" s="803" t="s">
        <v>1871</v>
      </c>
      <c r="B43" s="835" t="s">
        <v>708</v>
      </c>
      <c r="C43" s="836">
        <f ca="1">ROUND(C15*F43,0)</f>
        <v>0</v>
      </c>
      <c r="D43" s="1356" t="s">
        <v>709</v>
      </c>
      <c r="E43" s="3125" t="s">
        <v>2959</v>
      </c>
      <c r="F43" s="3126">
        <f ca="1">INDIRECT("'数据-取费表'!j"&amp;$G$1)</f>
        <v>0</v>
      </c>
      <c r="G43" s="2064"/>
      <c r="H43" s="2064"/>
      <c r="I43" s="2064"/>
      <c r="J43" s="2064"/>
      <c r="K43" s="2085"/>
      <c r="L43" s="2064"/>
      <c r="M43" s="2064"/>
    </row>
    <row r="44" spans="1:18" ht="18" customHeight="1">
      <c r="A44" s="803" t="s">
        <v>1872</v>
      </c>
      <c r="B44" s="835" t="s">
        <v>710</v>
      </c>
      <c r="C44" s="1357">
        <f ca="1">C42-C43</f>
        <v>0</v>
      </c>
      <c r="D44" s="463" t="s">
        <v>711</v>
      </c>
      <c r="E44" s="464"/>
      <c r="F44" s="465"/>
      <c r="G44" s="2064"/>
      <c r="H44" s="2064"/>
      <c r="I44" s="2064"/>
      <c r="J44" s="2064"/>
      <c r="K44" s="2085"/>
      <c r="L44" s="2064"/>
      <c r="M44" s="2064"/>
    </row>
    <row r="45" spans="1:18" ht="18" customHeight="1">
      <c r="A45" s="803" t="s">
        <v>1873</v>
      </c>
      <c r="B45" s="1356" t="s">
        <v>712</v>
      </c>
      <c r="C45" s="3040">
        <f ca="1">ROUND(-PV(F45,F46,C44,0),0)</f>
        <v>0</v>
      </c>
      <c r="D45" s="1358" t="s">
        <v>713</v>
      </c>
      <c r="E45" s="806" t="s">
        <v>714</v>
      </c>
      <c r="F45" s="830">
        <f ca="1">INDIRECT("'数据-取费表'!h"&amp;$G$1)</f>
        <v>0</v>
      </c>
      <c r="G45" s="2064"/>
      <c r="H45" s="2064"/>
      <c r="I45" s="2064"/>
      <c r="J45" s="2064"/>
      <c r="K45" s="2085"/>
      <c r="L45" s="2064"/>
      <c r="M45" s="2064"/>
    </row>
    <row r="46" spans="1:18" ht="18" customHeight="1" thickBot="1">
      <c r="A46" s="831"/>
      <c r="B46" s="1359"/>
      <c r="C46" s="1360"/>
      <c r="D46" s="1361"/>
      <c r="E46" s="3127"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3163" t="e">
        <f ca="1">IF(M48="住宅",0,IF(L49&gt;J52,L61,J61))</f>
        <v>#DIV/0!</v>
      </c>
      <c r="O47" s="2396" t="s">
        <v>2406</v>
      </c>
      <c r="P47" s="1593"/>
      <c r="Q47" s="1605"/>
      <c r="R47" s="1593"/>
    </row>
    <row r="48" spans="1:18" s="2061" customFormat="1" ht="18" customHeight="1" thickBot="1">
      <c r="A48" s="2086"/>
      <c r="C48" s="2089"/>
      <c r="D48" s="2090"/>
      <c r="E48" s="2090"/>
      <c r="F48" s="2091"/>
      <c r="G48" s="2092"/>
      <c r="I48" s="3153" t="s">
        <v>2340</v>
      </c>
      <c r="J48" s="2383"/>
      <c r="K48" s="3160" t="s">
        <v>2345</v>
      </c>
      <c r="L48" s="3164">
        <f ca="1">INDIRECT("'数据-取费表'!d"&amp;$G$1)</f>
        <v>40</v>
      </c>
      <c r="M48" s="3124" t="str">
        <f>IF(ISNUMBER(FIND("住宅",C1)),"住宅","非住宅")</f>
        <v>非住宅</v>
      </c>
      <c r="O48" s="2397" t="s">
        <v>2371</v>
      </c>
      <c r="P48" s="2398" t="s">
        <v>2372</v>
      </c>
      <c r="Q48" s="2399" t="s">
        <v>2373</v>
      </c>
      <c r="R48" s="2398" t="s">
        <v>2374</v>
      </c>
    </row>
    <row r="49" spans="1:18" s="2061" customFormat="1" ht="18" customHeight="1" thickBot="1">
      <c r="A49" s="2086"/>
      <c r="D49" s="2093"/>
      <c r="E49" s="2094"/>
      <c r="F49" s="2091"/>
      <c r="G49" s="2092"/>
      <c r="H49" s="2095"/>
      <c r="I49" s="3129" t="s">
        <v>2341</v>
      </c>
      <c r="J49" s="2384"/>
      <c r="K49" s="3161" t="s">
        <v>2347</v>
      </c>
      <c r="L49" s="1910">
        <f ca="1">INDIRECT("'数据-取费表'!f"&amp;$G$1)</f>
        <v>40</v>
      </c>
      <c r="O49" s="2400" t="s">
        <v>2375</v>
      </c>
      <c r="P49" s="2401" t="s">
        <v>2401</v>
      </c>
      <c r="Q49" s="2402">
        <f ca="1">C41+J31</f>
        <v>0</v>
      </c>
      <c r="R49" s="2401" t="s">
        <v>2376</v>
      </c>
    </row>
    <row r="50" spans="1:18" s="2061" customFormat="1" ht="18" customHeight="1" thickBot="1">
      <c r="A50" s="2086"/>
      <c r="D50" s="2096"/>
      <c r="E50" s="2096"/>
      <c r="F50" s="2090"/>
      <c r="G50" s="2097"/>
      <c r="H50" s="2095"/>
      <c r="I50" s="3129" t="s">
        <v>2342</v>
      </c>
      <c r="J50" s="2385"/>
      <c r="K50" s="3162" t="s">
        <v>2348</v>
      </c>
      <c r="L50" s="2386"/>
      <c r="O50" s="2400" t="s">
        <v>2377</v>
      </c>
      <c r="P50" s="2401" t="s">
        <v>2402</v>
      </c>
      <c r="Q50" s="2402" t="str">
        <f ca="1">J61</f>
        <v>0</v>
      </c>
      <c r="R50" s="2401" t="s">
        <v>2378</v>
      </c>
    </row>
    <row r="51" spans="1:18" s="2061" customFormat="1" ht="18" customHeight="1" thickBot="1">
      <c r="A51" s="2098"/>
      <c r="D51" s="2096"/>
      <c r="E51" s="2096"/>
      <c r="F51" s="2087"/>
      <c r="H51" s="2095"/>
      <c r="I51" s="3129" t="s">
        <v>2343</v>
      </c>
      <c r="J51" s="3157">
        <f>SUMPRODUCT((I64:I66=J48)*(J63:L63=J49)*(J64:L66))</f>
        <v>0</v>
      </c>
      <c r="K51" s="3162" t="s">
        <v>2349</v>
      </c>
      <c r="L51" s="2386"/>
      <c r="O51" s="2403" t="s">
        <v>2379</v>
      </c>
      <c r="P51" s="2401" t="s">
        <v>2403</v>
      </c>
      <c r="Q51" s="2402">
        <f ca="1">C31</f>
        <v>0</v>
      </c>
      <c r="R51" s="2401" t="s">
        <v>2376</v>
      </c>
    </row>
    <row r="52" spans="1:18" s="2061" customFormat="1" ht="18" customHeight="1" thickBot="1">
      <c r="A52" s="2098"/>
      <c r="F52" s="2087"/>
      <c r="I52" s="3154" t="s">
        <v>2344</v>
      </c>
      <c r="J52" s="3158">
        <f>IF(J50="",J51,J50+J51-YEAR('数据-取费表'!B3))</f>
        <v>0</v>
      </c>
      <c r="K52" s="3129" t="s">
        <v>2350</v>
      </c>
      <c r="L52" s="3165">
        <f ca="1">ROUND(-PV(INDIRECT("'数据-取费表'!h"&amp;$G$1),L49,(C40-C14*J36),0),0)</f>
        <v>0</v>
      </c>
      <c r="O52" s="2403" t="s">
        <v>2380</v>
      </c>
      <c r="P52" s="2401" t="s">
        <v>2381</v>
      </c>
      <c r="Q52" s="2404" t="e">
        <f ca="1">J59</f>
        <v>#VALUE!</v>
      </c>
      <c r="R52" s="2405"/>
    </row>
    <row r="53" spans="1:18" s="2061" customFormat="1" ht="18" customHeight="1" thickBot="1">
      <c r="A53" s="2098"/>
      <c r="F53" s="2087"/>
      <c r="I53" s="3155" t="s">
        <v>2417</v>
      </c>
      <c r="J53" s="2387"/>
      <c r="K53" s="3155" t="s">
        <v>2416</v>
      </c>
      <c r="L53" s="2387"/>
      <c r="O53" s="2403" t="s">
        <v>2382</v>
      </c>
      <c r="P53" s="2401" t="s">
        <v>2383</v>
      </c>
      <c r="Q53" s="2404">
        <f>J53</f>
        <v>0</v>
      </c>
      <c r="R53" s="2405"/>
    </row>
    <row r="54" spans="1:18" s="2061" customFormat="1" ht="29.25" thickBot="1">
      <c r="A54" s="2098"/>
      <c r="I54" s="3156" t="s">
        <v>2976</v>
      </c>
      <c r="J54" s="3159">
        <f ca="1">IF(M48="住宅",MAX(J52,L49-'数据-取费表'!B20),MIN(J52,L49-'数据-取费表'!B20))</f>
        <v>0</v>
      </c>
      <c r="K54" s="3534"/>
      <c r="L54" s="3535"/>
      <c r="O54" s="2403" t="s">
        <v>2384</v>
      </c>
      <c r="P54" s="2401" t="s">
        <v>2385</v>
      </c>
      <c r="Q54" s="2402">
        <f ca="1">J54</f>
        <v>0</v>
      </c>
      <c r="R54" s="2401" t="s">
        <v>2386</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2387</v>
      </c>
      <c r="P55" s="2401" t="s">
        <v>2404</v>
      </c>
      <c r="Q55" s="2402">
        <f ca="1">Q49+Q50</f>
        <v>0</v>
      </c>
      <c r="R55" s="2405" t="s">
        <v>2388</v>
      </c>
    </row>
    <row r="56" spans="1:18" s="2061" customFormat="1" ht="16.5" thickBot="1">
      <c r="A56" s="2098"/>
      <c r="B56" s="2099"/>
      <c r="C56" s="2099"/>
      <c r="I56" s="3168" t="s">
        <v>2351</v>
      </c>
      <c r="J56" s="3104" t="e">
        <f ca="1">ROUND(IF(J48="钢混",J58/J51,1-(1-2%)*(J51-J58)/J51),3)</f>
        <v>#VALUE!</v>
      </c>
      <c r="K56" s="3169" t="s">
        <v>2352</v>
      </c>
      <c r="L56" s="2388"/>
      <c r="O56" s="2406" t="s">
        <v>2407</v>
      </c>
      <c r="P56" s="1593"/>
      <c r="Q56" s="1605"/>
      <c r="R56" s="1593"/>
    </row>
    <row r="57" spans="1:18" s="2061" customFormat="1" ht="43.5" thickBot="1">
      <c r="A57" s="2098"/>
      <c r="B57" s="2099"/>
      <c r="C57" s="2099"/>
      <c r="I57" s="3170" t="s">
        <v>2353</v>
      </c>
      <c r="J57" s="3180" t="s">
        <v>1675</v>
      </c>
      <c r="K57" s="3129" t="s">
        <v>2358</v>
      </c>
      <c r="L57" s="1910">
        <f ca="1">IF(L49&lt;J52,"——",L49-J52)</f>
        <v>40</v>
      </c>
      <c r="O57" s="2397" t="s">
        <v>2371</v>
      </c>
      <c r="P57" s="2398" t="s">
        <v>2372</v>
      </c>
      <c r="Q57" s="2399" t="s">
        <v>2373</v>
      </c>
      <c r="R57" s="2398" t="s">
        <v>2374</v>
      </c>
    </row>
    <row r="58" spans="1:18" s="2061" customFormat="1" ht="29.25" thickBot="1">
      <c r="A58" s="2098"/>
      <c r="B58" s="2099"/>
      <c r="C58" s="2099"/>
      <c r="I58" s="3171" t="s">
        <v>2354</v>
      </c>
      <c r="J58" s="3172" t="str">
        <f ca="1">IF(OR(M48="住宅",J52&lt;L49,J57="是"),"——",J52-L49)</f>
        <v>——</v>
      </c>
      <c r="K58" s="3129" t="s">
        <v>2359</v>
      </c>
      <c r="L58" s="1910">
        <f ca="1">IF(L49&lt;J52,"——",IF(L56="比较法",L50,IF(L56="基准地价",L51,L52)))</f>
        <v>0</v>
      </c>
      <c r="O58" s="2400" t="s">
        <v>2375</v>
      </c>
      <c r="P58" s="2401" t="s">
        <v>2401</v>
      </c>
      <c r="Q58" s="2402">
        <f ca="1">C41+J31</f>
        <v>0</v>
      </c>
      <c r="R58" s="2401" t="s">
        <v>2376</v>
      </c>
    </row>
    <row r="59" spans="1:18" s="2061" customFormat="1" ht="29.25" thickBot="1">
      <c r="A59" s="2098"/>
      <c r="B59" s="2099"/>
      <c r="C59" s="2099"/>
      <c r="I59" s="3171" t="s">
        <v>2355</v>
      </c>
      <c r="J59" s="3105" t="e">
        <f ca="1">IF(J56&lt;0.4,0.4,J56)</f>
        <v>#VALUE!</v>
      </c>
      <c r="K59" s="3129" t="s">
        <v>2360</v>
      </c>
      <c r="L59" s="1910">
        <f ca="1">IF(ISERROR(POWER(1+L53,L48-L49)*(POWER(1+L53,L49)-1)/(POWER(1+L53,L48)-1)),0,POWER(1+L53,L48-L49)*(POWER(1+L53,L49)-1)/(POWER(1+L53,L48)-1))</f>
        <v>0</v>
      </c>
      <c r="O59" s="2400" t="s">
        <v>2377</v>
      </c>
      <c r="P59" s="2401" t="s">
        <v>2408</v>
      </c>
      <c r="Q59" s="2402" t="e">
        <f ca="1">L61</f>
        <v>#DIV/0!</v>
      </c>
      <c r="R59" s="2405" t="s">
        <v>2410</v>
      </c>
    </row>
    <row r="60" spans="1:18" s="2061" customFormat="1" ht="29.25" thickBot="1">
      <c r="A60" s="2098"/>
      <c r="B60" s="2099"/>
      <c r="C60" s="2099"/>
      <c r="I60" s="3171" t="s">
        <v>2356</v>
      </c>
      <c r="J60" s="3172" t="str">
        <f ca="1">IF(OR(M48="住宅",J52&lt;L49,J57="是"),"——",ROUND(C30*J59,0))</f>
        <v>——</v>
      </c>
      <c r="K60" s="3129" t="s">
        <v>2361</v>
      </c>
      <c r="L60" s="1910">
        <f ca="1">IF(ISERROR(POWER(1+L53,L48-J52)*(POWER(1+L53,J52)-1)/(POWER(1+L53,L48)-1)),0,POWER(1+L53,L48-J52)*(POWER(1+L53,J52)-1)/(POWER(1+L53,L48)-1))</f>
        <v>0</v>
      </c>
      <c r="O60" s="2403" t="s">
        <v>2379</v>
      </c>
      <c r="P60" s="2401" t="s">
        <v>2409</v>
      </c>
      <c r="Q60" s="2402">
        <f>IF(L56="比较法",L50,IF(L56="基准地价",L51,0))</f>
        <v>0</v>
      </c>
      <c r="R60" s="2401" t="s">
        <v>2376</v>
      </c>
    </row>
    <row r="61" spans="1:18" s="2061" customFormat="1" ht="15.75" thickBot="1">
      <c r="A61" s="2098"/>
      <c r="B61" s="2099"/>
      <c r="C61" s="2099"/>
      <c r="I61" s="3173" t="s">
        <v>2357</v>
      </c>
      <c r="J61" s="3174" t="str">
        <f ca="1">IF(OR(M48="住宅",J52&lt;L49,J57="是"),"0",ROUND(J60/(1+J53)^J54,0))</f>
        <v>0</v>
      </c>
      <c r="K61" s="3175" t="s">
        <v>2362</v>
      </c>
      <c r="L61" s="3174" t="e">
        <f ca="1">IF(OR(M48="住宅",L49&lt;J52),0,ROUND(L58*(L59/L60-1),0))</f>
        <v>#DIV/0!</v>
      </c>
      <c r="O61" s="2403" t="s">
        <v>2380</v>
      </c>
      <c r="P61" s="2401" t="s">
        <v>2389</v>
      </c>
      <c r="Q61" s="2404">
        <f>L53</f>
        <v>0</v>
      </c>
      <c r="R61" s="2405"/>
    </row>
    <row r="62" spans="1:18" s="2061" customFormat="1" ht="20.25" thickBot="1">
      <c r="A62" s="2098"/>
      <c r="B62" s="2099"/>
      <c r="C62" s="2099"/>
      <c r="K62" s="2088"/>
      <c r="O62" s="2403" t="s">
        <v>2382</v>
      </c>
      <c r="P62" s="2401" t="s">
        <v>2390</v>
      </c>
      <c r="Q62" s="2402">
        <f ca="1">L59</f>
        <v>0</v>
      </c>
      <c r="R62" s="2405" t="s">
        <v>2391</v>
      </c>
    </row>
    <row r="63" spans="1:18" s="2061" customFormat="1" ht="20.25" thickBot="1">
      <c r="A63" s="2098"/>
      <c r="B63" s="2099"/>
      <c r="C63" s="2099"/>
      <c r="I63" s="3176" t="s">
        <v>2363</v>
      </c>
      <c r="J63" s="3177" t="s">
        <v>2364</v>
      </c>
      <c r="K63" s="3177" t="s">
        <v>2365</v>
      </c>
      <c r="L63" s="3177" t="s">
        <v>2346</v>
      </c>
      <c r="M63" s="3178" t="s">
        <v>2939</v>
      </c>
      <c r="O63" s="2403" t="s">
        <v>2384</v>
      </c>
      <c r="P63" s="2401" t="s">
        <v>2392</v>
      </c>
      <c r="Q63" s="2402">
        <f ca="1">L60</f>
        <v>0</v>
      </c>
      <c r="R63" s="2405" t="s">
        <v>2393</v>
      </c>
    </row>
    <row r="64" spans="1:18" s="2061" customFormat="1" ht="15.75" thickBot="1">
      <c r="A64" s="2098"/>
      <c r="B64" s="2099"/>
      <c r="C64" s="2099"/>
      <c r="I64" s="3176" t="s">
        <v>2366</v>
      </c>
      <c r="J64" s="3177">
        <v>70</v>
      </c>
      <c r="K64" s="3177">
        <v>50</v>
      </c>
      <c r="L64" s="3177">
        <v>80</v>
      </c>
      <c r="M64" s="3179">
        <v>0.02</v>
      </c>
      <c r="O64" s="2400" t="s">
        <v>2387</v>
      </c>
      <c r="P64" s="2401" t="s">
        <v>2404</v>
      </c>
      <c r="Q64" s="2402" t="e">
        <f ca="1">Q58+Q59</f>
        <v>#DIV/0!</v>
      </c>
      <c r="R64" s="2405" t="s">
        <v>2388</v>
      </c>
    </row>
    <row r="65" spans="1:18" s="2061" customFormat="1" ht="16.5" thickBot="1">
      <c r="A65" s="2098"/>
      <c r="B65" s="2099"/>
      <c r="C65" s="2099"/>
      <c r="I65" s="3176" t="s">
        <v>2367</v>
      </c>
      <c r="J65" s="3177">
        <v>50</v>
      </c>
      <c r="K65" s="3177">
        <v>35</v>
      </c>
      <c r="L65" s="3177">
        <v>60</v>
      </c>
      <c r="M65" s="846">
        <v>0</v>
      </c>
      <c r="O65" s="2406" t="s">
        <v>2411</v>
      </c>
      <c r="P65" s="1593"/>
      <c r="Q65" s="1605"/>
      <c r="R65" s="1593"/>
    </row>
    <row r="66" spans="1:18" s="2061" customFormat="1" ht="15.75" thickBot="1">
      <c r="A66" s="2098"/>
      <c r="B66" s="2099"/>
      <c r="C66" s="2099"/>
      <c r="I66" s="3176" t="s">
        <v>2368</v>
      </c>
      <c r="J66" s="3177">
        <v>40</v>
      </c>
      <c r="K66" s="3177">
        <v>30</v>
      </c>
      <c r="L66" s="3177">
        <v>50</v>
      </c>
      <c r="M66" s="3179">
        <v>0.02</v>
      </c>
      <c r="O66" s="2397" t="s">
        <v>2371</v>
      </c>
      <c r="P66" s="2398" t="s">
        <v>2372</v>
      </c>
      <c r="Q66" s="2399" t="s">
        <v>2373</v>
      </c>
      <c r="R66" s="2398" t="s">
        <v>2374</v>
      </c>
    </row>
    <row r="67" spans="1:18" s="2061" customFormat="1" ht="15.75" thickBot="1">
      <c r="A67" s="2098"/>
      <c r="B67" s="2099"/>
      <c r="C67" s="2099"/>
      <c r="K67" s="2088"/>
      <c r="O67" s="2400" t="s">
        <v>2375</v>
      </c>
      <c r="P67" s="2401" t="s">
        <v>2401</v>
      </c>
      <c r="Q67" s="2402">
        <f ca="1">C41+J31</f>
        <v>0</v>
      </c>
      <c r="R67" s="2401" t="s">
        <v>2376</v>
      </c>
    </row>
    <row r="68" spans="1:18" s="2061" customFormat="1" ht="20.25" thickBot="1">
      <c r="A68" s="2098"/>
      <c r="B68" s="2099"/>
      <c r="C68" s="2099"/>
      <c r="K68" s="2088"/>
      <c r="O68" s="2400" t="s">
        <v>2377</v>
      </c>
      <c r="P68" s="2401" t="s">
        <v>2408</v>
      </c>
      <c r="Q68" s="2402" t="e">
        <f ca="1">L61</f>
        <v>#DIV/0!</v>
      </c>
      <c r="R68" s="2405" t="s">
        <v>2410</v>
      </c>
    </row>
    <row r="69" spans="1:18" s="2061" customFormat="1" ht="21.75" thickBot="1">
      <c r="A69" s="2098"/>
      <c r="B69" s="2099"/>
      <c r="C69" s="2099"/>
      <c r="K69" s="2088"/>
      <c r="O69" s="2403" t="s">
        <v>2379</v>
      </c>
      <c r="P69" s="2401" t="s">
        <v>2409</v>
      </c>
      <c r="Q69" s="2407">
        <f ca="1">L52</f>
        <v>0</v>
      </c>
      <c r="R69" s="2408" t="s">
        <v>2412</v>
      </c>
    </row>
    <row r="70" spans="1:18" s="2061" customFormat="1" ht="20.25" thickBot="1">
      <c r="A70" s="2098"/>
      <c r="B70" s="2099"/>
      <c r="C70" s="2099"/>
      <c r="K70" s="2088"/>
      <c r="O70" s="2403" t="s">
        <v>2380</v>
      </c>
      <c r="P70" s="2409" t="s">
        <v>2394</v>
      </c>
      <c r="Q70" s="2402">
        <f ca="1">ROUND(Q71-Q72*Q73,0)</f>
        <v>0</v>
      </c>
      <c r="R70" s="2405"/>
    </row>
    <row r="71" spans="1:18" s="2061" customFormat="1" ht="15.75" thickBot="1">
      <c r="A71" s="2098"/>
      <c r="B71" s="2099"/>
      <c r="C71" s="2099"/>
      <c r="K71" s="2088"/>
      <c r="O71" s="2403" t="s">
        <v>2395</v>
      </c>
      <c r="P71" s="2409" t="s">
        <v>2396</v>
      </c>
      <c r="Q71" s="2402">
        <f ca="1">C42</f>
        <v>0</v>
      </c>
      <c r="R71" s="2401" t="s">
        <v>2376</v>
      </c>
    </row>
    <row r="72" spans="1:18" s="2061" customFormat="1" ht="15.75" thickBot="1">
      <c r="A72" s="2098"/>
      <c r="B72" s="2099"/>
      <c r="C72" s="2099"/>
      <c r="K72" s="2088"/>
      <c r="O72" s="2403" t="s">
        <v>2397</v>
      </c>
      <c r="P72" s="2409" t="s">
        <v>2398</v>
      </c>
      <c r="Q72" s="2402">
        <f ca="1">C15</f>
        <v>0</v>
      </c>
      <c r="R72" s="2401" t="s">
        <v>2376</v>
      </c>
    </row>
    <row r="73" spans="1:18" s="2061" customFormat="1" ht="15.75" thickBot="1">
      <c r="A73" s="2098"/>
      <c r="B73" s="2099"/>
      <c r="C73" s="2099"/>
      <c r="K73" s="2088"/>
      <c r="O73" s="2403" t="s">
        <v>2399</v>
      </c>
      <c r="P73" s="2409" t="s">
        <v>2400</v>
      </c>
      <c r="Q73" s="2404">
        <f ca="1">F43</f>
        <v>0</v>
      </c>
      <c r="R73" s="2405"/>
    </row>
    <row r="74" spans="1:18" s="2061" customFormat="1" ht="15.75" thickBot="1">
      <c r="A74" s="2098"/>
      <c r="B74" s="2099"/>
      <c r="C74" s="2099"/>
      <c r="K74" s="2088"/>
      <c r="O74" s="2403" t="s">
        <v>2382</v>
      </c>
      <c r="P74" s="2401" t="s">
        <v>2389</v>
      </c>
      <c r="Q74" s="2404">
        <f>L53</f>
        <v>0</v>
      </c>
      <c r="R74" s="2405"/>
    </row>
    <row r="75" spans="1:18" s="2061" customFormat="1" ht="20.25" thickBot="1">
      <c r="A75" s="2098"/>
      <c r="B75" s="2099"/>
      <c r="C75" s="2099"/>
      <c r="K75" s="2088"/>
      <c r="O75" s="2403" t="s">
        <v>2384</v>
      </c>
      <c r="P75" s="2401" t="s">
        <v>2390</v>
      </c>
      <c r="Q75" s="2402">
        <f ca="1">L59</f>
        <v>0</v>
      </c>
      <c r="R75" s="2405" t="s">
        <v>2391</v>
      </c>
    </row>
    <row r="76" spans="1:18" s="2061" customFormat="1" ht="20.25" thickBot="1">
      <c r="A76" s="2098"/>
      <c r="B76" s="2099"/>
      <c r="C76" s="2099"/>
      <c r="K76" s="2088"/>
      <c r="O76" s="2403" t="s">
        <v>2413</v>
      </c>
      <c r="P76" s="2401" t="s">
        <v>2392</v>
      </c>
      <c r="Q76" s="2402">
        <f ca="1">L60</f>
        <v>0</v>
      </c>
      <c r="R76" s="2405" t="s">
        <v>2393</v>
      </c>
    </row>
    <row r="77" spans="1:18" s="2061" customFormat="1" ht="15.75" thickBot="1">
      <c r="A77" s="2098"/>
      <c r="B77" s="2099"/>
      <c r="C77" s="2099"/>
      <c r="K77" s="2088"/>
      <c r="O77" s="2400" t="s">
        <v>2387</v>
      </c>
      <c r="P77" s="2401" t="s">
        <v>2404</v>
      </c>
      <c r="Q77" s="2402" t="e">
        <f ca="1">Q67+Q68</f>
        <v>#DIV/0!</v>
      </c>
      <c r="R77" s="2405" t="s">
        <v>2388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454" t="s">
        <v>519</v>
      </c>
      <c r="D4" s="3455"/>
      <c r="E4" s="3488" t="s">
        <v>520</v>
      </c>
      <c r="F4" s="3489"/>
      <c r="G4" s="3454" t="s">
        <v>521</v>
      </c>
      <c r="H4" s="3455"/>
      <c r="I4" s="3454" t="s">
        <v>522</v>
      </c>
      <c r="J4" s="3455"/>
      <c r="K4" s="514" t="s">
        <v>523</v>
      </c>
      <c r="L4" s="2135"/>
      <c r="M4" s="2136"/>
      <c r="N4" s="2136"/>
      <c r="O4" s="2136"/>
      <c r="P4" s="3456" t="s">
        <v>524</v>
      </c>
      <c r="Q4" s="3457"/>
      <c r="R4" s="3462" t="s">
        <v>520</v>
      </c>
      <c r="S4" s="3463"/>
      <c r="T4" s="3462" t="s">
        <v>521</v>
      </c>
      <c r="U4" s="3463"/>
      <c r="V4" s="3449" t="s">
        <v>522</v>
      </c>
      <c r="W4" s="3449"/>
      <c r="X4" s="1568"/>
      <c r="Y4" s="3462" t="s">
        <v>524</v>
      </c>
      <c r="Z4" s="3463"/>
      <c r="AA4" s="3451" t="s">
        <v>520</v>
      </c>
      <c r="AB4" s="3449" t="s">
        <v>521</v>
      </c>
      <c r="AC4" s="3451" t="s">
        <v>522</v>
      </c>
    </row>
    <row r="5" spans="1:29" ht="15">
      <c r="A5" s="515"/>
      <c r="B5" s="516"/>
      <c r="C5" s="3470" t="s">
        <v>2925</v>
      </c>
      <c r="D5" s="3471"/>
      <c r="E5" s="3490" t="s">
        <v>2926</v>
      </c>
      <c r="F5" s="3491"/>
      <c r="G5" s="3470" t="s">
        <v>2927</v>
      </c>
      <c r="H5" s="3471"/>
      <c r="I5" s="3470" t="s">
        <v>2928</v>
      </c>
      <c r="J5" s="3471"/>
      <c r="K5" s="514"/>
      <c r="L5" s="2135"/>
      <c r="M5" s="2136"/>
      <c r="N5" s="2136"/>
      <c r="O5" s="2136"/>
      <c r="P5" s="3458"/>
      <c r="Q5" s="3459"/>
      <c r="R5" s="3464"/>
      <c r="S5" s="3465"/>
      <c r="T5" s="3464"/>
      <c r="U5" s="3465"/>
      <c r="V5" s="3449"/>
      <c r="W5" s="3449"/>
      <c r="X5" s="1568"/>
      <c r="Y5" s="3464"/>
      <c r="Z5" s="3465"/>
      <c r="AA5" s="3452"/>
      <c r="AB5" s="3449"/>
      <c r="AC5" s="3452"/>
    </row>
    <row r="6" spans="1:29" ht="15.75" thickBot="1">
      <c r="A6" s="517"/>
      <c r="B6" s="518"/>
      <c r="C6" s="3468" t="s">
        <v>2929</v>
      </c>
      <c r="D6" s="3469"/>
      <c r="E6" s="3486" t="s">
        <v>2929</v>
      </c>
      <c r="F6" s="3487"/>
      <c r="G6" s="3468" t="s">
        <v>2929</v>
      </c>
      <c r="H6" s="3469"/>
      <c r="I6" s="3468" t="s">
        <v>2929</v>
      </c>
      <c r="J6" s="3469"/>
      <c r="K6" s="514" t="s">
        <v>525</v>
      </c>
      <c r="L6" s="2135"/>
      <c r="M6" s="2136"/>
      <c r="N6" s="2136"/>
      <c r="O6" s="2136"/>
      <c r="P6" s="3460"/>
      <c r="Q6" s="3461"/>
      <c r="R6" s="3464"/>
      <c r="S6" s="3465"/>
      <c r="T6" s="3466"/>
      <c r="U6" s="3467"/>
      <c r="V6" s="3449"/>
      <c r="W6" s="3449"/>
      <c r="X6" s="1568"/>
      <c r="Y6" s="3466"/>
      <c r="Z6" s="3467"/>
      <c r="AA6" s="3453"/>
      <c r="AB6" s="3449"/>
      <c r="AC6" s="3453"/>
    </row>
    <row r="7" spans="1:29" s="1220" customFormat="1" ht="15.75" thickBot="1">
      <c r="A7" s="2914"/>
      <c r="B7" s="2921" t="s">
        <v>526</v>
      </c>
      <c r="C7" s="519">
        <f>'数据-取费表'!B2</f>
        <v>43424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79" t="s">
        <v>527</v>
      </c>
      <c r="Q7" s="3481"/>
      <c r="R7" s="1569" t="s">
        <v>8</v>
      </c>
      <c r="S7" s="1570">
        <f t="shared" ref="S7:S15" si="0">F7</f>
        <v>0</v>
      </c>
      <c r="T7" s="1569" t="s">
        <v>8</v>
      </c>
      <c r="U7" s="1570">
        <f t="shared" ref="U7:U15" si="1">H7</f>
        <v>0</v>
      </c>
      <c r="V7" s="1569" t="s">
        <v>8</v>
      </c>
      <c r="W7" s="1570">
        <f t="shared" ref="W7:W15" si="2">J7</f>
        <v>0</v>
      </c>
      <c r="X7" s="1571"/>
      <c r="Y7" s="3479" t="s">
        <v>527</v>
      </c>
      <c r="Z7" s="3480"/>
      <c r="AA7" s="1572" t="e">
        <f>D7/F7</f>
        <v>#DIV/0!</v>
      </c>
      <c r="AB7" s="1572" t="e">
        <f>D7/H7</f>
        <v>#DIV/0!</v>
      </c>
      <c r="AC7" s="1572" t="e">
        <f>D7/J7</f>
        <v>#DIV/0!</v>
      </c>
    </row>
    <row r="8" spans="1:29" s="1220" customFormat="1" ht="15.75" thickBot="1">
      <c r="A8" s="2915"/>
      <c r="B8" s="2922"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79" t="s">
        <v>530</v>
      </c>
      <c r="Q8" s="3480"/>
      <c r="R8" s="1569" t="s">
        <v>8</v>
      </c>
      <c r="S8" s="1570">
        <f t="shared" si="0"/>
        <v>0</v>
      </c>
      <c r="T8" s="1569" t="s">
        <v>8</v>
      </c>
      <c r="U8" s="1570">
        <f t="shared" si="1"/>
        <v>0</v>
      </c>
      <c r="V8" s="1569" t="s">
        <v>8</v>
      </c>
      <c r="W8" s="1570">
        <f t="shared" si="2"/>
        <v>0</v>
      </c>
      <c r="X8" s="1571"/>
      <c r="Y8" s="3479" t="s">
        <v>530</v>
      </c>
      <c r="Z8" s="3480"/>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48" t="s">
        <v>532</v>
      </c>
      <c r="Q9" s="1151" t="str">
        <f t="shared" ref="Q9:Q15" si="6">B9</f>
        <v>用途</v>
      </c>
      <c r="R9" s="1569" t="s">
        <v>8</v>
      </c>
      <c r="S9" s="1570">
        <f t="shared" si="0"/>
        <v>100</v>
      </c>
      <c r="T9" s="1569" t="s">
        <v>8</v>
      </c>
      <c r="U9" s="1570">
        <f t="shared" si="1"/>
        <v>100</v>
      </c>
      <c r="V9" s="1569" t="s">
        <v>8</v>
      </c>
      <c r="W9" s="1570">
        <f t="shared" si="2"/>
        <v>100</v>
      </c>
      <c r="X9" s="1571"/>
      <c r="Y9" s="3385"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48"/>
      <c r="Q10" s="1151" t="str">
        <f t="shared" si="6"/>
        <v>土地使用年限（年）</v>
      </c>
      <c r="R10" s="1569" t="s">
        <v>8</v>
      </c>
      <c r="S10" s="1570">
        <f t="shared" si="0"/>
        <v>100</v>
      </c>
      <c r="T10" s="1569" t="s">
        <v>8</v>
      </c>
      <c r="U10" s="1570">
        <f t="shared" si="1"/>
        <v>100</v>
      </c>
      <c r="V10" s="1569" t="s">
        <v>8</v>
      </c>
      <c r="W10" s="1570">
        <f t="shared" si="2"/>
        <v>100</v>
      </c>
      <c r="X10" s="1571"/>
      <c r="Y10" s="3385"/>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48"/>
      <c r="Q11" s="1151" t="str">
        <f t="shared" si="6"/>
        <v>容积率</v>
      </c>
      <c r="R11" s="1569" t="s">
        <v>8</v>
      </c>
      <c r="S11" s="1570" t="e">
        <f t="shared" si="0"/>
        <v>#N/A</v>
      </c>
      <c r="T11" s="1569" t="s">
        <v>8</v>
      </c>
      <c r="U11" s="1570" t="e">
        <f t="shared" si="1"/>
        <v>#N/A</v>
      </c>
      <c r="V11" s="1569" t="s">
        <v>8</v>
      </c>
      <c r="W11" s="1570" t="e">
        <f t="shared" si="2"/>
        <v>#N/A</v>
      </c>
      <c r="X11" s="1571"/>
      <c r="Y11" s="338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48"/>
      <c r="Q12" s="1151">
        <f t="shared" si="6"/>
        <v>111</v>
      </c>
      <c r="R12" s="1569" t="s">
        <v>8</v>
      </c>
      <c r="S12" s="1570">
        <f t="shared" si="0"/>
        <v>100</v>
      </c>
      <c r="T12" s="1569" t="s">
        <v>8</v>
      </c>
      <c r="U12" s="1570">
        <f t="shared" si="1"/>
        <v>100</v>
      </c>
      <c r="V12" s="1569" t="s">
        <v>8</v>
      </c>
      <c r="W12" s="1570">
        <f t="shared" si="2"/>
        <v>100</v>
      </c>
      <c r="X12" s="1571"/>
      <c r="Y12" s="3385"/>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48"/>
      <c r="Q13" s="1151">
        <f t="shared" si="6"/>
        <v>111</v>
      </c>
      <c r="R13" s="1569" t="s">
        <v>8</v>
      </c>
      <c r="S13" s="1570">
        <f t="shared" si="0"/>
        <v>100</v>
      </c>
      <c r="T13" s="1569" t="s">
        <v>8</v>
      </c>
      <c r="U13" s="1570">
        <f t="shared" si="1"/>
        <v>100</v>
      </c>
      <c r="V13" s="1569" t="s">
        <v>8</v>
      </c>
      <c r="W13" s="1570">
        <f t="shared" si="2"/>
        <v>100</v>
      </c>
      <c r="X13" s="1571"/>
      <c r="Y13" s="3385"/>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48"/>
      <c r="Q14" s="1151">
        <f t="shared" si="6"/>
        <v>111</v>
      </c>
      <c r="R14" s="1569" t="s">
        <v>8</v>
      </c>
      <c r="S14" s="1570">
        <f t="shared" si="0"/>
        <v>100</v>
      </c>
      <c r="T14" s="1569" t="s">
        <v>8</v>
      </c>
      <c r="U14" s="1570">
        <f t="shared" si="1"/>
        <v>100</v>
      </c>
      <c r="V14" s="1569" t="s">
        <v>8</v>
      </c>
      <c r="W14" s="1570">
        <f t="shared" si="2"/>
        <v>100</v>
      </c>
      <c r="X14" s="1571"/>
      <c r="Y14" s="3385"/>
      <c r="Z14" s="1150">
        <f t="shared" si="7"/>
        <v>111</v>
      </c>
      <c r="AA14" s="1572">
        <f t="shared" si="3"/>
        <v>1</v>
      </c>
      <c r="AB14" s="1572">
        <f t="shared" si="4"/>
        <v>1</v>
      </c>
      <c r="AC14" s="1572">
        <f t="shared" si="5"/>
        <v>1</v>
      </c>
    </row>
    <row r="15" spans="1:29" ht="71.25">
      <c r="A15" s="2912"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82" t="s">
        <v>537</v>
      </c>
      <c r="Q15" s="1573" t="str">
        <f t="shared" si="6"/>
        <v>商业繁华度</v>
      </c>
      <c r="R15" s="1574" t="s">
        <v>8</v>
      </c>
      <c r="S15" s="1575">
        <f t="shared" si="0"/>
        <v>100</v>
      </c>
      <c r="T15" s="1574" t="s">
        <v>8</v>
      </c>
      <c r="U15" s="1575">
        <f t="shared" si="1"/>
        <v>100</v>
      </c>
      <c r="V15" s="1574" t="s">
        <v>8</v>
      </c>
      <c r="W15" s="1575">
        <f t="shared" si="2"/>
        <v>100</v>
      </c>
      <c r="X15" s="1568"/>
      <c r="Y15" s="3482"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83"/>
      <c r="Q16" s="1573"/>
      <c r="R16" s="1574"/>
      <c r="S16" s="1575"/>
      <c r="T16" s="1574"/>
      <c r="U16" s="1575"/>
      <c r="V16" s="1574"/>
      <c r="W16" s="1575"/>
      <c r="X16" s="1568"/>
      <c r="Y16" s="3483"/>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83"/>
      <c r="Q17" s="1573" t="str">
        <f>B17</f>
        <v>交通便捷度</v>
      </c>
      <c r="R17" s="1574" t="s">
        <v>8</v>
      </c>
      <c r="S17" s="1575">
        <f>F17</f>
        <v>100</v>
      </c>
      <c r="T17" s="1574" t="s">
        <v>8</v>
      </c>
      <c r="U17" s="1575">
        <f>H17</f>
        <v>100</v>
      </c>
      <c r="V17" s="1574" t="s">
        <v>8</v>
      </c>
      <c r="W17" s="1575">
        <f>J17</f>
        <v>100</v>
      </c>
      <c r="X17" s="1568"/>
      <c r="Y17" s="34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83"/>
      <c r="Q18" s="1573"/>
      <c r="R18" s="1574"/>
      <c r="S18" s="1575"/>
      <c r="T18" s="1574"/>
      <c r="U18" s="1575"/>
      <c r="V18" s="1574"/>
      <c r="W18" s="1575"/>
      <c r="X18" s="1568"/>
      <c r="Y18" s="3483"/>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83"/>
      <c r="Q19" s="1573" t="str">
        <f>B19</f>
        <v>公共配套设施</v>
      </c>
      <c r="R19" s="1574" t="s">
        <v>8</v>
      </c>
      <c r="S19" s="1575">
        <f>F19</f>
        <v>100</v>
      </c>
      <c r="T19" s="1574" t="s">
        <v>8</v>
      </c>
      <c r="U19" s="1575">
        <f>H19</f>
        <v>100</v>
      </c>
      <c r="V19" s="1574" t="s">
        <v>8</v>
      </c>
      <c r="W19" s="1575">
        <f>J19</f>
        <v>100</v>
      </c>
      <c r="X19" s="1568"/>
      <c r="Y19" s="348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83"/>
      <c r="Q20" s="1573"/>
      <c r="R20" s="1574"/>
      <c r="S20" s="1575"/>
      <c r="T20" s="1574"/>
      <c r="U20" s="1575"/>
      <c r="V20" s="1574"/>
      <c r="W20" s="1575"/>
      <c r="X20" s="1568"/>
      <c r="Y20" s="3483"/>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83"/>
      <c r="Q21" s="2581" t="str">
        <f>B21</f>
        <v>基础设施水平</v>
      </c>
      <c r="R21" s="1574" t="s">
        <v>8</v>
      </c>
      <c r="S21" s="1575">
        <f>F21</f>
        <v>100</v>
      </c>
      <c r="T21" s="1574" t="s">
        <v>8</v>
      </c>
      <c r="U21" s="1575">
        <f>H21</f>
        <v>100</v>
      </c>
      <c r="V21" s="1574" t="s">
        <v>8</v>
      </c>
      <c r="W21" s="1575">
        <f>J21</f>
        <v>100</v>
      </c>
      <c r="X21" s="2583"/>
      <c r="Y21" s="3483"/>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83"/>
      <c r="Q22" s="2581"/>
      <c r="R22" s="1574"/>
      <c r="S22" s="1575"/>
      <c r="T22" s="1574"/>
      <c r="U22" s="1575"/>
      <c r="V22" s="1574"/>
      <c r="W22" s="1575"/>
      <c r="X22" s="2583"/>
      <c r="Y22" s="3483"/>
      <c r="Z22" s="2582"/>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83"/>
      <c r="Q23" s="1573" t="str">
        <f>B23</f>
        <v>自然及人文环境</v>
      </c>
      <c r="R23" s="1574" t="s">
        <v>8</v>
      </c>
      <c r="S23" s="1575">
        <f>F23</f>
        <v>100</v>
      </c>
      <c r="T23" s="1574" t="s">
        <v>8</v>
      </c>
      <c r="U23" s="1575">
        <f>H23</f>
        <v>100</v>
      </c>
      <c r="V23" s="1574" t="s">
        <v>8</v>
      </c>
      <c r="W23" s="1575">
        <f>J23</f>
        <v>100</v>
      </c>
      <c r="X23" s="1568"/>
      <c r="Y23" s="348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83"/>
      <c r="Q24" s="1573"/>
      <c r="R24" s="1574"/>
      <c r="S24" s="1575"/>
      <c r="T24" s="1574"/>
      <c r="U24" s="1575"/>
      <c r="V24" s="1574"/>
      <c r="W24" s="1575"/>
      <c r="X24" s="1568"/>
      <c r="Y24" s="3483"/>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83"/>
      <c r="Q25" s="1573" t="str">
        <f t="shared" ref="Q25:Q46" si="11">B25</f>
        <v>临街状况</v>
      </c>
      <c r="R25" s="1574" t="s">
        <v>8</v>
      </c>
      <c r="S25" s="1575">
        <f>F25</f>
        <v>100</v>
      </c>
      <c r="T25" s="1574" t="s">
        <v>8</v>
      </c>
      <c r="U25" s="1575">
        <f>H25</f>
        <v>100</v>
      </c>
      <c r="V25" s="1574" t="s">
        <v>8</v>
      </c>
      <c r="W25" s="1575">
        <f>J25</f>
        <v>100</v>
      </c>
      <c r="X25" s="1568"/>
      <c r="Y25" s="3483"/>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83"/>
      <c r="Q26" s="1573" t="str">
        <f t="shared" si="11"/>
        <v>平面位置/可视性</v>
      </c>
      <c r="R26" s="1574" t="s">
        <v>8</v>
      </c>
      <c r="S26" s="1575">
        <f>F26</f>
        <v>100</v>
      </c>
      <c r="T26" s="1574" t="s">
        <v>8</v>
      </c>
      <c r="U26" s="1575">
        <f>H26</f>
        <v>100</v>
      </c>
      <c r="V26" s="1574" t="s">
        <v>8</v>
      </c>
      <c r="W26" s="1575">
        <f>J26</f>
        <v>100</v>
      </c>
      <c r="X26" s="1568"/>
      <c r="Y26" s="3483"/>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83"/>
      <c r="Q27" s="1151" t="str">
        <f t="shared" si="11"/>
        <v>人流量</v>
      </c>
      <c r="R27" s="1569" t="s">
        <v>8</v>
      </c>
      <c r="S27" s="1570">
        <f>F27</f>
        <v>100</v>
      </c>
      <c r="T27" s="1569" t="s">
        <v>8</v>
      </c>
      <c r="U27" s="1570">
        <f>H27</f>
        <v>100</v>
      </c>
      <c r="V27" s="1569" t="s">
        <v>8</v>
      </c>
      <c r="W27" s="1570">
        <f>J27</f>
        <v>100</v>
      </c>
      <c r="X27" s="1571"/>
      <c r="Y27" s="3483"/>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8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8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83"/>
      <c r="Q29" s="1573">
        <f t="shared" si="11"/>
        <v>111</v>
      </c>
      <c r="R29" s="1574" t="s">
        <v>8</v>
      </c>
      <c r="S29" s="1575">
        <f t="shared" si="12"/>
        <v>100</v>
      </c>
      <c r="T29" s="1574" t="s">
        <v>8</v>
      </c>
      <c r="U29" s="1575">
        <f t="shared" si="13"/>
        <v>100</v>
      </c>
      <c r="V29" s="1574" t="s">
        <v>8</v>
      </c>
      <c r="W29" s="1575">
        <f t="shared" si="14"/>
        <v>100</v>
      </c>
      <c r="X29" s="1568"/>
      <c r="Y29" s="348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83"/>
      <c r="Q30" s="1573">
        <f t="shared" si="11"/>
        <v>111</v>
      </c>
      <c r="R30" s="1574" t="s">
        <v>8</v>
      </c>
      <c r="S30" s="1575">
        <f t="shared" si="12"/>
        <v>100</v>
      </c>
      <c r="T30" s="1574" t="s">
        <v>8</v>
      </c>
      <c r="U30" s="1575">
        <f t="shared" si="13"/>
        <v>100</v>
      </c>
      <c r="V30" s="1574" t="s">
        <v>8</v>
      </c>
      <c r="W30" s="1575">
        <f t="shared" si="14"/>
        <v>100</v>
      </c>
      <c r="X30" s="1568"/>
      <c r="Y30" s="348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83"/>
      <c r="Q31" s="1573">
        <f t="shared" si="11"/>
        <v>111</v>
      </c>
      <c r="R31" s="1574" t="s">
        <v>8</v>
      </c>
      <c r="S31" s="1575">
        <f t="shared" si="12"/>
        <v>100</v>
      </c>
      <c r="T31" s="1574" t="s">
        <v>8</v>
      </c>
      <c r="U31" s="1575">
        <f t="shared" si="13"/>
        <v>100</v>
      </c>
      <c r="V31" s="1574" t="s">
        <v>8</v>
      </c>
      <c r="W31" s="1575">
        <f t="shared" si="14"/>
        <v>100</v>
      </c>
      <c r="X31" s="1568"/>
      <c r="Y31" s="3483"/>
      <c r="Z31" s="1576">
        <f t="shared" si="15"/>
        <v>111</v>
      </c>
      <c r="AA31" s="1577">
        <f t="shared" si="3"/>
        <v>1</v>
      </c>
      <c r="AB31" s="1577">
        <f t="shared" si="4"/>
        <v>1</v>
      </c>
      <c r="AC31" s="1577">
        <f t="shared" si="5"/>
        <v>1</v>
      </c>
    </row>
    <row r="32" spans="1:29" ht="15">
      <c r="A32" s="2909"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84" t="s">
        <v>547</v>
      </c>
      <c r="Q32" s="1573" t="str">
        <f t="shared" si="11"/>
        <v>商业类型</v>
      </c>
      <c r="R32" s="1574" t="s">
        <v>8</v>
      </c>
      <c r="S32" s="1575">
        <f t="shared" si="12"/>
        <v>100</v>
      </c>
      <c r="T32" s="1574" t="s">
        <v>8</v>
      </c>
      <c r="U32" s="1575">
        <f t="shared" si="13"/>
        <v>100</v>
      </c>
      <c r="V32" s="1574" t="s">
        <v>8</v>
      </c>
      <c r="W32" s="1575">
        <f t="shared" si="14"/>
        <v>100</v>
      </c>
      <c r="X32" s="1568"/>
      <c r="Y32" s="3485"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85"/>
      <c r="Q33" s="1606" t="str">
        <f t="shared" si="11"/>
        <v>项目建筑规模</v>
      </c>
      <c r="R33" s="1578" t="s">
        <v>8</v>
      </c>
      <c r="S33" s="1579" t="e">
        <f t="shared" si="12"/>
        <v>#N/A</v>
      </c>
      <c r="T33" s="1578" t="s">
        <v>8</v>
      </c>
      <c r="U33" s="1579" t="e">
        <f t="shared" si="13"/>
        <v>#N/A</v>
      </c>
      <c r="V33" s="1578" t="s">
        <v>8</v>
      </c>
      <c r="W33" s="1579" t="e">
        <f t="shared" si="14"/>
        <v>#N/A</v>
      </c>
      <c r="X33" s="1580"/>
      <c r="Y33" s="348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85"/>
      <c r="Q34" s="1573" t="str">
        <f t="shared" si="11"/>
        <v>建筑结构</v>
      </c>
      <c r="R34" s="1574" t="s">
        <v>8</v>
      </c>
      <c r="S34" s="1575">
        <f t="shared" si="12"/>
        <v>100</v>
      </c>
      <c r="T34" s="1574" t="s">
        <v>8</v>
      </c>
      <c r="U34" s="1575">
        <f t="shared" si="13"/>
        <v>100</v>
      </c>
      <c r="V34" s="1574" t="s">
        <v>8</v>
      </c>
      <c r="W34" s="1575">
        <f t="shared" si="14"/>
        <v>100</v>
      </c>
      <c r="X34" s="1568"/>
      <c r="Y34" s="3485"/>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85"/>
      <c r="Q35" s="1573" t="str">
        <f t="shared" si="11"/>
        <v>公共部分装修</v>
      </c>
      <c r="R35" s="1574" t="s">
        <v>8</v>
      </c>
      <c r="S35" s="1575">
        <f t="shared" si="12"/>
        <v>100</v>
      </c>
      <c r="T35" s="1574" t="s">
        <v>8</v>
      </c>
      <c r="U35" s="1575">
        <f t="shared" si="13"/>
        <v>100</v>
      </c>
      <c r="V35" s="1574" t="s">
        <v>8</v>
      </c>
      <c r="W35" s="1575">
        <f t="shared" si="14"/>
        <v>100</v>
      </c>
      <c r="X35" s="1568"/>
      <c r="Y35" s="3485"/>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85"/>
      <c r="Q36" s="1573" t="str">
        <f t="shared" si="11"/>
        <v>成新度</v>
      </c>
      <c r="R36" s="1574" t="s">
        <v>8</v>
      </c>
      <c r="S36" s="1575" t="e">
        <f t="shared" si="12"/>
        <v>#N/A</v>
      </c>
      <c r="T36" s="1574" t="s">
        <v>8</v>
      </c>
      <c r="U36" s="1575" t="e">
        <f t="shared" si="13"/>
        <v>#N/A</v>
      </c>
      <c r="V36" s="1574" t="s">
        <v>8</v>
      </c>
      <c r="W36" s="1575" t="e">
        <f t="shared" si="14"/>
        <v>#N/A</v>
      </c>
      <c r="X36" s="1568"/>
      <c r="Y36" s="3485"/>
      <c r="Z36" s="1576" t="str">
        <f t="shared" si="15"/>
        <v>成新度</v>
      </c>
      <c r="AA36" s="1577" t="e">
        <f t="shared" si="3"/>
        <v>#N/A</v>
      </c>
      <c r="AB36" s="1577" t="e">
        <f t="shared" si="4"/>
        <v>#N/A</v>
      </c>
      <c r="AC36" s="1577" t="e">
        <f t="shared" si="5"/>
        <v>#N/A</v>
      </c>
    </row>
    <row r="37" spans="1:29" s="1220" customFormat="1" ht="15">
      <c r="A37" s="600"/>
      <c r="B37" s="1897"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85"/>
      <c r="Q37" s="1151" t="str">
        <f t="shared" si="11"/>
        <v>市政基础设施</v>
      </c>
      <c r="R37" s="1569" t="s">
        <v>8</v>
      </c>
      <c r="S37" s="1570">
        <f t="shared" si="12"/>
        <v>100</v>
      </c>
      <c r="T37" s="1569" t="s">
        <v>8</v>
      </c>
      <c r="U37" s="1570">
        <f t="shared" si="13"/>
        <v>100</v>
      </c>
      <c r="V37" s="1569" t="s">
        <v>8</v>
      </c>
      <c r="W37" s="1570">
        <f t="shared" si="14"/>
        <v>100</v>
      </c>
      <c r="X37" s="1571"/>
      <c r="Y37" s="3485"/>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85" t="s">
        <v>763</v>
      </c>
      <c r="Q38" s="1573" t="str">
        <f t="shared" si="11"/>
        <v>业态</v>
      </c>
      <c r="R38" s="1574" t="s">
        <v>8</v>
      </c>
      <c r="S38" s="1575">
        <f t="shared" si="12"/>
        <v>100</v>
      </c>
      <c r="T38" s="1574" t="s">
        <v>8</v>
      </c>
      <c r="U38" s="1575">
        <f t="shared" si="13"/>
        <v>100</v>
      </c>
      <c r="V38" s="1574" t="s">
        <v>8</v>
      </c>
      <c r="W38" s="1575">
        <f t="shared" si="14"/>
        <v>100</v>
      </c>
      <c r="X38" s="1568"/>
      <c r="Y38" s="3485"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85"/>
      <c r="Q39" s="1573" t="str">
        <f t="shared" si="11"/>
        <v>层高</v>
      </c>
      <c r="R39" s="1574" t="s">
        <v>8</v>
      </c>
      <c r="S39" s="1575">
        <f t="shared" si="12"/>
        <v>100</v>
      </c>
      <c r="T39" s="1574" t="s">
        <v>8</v>
      </c>
      <c r="U39" s="1575">
        <f t="shared" si="13"/>
        <v>100</v>
      </c>
      <c r="V39" s="1574" t="s">
        <v>8</v>
      </c>
      <c r="W39" s="1575">
        <f t="shared" si="14"/>
        <v>100</v>
      </c>
      <c r="X39" s="1568"/>
      <c r="Y39" s="3485"/>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85"/>
      <c r="Q40" s="1573" t="str">
        <f t="shared" si="11"/>
        <v>单套建筑面积</v>
      </c>
      <c r="R40" s="1574" t="s">
        <v>8</v>
      </c>
      <c r="S40" s="1575">
        <f t="shared" si="12"/>
        <v>100</v>
      </c>
      <c r="T40" s="1574" t="s">
        <v>8</v>
      </c>
      <c r="U40" s="1575">
        <f t="shared" si="13"/>
        <v>100</v>
      </c>
      <c r="V40" s="1574" t="s">
        <v>8</v>
      </c>
      <c r="W40" s="1575">
        <f t="shared" si="14"/>
        <v>100</v>
      </c>
      <c r="X40" s="1568"/>
      <c r="Y40" s="3485"/>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85"/>
      <c r="Q41" s="1606" t="str">
        <f t="shared" si="11"/>
        <v>进深比</v>
      </c>
      <c r="R41" s="1578" t="s">
        <v>8</v>
      </c>
      <c r="S41" s="1579">
        <f t="shared" si="12"/>
        <v>100</v>
      </c>
      <c r="T41" s="1578" t="s">
        <v>8</v>
      </c>
      <c r="U41" s="1579">
        <f t="shared" si="13"/>
        <v>100</v>
      </c>
      <c r="V41" s="1578" t="s">
        <v>8</v>
      </c>
      <c r="W41" s="1579">
        <f t="shared" si="14"/>
        <v>100</v>
      </c>
      <c r="X41" s="1580"/>
      <c r="Y41" s="3485"/>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85"/>
      <c r="Q42" s="1573" t="str">
        <f t="shared" si="11"/>
        <v>内部装修</v>
      </c>
      <c r="R42" s="1574" t="s">
        <v>8</v>
      </c>
      <c r="S42" s="1575">
        <f t="shared" si="12"/>
        <v>100</v>
      </c>
      <c r="T42" s="1574" t="s">
        <v>8</v>
      </c>
      <c r="U42" s="1575">
        <f t="shared" si="13"/>
        <v>100</v>
      </c>
      <c r="V42" s="1574" t="s">
        <v>8</v>
      </c>
      <c r="W42" s="1575">
        <f t="shared" si="14"/>
        <v>100</v>
      </c>
      <c r="X42" s="1568"/>
      <c r="Y42" s="3485"/>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85"/>
      <c r="Q43" s="1573" t="str">
        <f t="shared" si="11"/>
        <v>内部装修维护情况</v>
      </c>
      <c r="R43" s="1574" t="s">
        <v>8</v>
      </c>
      <c r="S43" s="1575">
        <f t="shared" si="12"/>
        <v>100</v>
      </c>
      <c r="T43" s="1574" t="s">
        <v>8</v>
      </c>
      <c r="U43" s="1575">
        <f t="shared" si="13"/>
        <v>100</v>
      </c>
      <c r="V43" s="1574" t="s">
        <v>8</v>
      </c>
      <c r="W43" s="1575">
        <f t="shared" si="14"/>
        <v>100</v>
      </c>
      <c r="X43" s="1568"/>
      <c r="Y43" s="348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85"/>
      <c r="Q44" s="1151">
        <f t="shared" si="11"/>
        <v>111</v>
      </c>
      <c r="R44" s="1569" t="s">
        <v>8</v>
      </c>
      <c r="S44" s="1570">
        <f t="shared" si="12"/>
        <v>100</v>
      </c>
      <c r="T44" s="1569" t="s">
        <v>8</v>
      </c>
      <c r="U44" s="1570">
        <f t="shared" si="13"/>
        <v>100</v>
      </c>
      <c r="V44" s="1569" t="s">
        <v>8</v>
      </c>
      <c r="W44" s="1570">
        <f t="shared" si="14"/>
        <v>100</v>
      </c>
      <c r="X44" s="1571"/>
      <c r="Y44" s="348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85"/>
      <c r="Q45" s="1573">
        <f t="shared" si="11"/>
        <v>111</v>
      </c>
      <c r="R45" s="1574" t="s">
        <v>8</v>
      </c>
      <c r="S45" s="1575">
        <f t="shared" si="12"/>
        <v>100</v>
      </c>
      <c r="T45" s="1574" t="s">
        <v>8</v>
      </c>
      <c r="U45" s="1575">
        <f t="shared" si="13"/>
        <v>100</v>
      </c>
      <c r="V45" s="1574" t="s">
        <v>8</v>
      </c>
      <c r="W45" s="1575">
        <f t="shared" si="14"/>
        <v>100</v>
      </c>
      <c r="X45" s="1568"/>
      <c r="Y45" s="348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23"/>
      <c r="Q46" s="1573">
        <f t="shared" si="11"/>
        <v>111</v>
      </c>
      <c r="R46" s="1574" t="s">
        <v>8</v>
      </c>
      <c r="S46" s="1575">
        <f t="shared" si="12"/>
        <v>100</v>
      </c>
      <c r="T46" s="1574" t="s">
        <v>8</v>
      </c>
      <c r="U46" s="1575">
        <f t="shared" si="13"/>
        <v>100</v>
      </c>
      <c r="V46" s="1574" t="s">
        <v>8</v>
      </c>
      <c r="W46" s="1575">
        <f t="shared" si="14"/>
        <v>100</v>
      </c>
      <c r="X46" s="1568"/>
      <c r="Y46" s="3523"/>
      <c r="Z46" s="1576">
        <f t="shared" si="15"/>
        <v>111</v>
      </c>
      <c r="AA46" s="1577">
        <f t="shared" si="3"/>
        <v>1</v>
      </c>
      <c r="AB46" s="1577">
        <f t="shared" si="4"/>
        <v>1</v>
      </c>
      <c r="AC46" s="1577">
        <f t="shared" si="5"/>
        <v>1</v>
      </c>
    </row>
    <row r="47" spans="1:29" ht="15">
      <c r="A47" s="607" t="s">
        <v>733</v>
      </c>
      <c r="B47" s="887"/>
      <c r="C47" s="2629" t="s">
        <v>1</v>
      </c>
      <c r="D47" s="2630"/>
      <c r="E47" s="2631"/>
      <c r="F47" s="2632"/>
      <c r="G47" s="2633"/>
      <c r="H47" s="2634"/>
      <c r="I47" s="2631"/>
      <c r="J47" s="2634"/>
      <c r="K47" s="1612"/>
      <c r="L47" s="2146"/>
      <c r="M47" s="2147"/>
      <c r="N47" s="2136"/>
      <c r="O47" s="2147"/>
      <c r="P47" s="3448" t="str">
        <f>A47</f>
        <v>成交单价（元/平方米）</v>
      </c>
      <c r="Q47" s="3448"/>
      <c r="R47" s="3520">
        <f>E47</f>
        <v>0</v>
      </c>
      <c r="S47" s="3520"/>
      <c r="T47" s="3520">
        <f>G47</f>
        <v>0</v>
      </c>
      <c r="U47" s="3520"/>
      <c r="V47" s="3520">
        <f>I47</f>
        <v>0</v>
      </c>
      <c r="W47" s="3520"/>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13"/>
      <c r="L48" s="2146"/>
      <c r="M48" s="2147"/>
      <c r="N48" s="2136"/>
      <c r="O48" s="2147"/>
      <c r="P48" s="3448" t="str">
        <f>A48</f>
        <v>比较价格（元/平方米）</v>
      </c>
      <c r="Q48" s="3448"/>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445" t="str">
        <f>A49</f>
        <v>估价对象XX用房的比较价格（楼面单价，元/平方米）</v>
      </c>
      <c r="Q49" s="3446"/>
      <c r="R49" s="3522" t="e">
        <f>IF(F1="售价",ROUND(AVERAGE(R48:V48),0),ROUND(AVERAGE(R48:V48),1))</f>
        <v>#DIV/0!</v>
      </c>
      <c r="S49" s="3522"/>
      <c r="T49" s="3522"/>
      <c r="U49" s="3522"/>
      <c r="V49" s="3522"/>
      <c r="W49" s="352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2370</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1720</v>
      </c>
      <c r="B2" s="775" t="e">
        <f ca="1">C40+J29+L46</f>
        <v>#DIV/0!</v>
      </c>
      <c r="C2" s="2059"/>
      <c r="D2" s="2057"/>
      <c r="E2" s="2058"/>
      <c r="F2" s="2058"/>
      <c r="G2" s="1591"/>
      <c r="H2" s="2059"/>
      <c r="I2" s="2059"/>
      <c r="J2" s="2059"/>
      <c r="K2" s="2060"/>
      <c r="L2" s="2059"/>
      <c r="M2" s="2059"/>
    </row>
    <row r="3" spans="1:33" ht="18" customHeight="1" thickBot="1">
      <c r="A3" s="833" t="s">
        <v>1721</v>
      </c>
      <c r="B3" s="834">
        <f ca="1">IF(ISERROR(B2*10000/F43),0,ROUND(B2*10000/F43,0))</f>
        <v>0</v>
      </c>
      <c r="C3" s="2059"/>
      <c r="D3" s="2057"/>
      <c r="E3" s="2058"/>
      <c r="F3" s="2058"/>
      <c r="G3" s="1591"/>
      <c r="H3" s="776" t="s">
        <v>692</v>
      </c>
      <c r="I3" s="1363"/>
      <c r="J3" s="1363"/>
      <c r="K3" s="1592"/>
      <c r="L3" s="1363"/>
      <c r="M3" s="1363"/>
    </row>
    <row r="4" spans="1:33" ht="18" customHeight="1">
      <c r="A4" s="777" t="s">
        <v>1722</v>
      </c>
      <c r="B4" s="778" t="s">
        <v>1723</v>
      </c>
      <c r="C4" s="778" t="s">
        <v>1724</v>
      </c>
      <c r="D4" s="778" t="s">
        <v>630</v>
      </c>
      <c r="E4" s="779" t="s">
        <v>1725</v>
      </c>
      <c r="F4" s="780"/>
      <c r="G4" s="1593"/>
      <c r="H4" s="777" t="s">
        <v>1726</v>
      </c>
      <c r="I4" s="778" t="s">
        <v>1727</v>
      </c>
      <c r="J4" s="778" t="s">
        <v>1728</v>
      </c>
      <c r="K4" s="778" t="s">
        <v>1729</v>
      </c>
      <c r="L4" s="779" t="s">
        <v>1730</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27" t="s">
        <v>2459</v>
      </c>
      <c r="C6" s="783">
        <f ca="1">ROUND(F6*F8*F7*(1-F9)/10000,0)</f>
        <v>0</v>
      </c>
      <c r="D6" s="2499" t="s">
        <v>2458</v>
      </c>
      <c r="E6" s="784" t="s">
        <v>1732</v>
      </c>
      <c r="F6" s="785">
        <f ca="1">INDIRECT("'数据-取费表'!u"&amp;$G$1)</f>
        <v>0</v>
      </c>
      <c r="G6" s="1593"/>
      <c r="H6" s="2506" t="s">
        <v>2464</v>
      </c>
      <c r="I6" s="3527" t="s">
        <v>2459</v>
      </c>
      <c r="J6" s="783">
        <f ca="1">ROUND(M6*M8*M7*(1-M9)/10000,0)</f>
        <v>0</v>
      </c>
      <c r="K6" s="341" t="s">
        <v>1731</v>
      </c>
      <c r="L6" s="784" t="s">
        <v>1732</v>
      </c>
      <c r="M6" s="785">
        <f ca="1">INDIRECT("'数据-取费表'!z"&amp;$G$1)</f>
        <v>0</v>
      </c>
    </row>
    <row r="7" spans="1:33" ht="18" customHeight="1">
      <c r="A7" s="2502"/>
      <c r="B7" s="3528"/>
      <c r="C7" s="788"/>
      <c r="D7" s="789"/>
      <c r="E7" s="784" t="s">
        <v>1733</v>
      </c>
      <c r="F7" s="785">
        <f ca="1">IF(INDIRECT("'数据-取费表'!ah"&amp;$G$1)="",INDIRECT("'数据-取费表'!k"&amp;$G$1),INDIRECT("'数据-取费表'!ah"&amp;$G$1))</f>
        <v>0</v>
      </c>
      <c r="G7" s="1593"/>
      <c r="H7" s="2491"/>
      <c r="I7" s="3528"/>
      <c r="J7" s="788"/>
      <c r="K7" s="789"/>
      <c r="L7" s="784" t="s">
        <v>1733</v>
      </c>
      <c r="M7" s="785">
        <f ca="1">F7</f>
        <v>0</v>
      </c>
    </row>
    <row r="8" spans="1:33" ht="18" customHeight="1">
      <c r="A8" s="2495"/>
      <c r="B8" s="3529"/>
      <c r="C8" s="788"/>
      <c r="D8" s="789"/>
      <c r="E8" s="784" t="s">
        <v>1734</v>
      </c>
      <c r="F8" s="785">
        <f ca="1">INDIRECT("'数据-取费表'!ai"&amp;$G$1)</f>
        <v>0</v>
      </c>
      <c r="G8" s="1593"/>
      <c r="H8" s="2491"/>
      <c r="I8" s="3529"/>
      <c r="J8" s="788"/>
      <c r="K8" s="789"/>
      <c r="L8" s="784" t="s">
        <v>1734</v>
      </c>
      <c r="M8" s="785">
        <f ca="1">INDIRECT("'数据-取费表'!ai"&amp;$G$1)</f>
        <v>0</v>
      </c>
    </row>
    <row r="9" spans="1:33" ht="18" customHeight="1">
      <c r="A9" s="786"/>
      <c r="B9" s="3530"/>
      <c r="C9" s="788"/>
      <c r="D9" s="789"/>
      <c r="E9" s="784" t="s">
        <v>1735</v>
      </c>
      <c r="F9" s="794">
        <f ca="1">INDIRECT("'数据-取费表'!w"&amp;$G$1)</f>
        <v>0</v>
      </c>
      <c r="G9" s="1593"/>
      <c r="H9" s="2507"/>
      <c r="I9" s="3529"/>
      <c r="J9" s="788"/>
      <c r="K9" s="789"/>
      <c r="L9" s="795" t="s">
        <v>1735</v>
      </c>
      <c r="M9" s="796">
        <f ca="1">INDIRECT("'数据-取费表'!ab"&amp;$G$1)</f>
        <v>0</v>
      </c>
    </row>
    <row r="10" spans="1:33" ht="18" customHeight="1">
      <c r="A10" s="1832" t="s">
        <v>2462</v>
      </c>
      <c r="B10" s="2496" t="s">
        <v>2455</v>
      </c>
      <c r="C10" s="799">
        <f ca="1">ROUND(IF(F10="押一",C6/12*F11,IF(F10="押二",C6/12*2*F11,IF(F10="押三",C6/12*3*F11,C11*F11))),0)</f>
        <v>0</v>
      </c>
      <c r="D10" s="2503" t="s">
        <v>2971</v>
      </c>
      <c r="E10" s="2500" t="s">
        <v>2460</v>
      </c>
      <c r="F10" s="2623"/>
      <c r="G10" s="1593"/>
      <c r="H10" s="2563" t="s">
        <v>2465</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2461</v>
      </c>
      <c r="F11" s="796">
        <f ca="1">'数据-取费表'!B39</f>
        <v>1.4999999999999999E-2</v>
      </c>
      <c r="G11" s="1593"/>
      <c r="H11" s="2564"/>
      <c r="I11" s="2497" t="s">
        <v>2569</v>
      </c>
      <c r="J11" s="2501"/>
      <c r="K11" s="2565"/>
      <c r="L11" s="2500" t="s">
        <v>2461</v>
      </c>
      <c r="M11" s="2494">
        <f ca="1">'数据-取费表'!B39</f>
        <v>1.4999999999999999E-2</v>
      </c>
    </row>
    <row r="12" spans="1:33" ht="18" customHeight="1" thickBot="1">
      <c r="A12" s="2539" t="s">
        <v>2463</v>
      </c>
      <c r="B12" s="2540" t="s">
        <v>2456</v>
      </c>
      <c r="C12" s="2541"/>
      <c r="D12" s="2542"/>
      <c r="E12" s="2543"/>
      <c r="F12" s="2544"/>
      <c r="G12" s="1593"/>
      <c r="H12" s="2553" t="s">
        <v>2466</v>
      </c>
      <c r="I12" s="2566" t="s">
        <v>2456</v>
      </c>
      <c r="J12" s="2567"/>
      <c r="K12" s="2542"/>
      <c r="L12" s="2543"/>
      <c r="M12" s="2556"/>
    </row>
    <row r="13" spans="1:33" ht="18" customHeight="1" thickTop="1">
      <c r="A13" s="1831">
        <v>2</v>
      </c>
      <c r="B13" s="1829" t="s">
        <v>1736</v>
      </c>
      <c r="C13" s="792">
        <f ca="1">ROUND(C29*F13,0)</f>
        <v>0</v>
      </c>
      <c r="D13" s="1836" t="s">
        <v>2293</v>
      </c>
      <c r="E13" s="1836" t="s">
        <v>1738</v>
      </c>
      <c r="F13" s="2538">
        <f ca="1">INDIRECT("'数据-取费表'!y"&amp;$G$1)</f>
        <v>0</v>
      </c>
      <c r="G13" s="1593"/>
      <c r="H13" s="1831">
        <v>2</v>
      </c>
      <c r="I13" s="1829" t="s">
        <v>1736</v>
      </c>
      <c r="J13" s="1821">
        <f ca="1">ROUND(J14*J15,0)</f>
        <v>0</v>
      </c>
      <c r="K13" s="1823" t="s">
        <v>1737</v>
      </c>
      <c r="L13" s="2554"/>
      <c r="M13" s="2555"/>
    </row>
    <row r="14" spans="1:33" ht="18" customHeight="1">
      <c r="A14" s="1649" t="s">
        <v>1878</v>
      </c>
      <c r="B14" s="784" t="s">
        <v>642</v>
      </c>
      <c r="C14" s="804">
        <f ca="1">INDIRECT("'数据-取费表'!m"&amp;$G$1)+INDIRECT("'数据-取费表'!t"&amp;$G$1)</f>
        <v>0</v>
      </c>
      <c r="D14" s="1981" t="s">
        <v>1739</v>
      </c>
      <c r="E14" s="1982"/>
      <c r="F14" s="805"/>
      <c r="G14" s="1593"/>
      <c r="H14" s="1650" t="s">
        <v>1824</v>
      </c>
      <c r="I14" s="2233" t="s">
        <v>2821</v>
      </c>
      <c r="J14" s="53">
        <f ca="1">C29</f>
        <v>0</v>
      </c>
      <c r="K14" s="26"/>
      <c r="L14" s="801"/>
      <c r="M14" s="802"/>
    </row>
    <row r="15" spans="1:33" s="2066" customFormat="1" ht="18" customHeight="1" thickBot="1">
      <c r="A15" s="1649" t="s">
        <v>1879</v>
      </c>
      <c r="B15" s="784" t="s">
        <v>644</v>
      </c>
      <c r="C15" s="53">
        <f ca="1">ROUND(C14*F15,0)</f>
        <v>0</v>
      </c>
      <c r="D15" s="806" t="s">
        <v>1740</v>
      </c>
      <c r="E15" s="806" t="s">
        <v>1741</v>
      </c>
      <c r="F15" s="807">
        <f>'数据-取费表'!B33</f>
        <v>0.03</v>
      </c>
      <c r="G15" s="1594"/>
      <c r="H15" s="2553" t="s">
        <v>1883</v>
      </c>
      <c r="I15" s="2548" t="s">
        <v>1738</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1880</v>
      </c>
      <c r="B16" s="784" t="s">
        <v>647</v>
      </c>
      <c r="C16" s="53">
        <f ca="1">ROUND(INDIRECT("'数据-取费表'!m"&amp;$G$1)*F16,0)</f>
        <v>0</v>
      </c>
      <c r="D16" s="784" t="s">
        <v>1740</v>
      </c>
      <c r="E16" s="784" t="s">
        <v>1741</v>
      </c>
      <c r="F16" s="809">
        <f ca="1">IF(INDIRECT("'数据-取费表'!c"&amp;$G$1)="住宅",'数据-取费表'!B34,0)</f>
        <v>0</v>
      </c>
      <c r="G16" s="1593"/>
      <c r="H16" s="1831" t="s">
        <v>1742</v>
      </c>
      <c r="I16" s="1829" t="s">
        <v>1743</v>
      </c>
      <c r="J16" s="792">
        <f ca="1">ROUND(J17+J22+J23+J24,0)</f>
        <v>0</v>
      </c>
      <c r="K16" s="1823" t="s">
        <v>1744</v>
      </c>
      <c r="L16" s="2488"/>
      <c r="M16" s="2493"/>
    </row>
    <row r="17" spans="1:33" s="2066" customFormat="1" ht="18" customHeight="1">
      <c r="A17" s="1649" t="s">
        <v>1881</v>
      </c>
      <c r="B17" s="784" t="s">
        <v>650</v>
      </c>
      <c r="C17" s="53">
        <f ca="1">ROUND(F17*(F43+INDIRECT("'数据-取费表'!S"&amp;$G$1))/10000,0)</f>
        <v>0</v>
      </c>
      <c r="D17" s="784" t="s">
        <v>1745</v>
      </c>
      <c r="E17" s="784" t="s">
        <v>1746</v>
      </c>
      <c r="F17" s="56">
        <f>'数据-取费表'!B35</f>
        <v>200</v>
      </c>
      <c r="G17" s="1594"/>
      <c r="H17" s="1650" t="s">
        <v>1824</v>
      </c>
      <c r="I17" s="784" t="s">
        <v>653</v>
      </c>
      <c r="J17" s="53">
        <f ca="1">ROUND(IF(项目基本情况!B11="自然人",J5*M17,J18+J19+J20),0)</f>
        <v>0</v>
      </c>
      <c r="K17" s="2487" t="s">
        <v>1747</v>
      </c>
      <c r="L17" s="2486" t="s">
        <v>1748</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1740</v>
      </c>
      <c r="E18" s="784" t="s">
        <v>1741</v>
      </c>
      <c r="F18" s="809">
        <f>'数据-取费表'!B36</f>
        <v>1.4999999999999999E-2</v>
      </c>
      <c r="G18" s="1594"/>
      <c r="H18" s="1649" t="s">
        <v>1878</v>
      </c>
      <c r="I18" s="784" t="s">
        <v>1749</v>
      </c>
      <c r="J18" s="53">
        <f ca="1">ROUND(J5*M18/1.05,1)</f>
        <v>0</v>
      </c>
      <c r="K18" s="2486" t="s">
        <v>1750</v>
      </c>
      <c r="L18" s="784" t="s">
        <v>1741</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659</v>
      </c>
      <c r="C19" s="53">
        <f ca="1">SUM(C14:C18)</f>
        <v>0</v>
      </c>
      <c r="D19" s="261" t="s">
        <v>1751</v>
      </c>
      <c r="E19" s="1984"/>
      <c r="F19" s="56"/>
      <c r="G19" s="1593"/>
      <c r="H19" s="1649" t="s">
        <v>1879</v>
      </c>
      <c r="I19" s="784" t="s">
        <v>1752</v>
      </c>
      <c r="J19" s="53">
        <f ca="1">IF(K19="按租金收入计税",ROUND(J5*M19,1),ROUND(C29*F33*0.7,1))</f>
        <v>0</v>
      </c>
      <c r="K19" s="811" t="s">
        <v>662</v>
      </c>
      <c r="L19" s="784" t="s">
        <v>1741</v>
      </c>
      <c r="M19" s="809">
        <f>IF(K19="按租金收入计税",'数据-取费表'!B51,'数据-取费表'!B50)</f>
        <v>1.2E-2</v>
      </c>
    </row>
    <row r="20" spans="1:33" s="2066" customFormat="1" ht="18" customHeight="1">
      <c r="A20" s="1650" t="s">
        <v>1883</v>
      </c>
      <c r="B20" s="784" t="s">
        <v>663</v>
      </c>
      <c r="C20" s="53">
        <f ca="1">ROUND(C19*F20,0)</f>
        <v>0</v>
      </c>
      <c r="D20" s="812" t="s">
        <v>1753</v>
      </c>
      <c r="E20" s="784" t="s">
        <v>1741</v>
      </c>
      <c r="F20" s="809">
        <f>'数据-取费表'!B37</f>
        <v>0.02</v>
      </c>
      <c r="G20" s="1594"/>
      <c r="H20" s="1652" t="s">
        <v>1874</v>
      </c>
      <c r="I20" s="341" t="s">
        <v>1754</v>
      </c>
      <c r="J20" s="54">
        <f ca="1">ROUND(M20*M21/10000,0)</f>
        <v>0</v>
      </c>
      <c r="K20" s="814" t="s">
        <v>1755</v>
      </c>
      <c r="L20" s="784" t="s">
        <v>1756</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1757</v>
      </c>
      <c r="C21" s="53" t="s">
        <v>1758</v>
      </c>
      <c r="D21" s="812" t="s">
        <v>2294</v>
      </c>
      <c r="E21" s="784" t="s">
        <v>1759</v>
      </c>
      <c r="F21" s="809">
        <f>'数据-取费表'!B38</f>
        <v>0.02</v>
      </c>
      <c r="G21" s="1594"/>
      <c r="H21" s="2508"/>
      <c r="I21" s="793"/>
      <c r="J21" s="69"/>
      <c r="K21" s="816"/>
      <c r="L21" s="784" t="s">
        <v>1760</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1761</v>
      </c>
      <c r="C22" s="53"/>
      <c r="D22" s="2574" t="str">
        <f>IF(F23&lt;=1,"单利计息。","复利计息。")&amp;"建造成本、管理费用、销售费用产生的利息。"</f>
        <v>复利计息。建造成本、管理费用、销售费用产生的利息。</v>
      </c>
      <c r="E22" s="1984"/>
      <c r="F22" s="56"/>
      <c r="G22" s="1593"/>
      <c r="H22" s="1650" t="s">
        <v>1883</v>
      </c>
      <c r="I22" s="784" t="s">
        <v>1762</v>
      </c>
      <c r="J22" s="53">
        <f ca="1">ROUND(J14*M22,0)</f>
        <v>0</v>
      </c>
      <c r="K22" s="2486" t="s">
        <v>1763</v>
      </c>
      <c r="L22" s="784" t="s">
        <v>1741</v>
      </c>
      <c r="M22" s="817">
        <f ca="1">INDIRECT("'数据-取费表'!Ak"&amp;$G$1)</f>
        <v>0</v>
      </c>
    </row>
    <row r="23" spans="1:33" s="2066" customFormat="1" ht="18" customHeight="1">
      <c r="A23" s="1649" t="s">
        <v>1825</v>
      </c>
      <c r="B23" s="784" t="s">
        <v>2531</v>
      </c>
      <c r="C23" s="53">
        <f ca="1">ROUND(IF('数据-取费表'!B22&lt;=1,(C19+C20)*F24*F23/2,(C19+C20)*(POWER((1+F24),F23/2)-1)),0)</f>
        <v>0</v>
      </c>
      <c r="D23" s="2573" t="str">
        <f>IF(F23&lt;=1,"(建造成本+管理费用)×利率×(建设周期÷2)","(建造成本+管理费用)×((1+利率)^(建设周期÷2)-1)")</f>
        <v>(建造成本+管理费用)×((1+利率)^(建设周期÷2)-1)</v>
      </c>
      <c r="E23" s="784" t="s">
        <v>1764</v>
      </c>
      <c r="F23" s="640">
        <f>'数据-取费表'!B20</f>
        <v>3</v>
      </c>
      <c r="G23" s="1594"/>
      <c r="H23" s="1650" t="s">
        <v>1884</v>
      </c>
      <c r="I23" s="784" t="s">
        <v>676</v>
      </c>
      <c r="J23" s="53">
        <f ca="1">ROUND(J13*M23,0)</f>
        <v>0</v>
      </c>
      <c r="K23" s="2486" t="s">
        <v>1765</v>
      </c>
      <c r="L23" s="784" t="s">
        <v>1741</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1766</v>
      </c>
      <c r="C24" s="53">
        <f ca="1">ROUND(IF('数据-取费表'!B22&lt;=1,F21*F24*F23/2,F21*(POWER((1+F24),F23/2)-1)),4)</f>
        <v>1.4E-3</v>
      </c>
      <c r="D24" s="2573" t="str">
        <f>IF(F23&lt;=1,"销售费用×利率×(建设周期÷2)","销售费用×((1+利率)^(建设周期÷2)-1)")</f>
        <v>销售费用×((1+利率)^(建设周期÷2)-1)</v>
      </c>
      <c r="E24" s="784" t="s">
        <v>1767</v>
      </c>
      <c r="F24" s="819">
        <f ca="1">'数据-取费表'!B40</f>
        <v>4.7500000000000001E-2</v>
      </c>
      <c r="G24" s="1594"/>
      <c r="H24" s="2553" t="s">
        <v>1885</v>
      </c>
      <c r="I24" s="2548" t="s">
        <v>663</v>
      </c>
      <c r="J24" s="2546">
        <f ca="1">ROUND(J5*M24,0)</f>
        <v>0</v>
      </c>
      <c r="K24" s="2547" t="s">
        <v>1768</v>
      </c>
      <c r="L24" s="2548" t="s">
        <v>1741</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1769</v>
      </c>
      <c r="E25" s="1984"/>
      <c r="F25" s="56"/>
      <c r="G25" s="1593"/>
      <c r="H25" s="1831" t="s">
        <v>1770</v>
      </c>
      <c r="I25" s="3012" t="s">
        <v>2817</v>
      </c>
      <c r="J25" s="792">
        <f ca="1">J5-J16</f>
        <v>0</v>
      </c>
      <c r="K25" s="2550" t="s">
        <v>1771</v>
      </c>
      <c r="L25" s="2551"/>
      <c r="M25" s="2552"/>
    </row>
    <row r="26" spans="1:33" ht="18" customHeight="1">
      <c r="A26" s="1649" t="s">
        <v>1825</v>
      </c>
      <c r="B26" s="784" t="s">
        <v>2434</v>
      </c>
      <c r="C26" s="53">
        <f ca="1">ROUND((C19+C20)*F26,0)</f>
        <v>0</v>
      </c>
      <c r="D26" s="812" t="s">
        <v>1772</v>
      </c>
      <c r="E26" s="795" t="s">
        <v>1773</v>
      </c>
      <c r="F26" s="794">
        <f ca="1">INDIRECT("'数据-取费表'!q"&amp;$G$1)</f>
        <v>0</v>
      </c>
      <c r="G26" s="1593"/>
      <c r="H26" s="2504" t="s">
        <v>1774</v>
      </c>
      <c r="I26" s="2234" t="s">
        <v>2822</v>
      </c>
      <c r="J26" s="783">
        <f ca="1">IF(J5&lt;&gt;0,ROUND(J25*(1-((1+M28)/(1+M26))^M27)/(M26-M28),0),0)</f>
        <v>0</v>
      </c>
      <c r="K26" s="814" t="s">
        <v>1775</v>
      </c>
      <c r="L26" s="784" t="s">
        <v>2415</v>
      </c>
      <c r="M26" s="794">
        <f ca="1">INDIRECT("'数据-取费表'!I"&amp;$G$1)</f>
        <v>0</v>
      </c>
    </row>
    <row r="27" spans="1:33" ht="18" customHeight="1">
      <c r="A27" s="1649" t="s">
        <v>1826</v>
      </c>
      <c r="B27" s="784" t="s">
        <v>683</v>
      </c>
      <c r="C27" s="53">
        <f ca="1">ROUND(F21*F26,4)</f>
        <v>0</v>
      </c>
      <c r="D27" s="812" t="s">
        <v>1776</v>
      </c>
      <c r="E27" s="806"/>
      <c r="F27" s="807"/>
      <c r="G27" s="1593"/>
      <c r="H27" s="2505"/>
      <c r="I27" s="787"/>
      <c r="J27" s="788"/>
      <c r="K27" s="821" t="s">
        <v>1777</v>
      </c>
      <c r="L27" s="784" t="s">
        <v>1778</v>
      </c>
      <c r="M27" s="822">
        <f ca="1">INDIRECT("'数据-取费表'!ag"&amp;$G$1)</f>
        <v>0</v>
      </c>
    </row>
    <row r="28" spans="1:33" s="2066" customFormat="1" ht="18" customHeight="1">
      <c r="A28" s="1651" t="s">
        <v>1835</v>
      </c>
      <c r="B28" s="784" t="s">
        <v>684</v>
      </c>
      <c r="C28" s="53">
        <f>ROUND(F28/(1+'数据-取费表'!C42),4)</f>
        <v>5.2400000000000002E-2</v>
      </c>
      <c r="D28" s="812" t="s">
        <v>2295</v>
      </c>
      <c r="E28" s="784" t="s">
        <v>1779</v>
      </c>
      <c r="F28" s="809">
        <f>'数据-取费表'!B41</f>
        <v>5.5000000000000007E-2</v>
      </c>
      <c r="G28" s="1594"/>
      <c r="H28" s="1831"/>
      <c r="I28" s="791"/>
      <c r="J28" s="792"/>
      <c r="K28" s="816"/>
      <c r="L28" s="784" t="s">
        <v>1780</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1783</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1887</v>
      </c>
      <c r="B30" s="1829" t="s">
        <v>1784</v>
      </c>
      <c r="C30" s="792">
        <f ca="1">ROUND(C31+C36+C37+C38,0)</f>
        <v>0</v>
      </c>
      <c r="D30" s="1823" t="s">
        <v>1785</v>
      </c>
      <c r="E30" s="2488"/>
      <c r="F30" s="2493"/>
      <c r="G30" s="2064"/>
      <c r="H30" s="2067"/>
      <c r="I30" s="2068"/>
      <c r="J30" s="2069"/>
      <c r="K30" s="2070"/>
      <c r="L30" s="2071"/>
      <c r="M30" s="2072"/>
    </row>
    <row r="31" spans="1:33" ht="18" customHeight="1">
      <c r="A31" s="1650" t="s">
        <v>1824</v>
      </c>
      <c r="B31" s="784" t="s">
        <v>653</v>
      </c>
      <c r="C31" s="53">
        <f ca="1">ROUND(IF(项目基本情况!B11="自然人",C5*F31,C32+C33+C34),1)</f>
        <v>0</v>
      </c>
      <c r="D31" s="1981" t="s">
        <v>1786</v>
      </c>
      <c r="E31" s="1979" t="s">
        <v>1787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1788</v>
      </c>
      <c r="C32" s="53">
        <f ca="1">ROUND(C5*F32/1.05,1)</f>
        <v>0</v>
      </c>
      <c r="D32" s="1979" t="s">
        <v>1789</v>
      </c>
      <c r="E32" s="784" t="s">
        <v>1790</v>
      </c>
      <c r="F32" s="809">
        <f>'数据-取费表'!B41</f>
        <v>5.5000000000000007E-2</v>
      </c>
      <c r="G32" s="2064"/>
      <c r="H32" s="2073"/>
      <c r="I32" s="2074"/>
      <c r="J32" s="2075"/>
      <c r="K32" s="2076"/>
      <c r="L32" s="2077"/>
      <c r="M32" s="2078"/>
    </row>
    <row r="33" spans="1:18" ht="18" customHeight="1">
      <c r="A33" s="1649" t="s">
        <v>1826</v>
      </c>
      <c r="B33" s="784" t="s">
        <v>1791</v>
      </c>
      <c r="C33" s="53">
        <f ca="1">IF(D33="按租金收入计税",ROUND(C5*F33,1),IF(D33="按房产原值计税",ROUND(C29*F33*0.7,1),INDIRECT("'数据-取费表'!Aj"&amp;$G$1)))</f>
        <v>0</v>
      </c>
      <c r="D33" s="811" t="s">
        <v>1677</v>
      </c>
      <c r="E33" s="784" t="s">
        <v>1790</v>
      </c>
      <c r="F33" s="809">
        <f>IF(D33="按租金收入计税",'数据-取费表'!B51,'数据-取费表'!B50)</f>
        <v>1.2E-2</v>
      </c>
      <c r="G33" s="2064"/>
      <c r="H33" s="2079"/>
      <c r="I33" s="2079"/>
      <c r="J33" s="2079"/>
      <c r="K33" s="2080"/>
      <c r="L33" s="2079"/>
      <c r="M33" s="2079"/>
    </row>
    <row r="34" spans="1:18" ht="18" customHeight="1">
      <c r="A34" s="1652" t="s">
        <v>1827</v>
      </c>
      <c r="B34" s="341" t="s">
        <v>1792</v>
      </c>
      <c r="C34" s="54">
        <f ca="1">ROUND(F34*F35/10000,1)</f>
        <v>0</v>
      </c>
      <c r="D34" s="814" t="s">
        <v>1793</v>
      </c>
      <c r="E34" s="784" t="s">
        <v>1794</v>
      </c>
      <c r="F34" s="640">
        <f>'数据-取费表'!B52</f>
        <v>1.5</v>
      </c>
      <c r="G34" s="2064"/>
      <c r="H34" s="2067"/>
      <c r="I34" s="835" t="s">
        <v>1807</v>
      </c>
      <c r="J34" s="836"/>
      <c r="K34" s="2082"/>
      <c r="L34" s="2081"/>
      <c r="M34" s="2081"/>
    </row>
    <row r="35" spans="1:18" ht="18" customHeight="1">
      <c r="A35" s="815"/>
      <c r="B35" s="793"/>
      <c r="C35" s="69"/>
      <c r="D35" s="816"/>
      <c r="E35" s="784" t="s">
        <v>1795</v>
      </c>
      <c r="F35" s="785">
        <f ca="1">INDIRECT("'数据-取费表'!r"&amp;$G$1)</f>
        <v>0</v>
      </c>
      <c r="G35" s="2064"/>
      <c r="H35" s="2067"/>
      <c r="I35" s="837" t="s">
        <v>1808</v>
      </c>
      <c r="J35" s="838">
        <f ca="1">ROUND(C13*J36,0)</f>
        <v>0</v>
      </c>
      <c r="K35" s="2080"/>
      <c r="L35" s="2079"/>
      <c r="M35" s="2079"/>
    </row>
    <row r="36" spans="1:18" ht="18" customHeight="1">
      <c r="A36" s="1650" t="s">
        <v>1883</v>
      </c>
      <c r="B36" s="784" t="s">
        <v>1796</v>
      </c>
      <c r="C36" s="53">
        <f ca="1">ROUND(C29*F36,1)</f>
        <v>0</v>
      </c>
      <c r="D36" s="1979" t="s">
        <v>1797</v>
      </c>
      <c r="E36" s="784" t="s">
        <v>1790</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1979" t="s">
        <v>1798</v>
      </c>
      <c r="E37" s="784" t="s">
        <v>1790</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1799</v>
      </c>
      <c r="E38" s="2548" t="s">
        <v>1790</v>
      </c>
      <c r="F38" s="2544">
        <f ca="1">INDIRECT("'数据-取费表'!Am"&amp;$G$1)</f>
        <v>0</v>
      </c>
      <c r="G38" s="2064"/>
      <c r="H38" s="2079"/>
      <c r="I38" s="843" t="s">
        <v>1811</v>
      </c>
      <c r="J38" s="844"/>
      <c r="K38" s="2085"/>
      <c r="L38" s="2079"/>
      <c r="M38" s="2079"/>
    </row>
    <row r="39" spans="1:18" ht="24.6" customHeight="1" thickTop="1">
      <c r="A39" s="1831" t="s">
        <v>1888</v>
      </c>
      <c r="B39" s="3012" t="s">
        <v>2817</v>
      </c>
      <c r="C39" s="792">
        <f ca="1">C5-C30</f>
        <v>0</v>
      </c>
      <c r="D39" s="2550" t="s">
        <v>1800</v>
      </c>
      <c r="E39" s="2551"/>
      <c r="F39" s="2552"/>
      <c r="G39" s="2064"/>
      <c r="H39" s="2079"/>
      <c r="I39" s="837" t="s">
        <v>1812</v>
      </c>
      <c r="J39" s="845" t="e">
        <f ca="1">ROUND(J35/C39,3)</f>
        <v>#DIV/0!</v>
      </c>
      <c r="K39" s="2085"/>
      <c r="L39" s="2079"/>
      <c r="M39" s="2079"/>
    </row>
    <row r="40" spans="1:18" ht="18" customHeight="1">
      <c r="A40" s="781" t="s">
        <v>1889</v>
      </c>
      <c r="B40" s="2234" t="s">
        <v>2297</v>
      </c>
      <c r="C40" s="783" t="e">
        <f ca="1">ROUND(C39*(1-((1+F42)/(1+F40))^F41)/(F40-F42),0)</f>
        <v>#DIV/0!</v>
      </c>
      <c r="D40" s="814" t="s">
        <v>1801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2961</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1803</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2533</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1733</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1734</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2972</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31" t="s">
        <v>2963</v>
      </c>
      <c r="L53" s="3532"/>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2298</v>
      </c>
      <c r="C56" s="53">
        <f ca="1">C29</f>
        <v>0</v>
      </c>
      <c r="D56" s="2641"/>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1742</v>
      </c>
      <c r="B57" s="798" t="s">
        <v>648</v>
      </c>
      <c r="C57" s="799">
        <f ca="1">ROUND(C58+C63+C64+C65,0)</f>
        <v>0</v>
      </c>
      <c r="D57" s="26" t="s">
        <v>1744</v>
      </c>
      <c r="E57" s="2642"/>
      <c r="F57" s="56"/>
      <c r="I57" s="3171" t="s">
        <v>2354</v>
      </c>
      <c r="J57" s="3172" t="str">
        <f ca="1">IF(OR(M47="住宅",J51&lt;L48,J56="是"),"——",J51-L48)</f>
        <v>——</v>
      </c>
      <c r="K57" s="3129" t="s">
        <v>2359</v>
      </c>
      <c r="L57" s="1910">
        <f ca="1">IF(L48&lt;J51,"——",IF(L55="比较法",L49,IF(L55="基准地价",L50,L51)))</f>
        <v>0</v>
      </c>
      <c r="O57" s="2400" t="s">
        <v>2375</v>
      </c>
      <c r="P57" s="2401" t="s">
        <v>2405</v>
      </c>
      <c r="Q57" s="2402" t="e">
        <f ca="1">C40+J29</f>
        <v>#DIV/0!</v>
      </c>
      <c r="R57" s="2401" t="s">
        <v>2376</v>
      </c>
    </row>
    <row r="58" spans="1:18" s="2061" customFormat="1" ht="28.5" customHeight="1" thickBot="1">
      <c r="A58" s="1650" t="s">
        <v>1818</v>
      </c>
      <c r="B58" s="784" t="s">
        <v>653</v>
      </c>
      <c r="C58" s="53">
        <f ca="1">ROUND(IF(项目基本情况!B11="自然人",C47*F58,C59+C60+C61),1)</f>
        <v>0</v>
      </c>
      <c r="D58" s="2640" t="s">
        <v>654</v>
      </c>
      <c r="E58" s="2641"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2641" t="s">
        <v>1750</v>
      </c>
      <c r="E59" s="784" t="s">
        <v>1741</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1752</v>
      </c>
      <c r="C60" s="53">
        <f ca="1">IF(D60="按租金收入计税",ROUND(C47*F60,1),IF(D60="按房产原值计税",ROUND(C56*F60*0.7,1),INDIRECT("'数据-取费表'!Aj"&amp;$G$1)))</f>
        <v>0</v>
      </c>
      <c r="D60" s="2641" t="str">
        <f>D33</f>
        <v>按房产原值计税</v>
      </c>
      <c r="E60" s="784" t="s">
        <v>1741</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2641" t="s">
        <v>1797</v>
      </c>
      <c r="E63" s="784" t="s">
        <v>1741</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2641" t="s">
        <v>677</v>
      </c>
      <c r="E64" s="784" t="s">
        <v>1741</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2641" t="s">
        <v>680</v>
      </c>
      <c r="E65" s="784" t="s">
        <v>1741</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2640" t="s">
        <v>697</v>
      </c>
      <c r="E66" s="2639"/>
      <c r="F66" s="820"/>
      <c r="K66" s="2088"/>
      <c r="O66" s="2400" t="s">
        <v>2375</v>
      </c>
      <c r="P66" s="2401" t="s">
        <v>2405</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1778</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H1" zoomScale="80" zoomScaleNormal="80" workbookViewId="0">
      <selection activeCell="AA6" sqref="AA6"/>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42" t="s">
        <v>2572</v>
      </c>
      <c r="C1" s="3542"/>
      <c r="D1" s="3542"/>
      <c r="E1" s="3542"/>
      <c r="F1" s="3542"/>
      <c r="G1" s="3541" t="s">
        <v>2573</v>
      </c>
      <c r="H1" s="3541"/>
      <c r="I1" s="3541"/>
      <c r="J1" s="3541"/>
      <c r="K1" s="3541"/>
      <c r="L1" s="3541"/>
      <c r="N1" s="3541" t="s">
        <v>2574</v>
      </c>
      <c r="O1" s="3541"/>
      <c r="P1" s="3541"/>
      <c r="Q1" s="3541"/>
      <c r="R1" s="2656"/>
      <c r="S1" s="3541" t="s">
        <v>2575</v>
      </c>
      <c r="T1" s="3541"/>
      <c r="U1" s="3541"/>
      <c r="V1" s="3541"/>
      <c r="X1" s="3540" t="s">
        <v>2635</v>
      </c>
      <c r="Y1" s="3541"/>
      <c r="Z1" s="3541"/>
      <c r="AA1" s="3541"/>
      <c r="AB1" s="3541"/>
      <c r="AD1" s="3540" t="s">
        <v>2639</v>
      </c>
      <c r="AE1" s="3541"/>
      <c r="AF1" s="3541"/>
      <c r="AG1" s="3541"/>
      <c r="AH1" s="3541"/>
    </row>
    <row r="2" spans="1:34" s="2758" customFormat="1" ht="14.25" thickBot="1">
      <c r="B2" s="2766" t="s">
        <v>2576</v>
      </c>
      <c r="C2" s="2766" t="s">
        <v>2637</v>
      </c>
      <c r="D2" s="2759" t="s">
        <v>1641</v>
      </c>
      <c r="E2" s="2759" t="s">
        <v>1945</v>
      </c>
      <c r="F2" s="2766" t="s">
        <v>2638</v>
      </c>
      <c r="G2" s="2762"/>
      <c r="H2" s="2761"/>
      <c r="I2" s="2766" t="s">
        <v>2953</v>
      </c>
      <c r="J2" s="2759" t="s">
        <v>2955</v>
      </c>
      <c r="K2" s="2759" t="s">
        <v>2956</v>
      </c>
      <c r="L2" s="2766" t="s">
        <v>2957</v>
      </c>
      <c r="N2" s="2766" t="s">
        <v>2576</v>
      </c>
      <c r="O2" s="2759" t="s">
        <v>2954</v>
      </c>
      <c r="P2" s="2759" t="s">
        <v>1945</v>
      </c>
      <c r="Q2" s="2766" t="s">
        <v>2638</v>
      </c>
      <c r="R2" s="2760"/>
      <c r="S2" s="2766" t="s">
        <v>2576</v>
      </c>
      <c r="T2" s="2759" t="s">
        <v>2954</v>
      </c>
      <c r="U2" s="2759" t="s">
        <v>1945</v>
      </c>
      <c r="V2" s="2766" t="s">
        <v>2638</v>
      </c>
      <c r="X2" s="2766" t="s">
        <v>2576</v>
      </c>
      <c r="Y2" s="2766" t="s">
        <v>2637</v>
      </c>
      <c r="Z2" s="2759" t="s">
        <v>1641</v>
      </c>
      <c r="AA2" s="2759" t="s">
        <v>1945</v>
      </c>
      <c r="AB2" s="2766" t="s">
        <v>2638</v>
      </c>
      <c r="AD2" s="2766" t="s">
        <v>2576</v>
      </c>
      <c r="AE2" s="2766" t="s">
        <v>2637</v>
      </c>
      <c r="AF2" s="2759" t="s">
        <v>1641</v>
      </c>
      <c r="AG2" s="2759" t="s">
        <v>1945</v>
      </c>
      <c r="AH2" s="2766" t="s">
        <v>2638</v>
      </c>
    </row>
    <row r="3" spans="1:34" s="3137" customFormat="1" ht="14.25">
      <c r="A3" s="3149" t="s">
        <v>2966</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2967</v>
      </c>
      <c r="X5" s="3121">
        <f>ROUND(SUMPRODUCT(PRODUCT(1+N6:N$24)),4)</f>
        <v>1.54</v>
      </c>
      <c r="Y5" s="3121">
        <f>ROUND(SUMPRODUCT(PRODUCT(1+O6:O$24)),4)</f>
        <v>1.3547</v>
      </c>
      <c r="Z5" s="3121">
        <f t="shared" ref="Z5" si="10">Y5</f>
        <v>1.3547</v>
      </c>
      <c r="AA5" s="3121">
        <f>ROUND(SUMPRODUCT(PRODUCT(1+P6:P$24)),4)</f>
        <v>1.605</v>
      </c>
      <c r="AB5" s="3121">
        <f>ROUND(SUMPRODUCT(PRODUCT(1+Q6:Q$24)),4)</f>
        <v>1.3265</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ROUND(SUMPRODUCT(PRODUCT(1+N7:N$24)),4)</f>
        <v>1.5170999999999999</v>
      </c>
      <c r="Y6" s="2756">
        <f>ROUND(SUMPRODUCT(PRODUCT(1+O7:O$24)),4)</f>
        <v>1.3358000000000001</v>
      </c>
      <c r="Z6" s="2756">
        <f t="shared" ref="Z6" si="20">Y6</f>
        <v>1.3358000000000001</v>
      </c>
      <c r="AA6" s="2756">
        <f>ROUND(SUMPRODUCT(PRODUCT(1+P7:P$24)),4)</f>
        <v>1.5809</v>
      </c>
      <c r="AB6" s="2756">
        <f>ROUND(SUMPRODUCT(PRODUCT(1+Q7:Q$24)),4)</f>
        <v>1.3038000000000001</v>
      </c>
      <c r="AC6" s="2756"/>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ROUND(SUMPRODUCT(PRODUCT(1+N8:N$24)),4)</f>
        <v>1.4947999999999999</v>
      </c>
      <c r="Y7" s="2756">
        <f>ROUND(SUMPRODUCT(PRODUCT(1+O8:O$24)),4)</f>
        <v>1.3230999999999999</v>
      </c>
      <c r="Z7" s="2756">
        <f t="shared" ref="Z7" si="30">Y7</f>
        <v>1.3230999999999999</v>
      </c>
      <c r="AA7" s="2756">
        <f>ROUND(SUMPRODUCT(PRODUCT(1+P8:P$24)),4)</f>
        <v>1.5564</v>
      </c>
      <c r="AB7" s="2756">
        <f>ROUND(SUMPRODUCT(PRODUCT(1+Q8:Q$24)),4)</f>
        <v>1.2726999999999999</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ROUND(SUMPRODUCT(PRODUCT(1+N9:N$24)),4)</f>
        <v>1.4698</v>
      </c>
      <c r="Y8" s="2756">
        <f>ROUND(SUMPRODUCT(PRODUCT(1+O9:O$24)),4)</f>
        <v>1.2982</v>
      </c>
      <c r="Z8" s="2756">
        <f t="shared" ref="Z8" si="40">Y8</f>
        <v>1.2982</v>
      </c>
      <c r="AA8" s="2756">
        <f>ROUND(SUMPRODUCT(PRODUCT(1+P9:P$24)),4)</f>
        <v>1.5311999999999999</v>
      </c>
      <c r="AB8" s="2756">
        <f>ROUND(SUMPRODUCT(PRODUCT(1+Q9:Q$24)),4)</f>
        <v>1.2476</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ROUND(SUMPRODUCT(PRODUCT(1+N10:N$24)),4)</f>
        <v>1.4451000000000001</v>
      </c>
      <c r="Y9" s="2756">
        <f>ROUND(SUMPRODUCT(PRODUCT(1+O10:O$24)),4)</f>
        <v>1.2755000000000001</v>
      </c>
      <c r="Z9" s="2756">
        <f t="shared" si="0"/>
        <v>1.2755000000000001</v>
      </c>
      <c r="AA9" s="2756">
        <f>ROUND(SUMPRODUCT(PRODUCT(1+P10:P$24)),4)</f>
        <v>1.5055000000000001</v>
      </c>
      <c r="AB9" s="2756">
        <f>ROUND(SUMPRODUCT(PRODUCT(1+Q10:Q$24)),4)</f>
        <v>1.2301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ROUND(SUMPRODUCT(PRODUCT(1+N11:N$24)),4)</f>
        <v>1.4033</v>
      </c>
      <c r="Y10" s="2756">
        <f>ROUND(SUMPRODUCT(PRODUCT(1+O11:O$24)),4)</f>
        <v>1.2491000000000001</v>
      </c>
      <c r="Z10" s="2756">
        <f t="shared" si="0"/>
        <v>1.2491000000000001</v>
      </c>
      <c r="AA10" s="2756">
        <f>ROUND(SUMPRODUCT(PRODUCT(1+P11:P$24)),4)</f>
        <v>1.4581999999999999</v>
      </c>
      <c r="AB10" s="2756">
        <f>ROUND(SUMPRODUCT(PRODUCT(1+Q11:Q$24)),4)</f>
        <v>1.2093</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2577</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ROUND(SUMPRODUCT(PRODUCT(1+N12:N$24)),4)</f>
        <v>1.3571</v>
      </c>
      <c r="Y11" s="2756">
        <f>ROUND(SUMPRODUCT(PRODUCT(1+O12:O$24)),4)</f>
        <v>1.2245999999999999</v>
      </c>
      <c r="Z11" s="2756">
        <f t="shared" si="0"/>
        <v>1.2245999999999999</v>
      </c>
      <c r="AA11" s="2756">
        <f>ROUND(SUMPRODUCT(PRODUCT(1+P12:P$24)),4)</f>
        <v>1.4046000000000001</v>
      </c>
      <c r="AB11" s="2756">
        <f>ROUND(SUMPRODUCT(PRODUCT(1+Q12:Q$24)),4)</f>
        <v>1.1893</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2578</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ROUND(SUMPRODUCT(PRODUCT(1+N13:N$24)),4)</f>
        <v>1.3119000000000001</v>
      </c>
      <c r="Y12" s="2756">
        <f>ROUND(SUMPRODUCT(PRODUCT(1+O13:O$24)),4)</f>
        <v>1.2016</v>
      </c>
      <c r="Z12" s="2756">
        <f t="shared" si="0"/>
        <v>1.2016</v>
      </c>
      <c r="AA12" s="2756">
        <f>ROUND(SUMPRODUCT(PRODUCT(1+P13:P$24)),4)</f>
        <v>1.3515999999999999</v>
      </c>
      <c r="AB12" s="2756">
        <f>ROUND(SUMPRODUCT(PRODUCT(1+Q13:Q$24)),4)</f>
        <v>1.1708000000000001</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968</v>
      </c>
      <c r="B13" s="2663">
        <v>392</v>
      </c>
      <c r="C13" s="2663">
        <v>302</v>
      </c>
      <c r="D13" s="2663">
        <f t="shared" si="33"/>
        <v>302</v>
      </c>
      <c r="E13" s="2663">
        <v>553</v>
      </c>
      <c r="F13" s="2664">
        <v>266</v>
      </c>
      <c r="G13" s="3539">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ROUND(SUMPRODUCT(PRODUCT(1+N14:N$24)),4)</f>
        <v>1.2546999999999999</v>
      </c>
      <c r="Y13" s="2756">
        <f>ROUND(SUMPRODUCT(PRODUCT(1+O14:O$24)),4)</f>
        <v>1.1762999999999999</v>
      </c>
      <c r="Z13" s="2756">
        <f t="shared" si="0"/>
        <v>1.1762999999999999</v>
      </c>
      <c r="AA13" s="2756">
        <f>ROUND(SUMPRODUCT(PRODUCT(1+P14:P$24)),4)</f>
        <v>1.2833000000000001</v>
      </c>
      <c r="AB13" s="2756">
        <f>ROUND(SUMPRODUCT(PRODUCT(1+Q14:Q$24)),4)</f>
        <v>1.1527000000000001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967</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537"/>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ROUND(SUMPRODUCT(PRODUCT(1+N15:N$24)),4)</f>
        <v>1.2050000000000001</v>
      </c>
      <c r="Y14" s="2756">
        <f>ROUND(SUMPRODUCT(PRODUCT(1+O15:O$24)),4)</f>
        <v>1.1532</v>
      </c>
      <c r="Z14" s="2756">
        <f t="shared" si="0"/>
        <v>1.1532</v>
      </c>
      <c r="AA14" s="2756">
        <f>ROUND(SUMPRODUCT(PRODUCT(1+P15:P$24)),4)</f>
        <v>1.2246999999999999</v>
      </c>
      <c r="AB14" s="2756">
        <f>ROUND(SUMPRODUCT(PRODUCT(1+Q15:Q$24)),4)</f>
        <v>1.1304000000000001</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957</v>
      </c>
      <c r="B15" s="2671">
        <f t="shared" si="54"/>
        <v>360.06949782209392</v>
      </c>
      <c r="C15" s="2671">
        <f t="shared" si="54"/>
        <v>289.84672674747821</v>
      </c>
      <c r="D15" s="2671">
        <f t="shared" si="55"/>
        <v>289.84672674747821</v>
      </c>
      <c r="E15" s="2671">
        <f t="shared" si="56"/>
        <v>501.06543001181495</v>
      </c>
      <c r="F15" s="2671">
        <f t="shared" si="56"/>
        <v>256.82882500744967</v>
      </c>
      <c r="G15" s="3537"/>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ROUND(SUMPRODUCT(PRODUCT(1+N16:N$24)),4)</f>
        <v>1.1604000000000001</v>
      </c>
      <c r="Y15" s="2756">
        <f>ROUND(SUMPRODUCT(PRODUCT(1+O16:O$24)),4)</f>
        <v>1.1312</v>
      </c>
      <c r="Z15" s="2756">
        <f t="shared" si="0"/>
        <v>1.1312</v>
      </c>
      <c r="AA15" s="2756">
        <f>ROUND(SUMPRODUCT(PRODUCT(1+P16:P$24)),4)</f>
        <v>1.1721999999999999</v>
      </c>
      <c r="AB15" s="2756">
        <f>ROUND(SUMPRODUCT(PRODUCT(1+Q16:Q$24)),4)</f>
        <v>1.1147</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966</v>
      </c>
      <c r="B16" s="2671">
        <f t="shared" si="54"/>
        <v>346.720748986128</v>
      </c>
      <c r="C16" s="2671">
        <f t="shared" si="54"/>
        <v>284.30282172386285</v>
      </c>
      <c r="D16" s="2671">
        <f t="shared" si="55"/>
        <v>284.30282172386285</v>
      </c>
      <c r="E16" s="2671">
        <f t="shared" si="56"/>
        <v>479.58023546306947</v>
      </c>
      <c r="F16" s="2671">
        <f t="shared" si="56"/>
        <v>253.25788877571213</v>
      </c>
      <c r="G16" s="3538"/>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ROUND(SUMPRODUCT(PRODUCT(1+N17:N$24)),4)</f>
        <v>1.1148</v>
      </c>
      <c r="Y16" s="2756">
        <f>ROUND(SUMPRODUCT(PRODUCT(1+O17:O$24)),4)</f>
        <v>1.099</v>
      </c>
      <c r="Z16" s="2756">
        <f t="shared" si="0"/>
        <v>1.099</v>
      </c>
      <c r="AA16" s="2756">
        <f>ROUND(SUMPRODUCT(PRODUCT(1+P17:P$24)),4)</f>
        <v>1.1213</v>
      </c>
      <c r="AB16" s="2756">
        <f>ROUND(SUMPRODUCT(PRODUCT(1+Q17:Q$24)),4)</f>
        <v>1.0984</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965</v>
      </c>
      <c r="B17" s="2663">
        <v>333</v>
      </c>
      <c r="C17" s="2663">
        <v>277</v>
      </c>
      <c r="D17" s="2663">
        <f t="shared" si="55"/>
        <v>277</v>
      </c>
      <c r="E17" s="2663">
        <v>459</v>
      </c>
      <c r="F17" s="2664">
        <v>249</v>
      </c>
      <c r="G17" s="3536">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ROUND(SUMPRODUCT(PRODUCT(1+N18:N$24)),4)</f>
        <v>1.0969</v>
      </c>
      <c r="Y17" s="2756">
        <f>ROUND(SUMPRODUCT(PRODUCT(1+O18:O$24)),4)</f>
        <v>1.0869</v>
      </c>
      <c r="Z17" s="2756">
        <f t="shared" si="0"/>
        <v>1.0869</v>
      </c>
      <c r="AA17" s="2756">
        <f>ROUND(SUMPRODUCT(PRODUCT(1+P18:P$24)),4)</f>
        <v>1.1017999999999999</v>
      </c>
      <c r="AB17" s="2756">
        <f>ROUND(SUMPRODUCT(PRODUCT(1+Q18:Q$24)),4)</f>
        <v>1.0781000000000001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964</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537"/>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ROUND(SUMPRODUCT(PRODUCT(1+N19:N$24)),4)</f>
        <v>1.0790999999999999</v>
      </c>
      <c r="Y18" s="2756">
        <f>ROUND(SUMPRODUCT(PRODUCT(1+O19:O$24)),4)</f>
        <v>1.077</v>
      </c>
      <c r="Z18" s="2756">
        <f t="shared" si="0"/>
        <v>1.077</v>
      </c>
      <c r="AA18" s="2756">
        <f>ROUND(SUMPRODUCT(PRODUCT(1+P19:P$24)),4)</f>
        <v>1.0813999999999999</v>
      </c>
      <c r="AB18" s="2756">
        <f>ROUND(SUMPRODUCT(PRODUCT(1+Q19:Q$24)),4)</f>
        <v>1.0647</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963</v>
      </c>
      <c r="B19" s="2671">
        <f t="shared" si="58"/>
        <v>322.34053690220776</v>
      </c>
      <c r="C19" s="2671">
        <f t="shared" si="58"/>
        <v>271.46160770422546</v>
      </c>
      <c r="D19" s="2671">
        <f t="shared" si="55"/>
        <v>271.46160770422546</v>
      </c>
      <c r="E19" s="2671">
        <f t="shared" si="59"/>
        <v>442.69434542172456</v>
      </c>
      <c r="F19" s="2671">
        <f t="shared" si="59"/>
        <v>241.34030753190925</v>
      </c>
      <c r="G19" s="3537"/>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ROUND(SUMPRODUCT(PRODUCT(1+N20:N$24)),4)</f>
        <v>1.0708</v>
      </c>
      <c r="Y19" s="2756">
        <f>ROUND(SUMPRODUCT(PRODUCT(1+O20:O$24)),4)</f>
        <v>1.0696000000000001</v>
      </c>
      <c r="Z19" s="2756">
        <f t="shared" si="0"/>
        <v>1.0696000000000001</v>
      </c>
      <c r="AA19" s="2756">
        <f>ROUND(SUMPRODUCT(PRODUCT(1+P20:P$24)),4)</f>
        <v>1.0728</v>
      </c>
      <c r="AB19" s="2756">
        <f>ROUND(SUMPRODUCT(PRODUCT(1+Q20:Q$24)),4)</f>
        <v>1.0553999999999999</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962</v>
      </c>
      <c r="B20" s="2671">
        <f t="shared" si="58"/>
        <v>319.87748030386797</v>
      </c>
      <c r="C20" s="2671">
        <f t="shared" si="58"/>
        <v>269.60135833173649</v>
      </c>
      <c r="D20" s="2671">
        <f t="shared" si="55"/>
        <v>269.60135833173649</v>
      </c>
      <c r="E20" s="2671">
        <f t="shared" si="59"/>
        <v>439.18089823583784</v>
      </c>
      <c r="F20" s="2671">
        <f t="shared" si="59"/>
        <v>239.23503918706311</v>
      </c>
      <c r="G20" s="3538"/>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ROUND(SUMPRODUCT(PRODUCT(1+N21:N$24)),4)</f>
        <v>1.0653999999999999</v>
      </c>
      <c r="Y20" s="2756">
        <f>ROUND(SUMPRODUCT(PRODUCT(1+O21:O$24)),4)</f>
        <v>1.0639000000000001</v>
      </c>
      <c r="Z20" s="2756">
        <f t="shared" si="0"/>
        <v>1.0639000000000001</v>
      </c>
      <c r="AA20" s="2756">
        <f>ROUND(SUMPRODUCT(PRODUCT(1+P21:P$24)),4)</f>
        <v>1.0677000000000001</v>
      </c>
      <c r="AB20" s="2756">
        <f>ROUND(SUMPRODUCT(PRODUCT(1+Q21:Q$24)),4)</f>
        <v>1.0456000000000001</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961</v>
      </c>
      <c r="B21" s="2685">
        <v>318</v>
      </c>
      <c r="C21" s="2685">
        <v>268</v>
      </c>
      <c r="D21" s="2685">
        <f t="shared" si="55"/>
        <v>268</v>
      </c>
      <c r="E21" s="2685">
        <v>437</v>
      </c>
      <c r="F21" s="2686">
        <v>237</v>
      </c>
      <c r="G21" s="3536">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ROUND(SUMPRODUCT(PRODUCT(1+N22:N$24)),4)</f>
        <v>1.0631999999999999</v>
      </c>
      <c r="Y21" s="2756">
        <f>ROUND(SUMPRODUCT(PRODUCT(1+O22:O$24)),4)</f>
        <v>1.0595000000000001</v>
      </c>
      <c r="Z21" s="2756">
        <f t="shared" si="0"/>
        <v>1.0595000000000001</v>
      </c>
      <c r="AA21" s="2756">
        <f>ROUND(SUMPRODUCT(PRODUCT(1+P22:P$24)),4)</f>
        <v>1.0664</v>
      </c>
      <c r="AB21" s="2756">
        <f>ROUND(SUMPRODUCT(PRODUCT(1+Q22:Q$24)),4)</f>
        <v>1.0364</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960</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537"/>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ROUND(SUMPRODUCT(PRODUCT(1+N23:N$24)),4)</f>
        <v>1.0544</v>
      </c>
      <c r="Y22" s="2756">
        <f>ROUND(SUMPRODUCT(PRODUCT(1+O23:O$24)),4)</f>
        <v>1.0442</v>
      </c>
      <c r="Z22" s="2756">
        <f t="shared" ref="Z22:Z23" si="62">Y22</f>
        <v>1.0442</v>
      </c>
      <c r="AA22" s="2756">
        <f>ROUND(SUMPRODUCT(PRODUCT(1+P23:P$24)),4)</f>
        <v>1.0595000000000001</v>
      </c>
      <c r="AB22" s="2756">
        <f>ROUND(SUMPRODUCT(PRODUCT(1+Q23:Q$24)),4)</f>
        <v>1.0289999999999999</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959</v>
      </c>
      <c r="B23" s="2671">
        <f t="shared" si="60"/>
        <v>314.72141172386546</v>
      </c>
      <c r="C23" s="2671">
        <f t="shared" si="60"/>
        <v>263.03901319069001</v>
      </c>
      <c r="D23" s="2671">
        <f t="shared" si="55"/>
        <v>263.03901319069001</v>
      </c>
      <c r="E23" s="2671">
        <f t="shared" si="61"/>
        <v>433.65745506782821</v>
      </c>
      <c r="F23" s="2671">
        <f t="shared" si="61"/>
        <v>233.23005080045735</v>
      </c>
      <c r="G23" s="3537"/>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ROUND(SUMPRODUCT(PRODUCT(1+N24:N$24)),4)</f>
        <v>1.0297000000000001</v>
      </c>
      <c r="Y23" s="2756">
        <f>ROUND(SUMPRODUCT(PRODUCT(1+O24:O$24)),4)</f>
        <v>1.0234000000000001</v>
      </c>
      <c r="Z23" s="2756">
        <f t="shared" si="62"/>
        <v>1.0234000000000001</v>
      </c>
      <c r="AA23" s="2756">
        <f>ROUND(SUMPRODUCT(PRODUCT(1+P24:P$24)),4)</f>
        <v>1.0327999999999999</v>
      </c>
      <c r="AB23" s="2756">
        <f>ROUND(SUMPRODUCT(PRODUCT(1+Q24:Q$24)),4)</f>
        <v>1.0136000000000001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958</v>
      </c>
      <c r="B24" s="2690">
        <f t="shared" si="60"/>
        <v>307.34512863658733</v>
      </c>
      <c r="C24" s="2690">
        <f t="shared" si="60"/>
        <v>257.80556031626975</v>
      </c>
      <c r="D24" s="2690">
        <f t="shared" si="55"/>
        <v>257.80556031626975</v>
      </c>
      <c r="E24" s="2690">
        <f t="shared" si="61"/>
        <v>422.70928459677179</v>
      </c>
      <c r="F24" s="2690">
        <f t="shared" si="61"/>
        <v>229.73803270336617</v>
      </c>
      <c r="G24" s="3538"/>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2636</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2579</v>
      </c>
      <c r="B25" s="2663">
        <v>299</v>
      </c>
      <c r="C25" s="2663">
        <v>252</v>
      </c>
      <c r="D25" s="2663">
        <f t="shared" si="55"/>
        <v>252</v>
      </c>
      <c r="E25" s="2663">
        <v>409</v>
      </c>
      <c r="F25" s="2664">
        <v>227</v>
      </c>
      <c r="G25" s="3543">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2580</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544"/>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2581</v>
      </c>
      <c r="B27" s="2671">
        <f t="shared" si="64"/>
        <v>288.2649053828776</v>
      </c>
      <c r="C27" s="2671">
        <f t="shared" si="64"/>
        <v>243.64564425013293</v>
      </c>
      <c r="D27" s="2671">
        <f t="shared" si="55"/>
        <v>243.64564425013293</v>
      </c>
      <c r="E27" s="2671">
        <f t="shared" si="65"/>
        <v>393.31080825986544</v>
      </c>
      <c r="F27" s="2671">
        <f t="shared" si="65"/>
        <v>223.07903790551154</v>
      </c>
      <c r="G27" s="3544"/>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2582</v>
      </c>
      <c r="B28" s="2671">
        <f t="shared" si="64"/>
        <v>282.50186729015837</v>
      </c>
      <c r="C28" s="2671">
        <f t="shared" si="64"/>
        <v>238.09796174155468</v>
      </c>
      <c r="D28" s="2671">
        <f t="shared" si="55"/>
        <v>238.09796174155468</v>
      </c>
      <c r="E28" s="2671">
        <f t="shared" si="65"/>
        <v>385.33438646014054</v>
      </c>
      <c r="F28" s="2671">
        <f t="shared" si="65"/>
        <v>221.55034055567739</v>
      </c>
      <c r="G28" s="3545"/>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2583</v>
      </c>
      <c r="B29" s="2701">
        <v>278</v>
      </c>
      <c r="C29" s="2701">
        <v>234</v>
      </c>
      <c r="D29" s="2701">
        <f t="shared" si="55"/>
        <v>234</v>
      </c>
      <c r="E29" s="2701">
        <v>379</v>
      </c>
      <c r="F29" s="2702">
        <v>220</v>
      </c>
      <c r="G29" s="3536">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2584</v>
      </c>
      <c r="B30" s="2671">
        <f>B29/(1+N29)</f>
        <v>275.49301357645425</v>
      </c>
      <c r="C30" s="2671">
        <f>C29/(1+O29)</f>
        <v>232.41954707985698</v>
      </c>
      <c r="D30" s="2671">
        <f t="shared" si="55"/>
        <v>232.41954707985698</v>
      </c>
      <c r="E30" s="2671">
        <f t="shared" ref="E30:F32" si="66">E29/(1+P29)</f>
        <v>375.32184591008121</v>
      </c>
      <c r="F30" s="2671">
        <f t="shared" si="66"/>
        <v>218.03766105054513</v>
      </c>
      <c r="G30" s="3537"/>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2585</v>
      </c>
      <c r="B31" s="2671">
        <f>B30/(1+N30)</f>
        <v>275.24529281292263</v>
      </c>
      <c r="C31" s="2671">
        <f>C30/(1+O30)</f>
        <v>231.74747938962707</v>
      </c>
      <c r="D31" s="2671">
        <f t="shared" si="55"/>
        <v>231.74747938962707</v>
      </c>
      <c r="E31" s="2671">
        <f t="shared" si="66"/>
        <v>375.35938184826603</v>
      </c>
      <c r="F31" s="2671">
        <f t="shared" si="66"/>
        <v>216.78033510692495</v>
      </c>
      <c r="G31" s="3537"/>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2586</v>
      </c>
      <c r="B32" s="2671">
        <f>B31/(1+N31)</f>
        <v>275.19025476197027</v>
      </c>
      <c r="C32" s="2703">
        <v>232</v>
      </c>
      <c r="D32" s="2703">
        <f t="shared" si="55"/>
        <v>232</v>
      </c>
      <c r="E32" s="2671">
        <f t="shared" si="66"/>
        <v>375.65990977608692</v>
      </c>
      <c r="F32" s="2671">
        <f t="shared" si="66"/>
        <v>214.12518283971252</v>
      </c>
      <c r="G32" s="3538"/>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2587</v>
      </c>
      <c r="B33" s="2663">
        <v>275</v>
      </c>
      <c r="C33" s="2663">
        <v>232</v>
      </c>
      <c r="D33" s="2663">
        <f t="shared" si="55"/>
        <v>232</v>
      </c>
      <c r="E33" s="2663">
        <v>376</v>
      </c>
      <c r="F33" s="2664">
        <v>213</v>
      </c>
      <c r="G33" s="3536">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2588</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537">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2589</v>
      </c>
      <c r="B35" s="2671">
        <f t="shared" si="67"/>
        <v>275.19335084830601</v>
      </c>
      <c r="C35" s="2671">
        <f t="shared" si="67"/>
        <v>230.18088050139744</v>
      </c>
      <c r="D35" s="2671">
        <f t="shared" si="55"/>
        <v>230.18088050139744</v>
      </c>
      <c r="E35" s="2671">
        <f t="shared" si="68"/>
        <v>377.58482925212331</v>
      </c>
      <c r="F35" s="2671">
        <f t="shared" si="68"/>
        <v>210.90687997847917</v>
      </c>
      <c r="G35" s="3537">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2590</v>
      </c>
      <c r="B36" s="2671">
        <f t="shared" si="67"/>
        <v>276.29854502841971</v>
      </c>
      <c r="C36" s="2671">
        <f t="shared" si="67"/>
        <v>229.79023709833027</v>
      </c>
      <c r="D36" s="2671">
        <f t="shared" si="55"/>
        <v>229.79023709833027</v>
      </c>
      <c r="E36" s="2671">
        <f t="shared" si="68"/>
        <v>379.78759731655936</v>
      </c>
      <c r="F36" s="2671">
        <f t="shared" si="68"/>
        <v>211.32953905659235</v>
      </c>
      <c r="G36" s="3538">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2591</v>
      </c>
      <c r="B37" s="2663">
        <v>269</v>
      </c>
      <c r="C37" s="2663">
        <v>221</v>
      </c>
      <c r="D37" s="2663">
        <f t="shared" si="55"/>
        <v>221</v>
      </c>
      <c r="E37" s="2663">
        <v>373</v>
      </c>
      <c r="F37" s="2664">
        <v>196</v>
      </c>
      <c r="G37" s="3536">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2592</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537">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2593</v>
      </c>
      <c r="B39" s="2671">
        <f t="shared" si="69"/>
        <v>242.95398227588385</v>
      </c>
      <c r="C39" s="2671">
        <f t="shared" si="69"/>
        <v>199.59137053614126</v>
      </c>
      <c r="D39" s="2671">
        <f t="shared" si="55"/>
        <v>199.59137053614126</v>
      </c>
      <c r="E39" s="2671">
        <f t="shared" si="70"/>
        <v>335.92189522342125</v>
      </c>
      <c r="F39" s="2671">
        <f t="shared" si="70"/>
        <v>183.10139991109489</v>
      </c>
      <c r="G39" s="3537">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2594</v>
      </c>
      <c r="B40" s="2671">
        <f t="shared" si="69"/>
        <v>232.06990378821649</v>
      </c>
      <c r="C40" s="2671">
        <f t="shared" si="69"/>
        <v>192.74878854286936</v>
      </c>
      <c r="D40" s="2671">
        <f t="shared" si="55"/>
        <v>192.74878854286936</v>
      </c>
      <c r="E40" s="2671">
        <f t="shared" si="70"/>
        <v>319.71247284992984</v>
      </c>
      <c r="F40" s="2671">
        <f t="shared" si="70"/>
        <v>175.67053622862409</v>
      </c>
      <c r="G40" s="3538">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2595</v>
      </c>
      <c r="B41" s="2663">
        <v>220</v>
      </c>
      <c r="C41" s="2663">
        <v>187</v>
      </c>
      <c r="D41" s="2663">
        <f t="shared" si="55"/>
        <v>187</v>
      </c>
      <c r="E41" s="2663">
        <v>301</v>
      </c>
      <c r="F41" s="2664">
        <v>168</v>
      </c>
      <c r="G41" s="3536">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2596</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537">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2597</v>
      </c>
      <c r="B43" s="2671">
        <f t="shared" si="71"/>
        <v>210.630522469011</v>
      </c>
      <c r="C43" s="2671">
        <f t="shared" si="71"/>
        <v>181.69567812247232</v>
      </c>
      <c r="D43" s="2671">
        <f t="shared" si="55"/>
        <v>181.69567812247232</v>
      </c>
      <c r="E43" s="2671">
        <f t="shared" si="72"/>
        <v>286.13517466736738</v>
      </c>
      <c r="F43" s="2671">
        <f t="shared" si="72"/>
        <v>165.47535084591149</v>
      </c>
      <c r="G43" s="3537">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2598</v>
      </c>
      <c r="B44" s="2671">
        <f t="shared" si="71"/>
        <v>208.83454537875372</v>
      </c>
      <c r="C44" s="2671">
        <f t="shared" si="71"/>
        <v>183.77230517090351</v>
      </c>
      <c r="D44" s="2671">
        <f t="shared" si="55"/>
        <v>183.77230517090351</v>
      </c>
      <c r="E44" s="2671">
        <f t="shared" si="72"/>
        <v>281.10342338870947</v>
      </c>
      <c r="F44" s="2671">
        <f t="shared" si="72"/>
        <v>168.97309388942256</v>
      </c>
      <c r="G44" s="3538">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2599</v>
      </c>
      <c r="B45" s="2701">
        <v>214</v>
      </c>
      <c r="C45" s="2701">
        <v>188</v>
      </c>
      <c r="D45" s="2701">
        <f t="shared" si="55"/>
        <v>188</v>
      </c>
      <c r="E45" s="2701">
        <v>289</v>
      </c>
      <c r="F45" s="2702">
        <v>166</v>
      </c>
      <c r="G45" s="3536">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2600</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537">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2601</v>
      </c>
      <c r="B47" s="2671">
        <f t="shared" si="73"/>
        <v>206.31694671589116</v>
      </c>
      <c r="C47" s="2671">
        <f t="shared" si="73"/>
        <v>183.61041121036101</v>
      </c>
      <c r="D47" s="2671">
        <f t="shared" si="55"/>
        <v>183.61041121036101</v>
      </c>
      <c r="E47" s="2671">
        <f t="shared" si="74"/>
        <v>276.66850301795557</v>
      </c>
      <c r="F47" s="2671">
        <f t="shared" si="74"/>
        <v>165.1360938278614</v>
      </c>
      <c r="G47" s="3537">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2602</v>
      </c>
      <c r="B48" s="2704">
        <f t="shared" si="73"/>
        <v>196.62341248059772</v>
      </c>
      <c r="C48" s="2704">
        <f t="shared" si="73"/>
        <v>170.99125648199012</v>
      </c>
      <c r="D48" s="2704">
        <f t="shared" si="55"/>
        <v>170.99125648199012</v>
      </c>
      <c r="E48" s="2704">
        <f t="shared" si="74"/>
        <v>266.07857570490052</v>
      </c>
      <c r="F48" s="2704">
        <f t="shared" si="74"/>
        <v>154.53499328828505</v>
      </c>
      <c r="G48" s="3538">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2603</v>
      </c>
      <c r="B49" s="2663">
        <v>188</v>
      </c>
      <c r="C49" s="2663">
        <v>165</v>
      </c>
      <c r="D49" s="2663">
        <f t="shared" si="55"/>
        <v>165</v>
      </c>
      <c r="E49" s="2663">
        <v>254</v>
      </c>
      <c r="F49" s="2664">
        <v>148</v>
      </c>
      <c r="G49" s="3536">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2604</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537">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2605</v>
      </c>
      <c r="B51" s="2671">
        <f t="shared" si="77"/>
        <v>168.82017748715555</v>
      </c>
      <c r="C51" s="2671">
        <f t="shared" si="77"/>
        <v>148.06267029972753</v>
      </c>
      <c r="D51" s="2671">
        <f t="shared" si="55"/>
        <v>148.06267029972753</v>
      </c>
      <c r="E51" s="2671">
        <f t="shared" si="78"/>
        <v>216.46288379323747</v>
      </c>
      <c r="F51" s="2671">
        <f t="shared" si="78"/>
        <v>134.23529411764704</v>
      </c>
      <c r="G51" s="3537">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2606</v>
      </c>
      <c r="B52" s="2671">
        <f t="shared" si="77"/>
        <v>163.84913591779542</v>
      </c>
      <c r="C52" s="2671">
        <f t="shared" si="77"/>
        <v>145.0283378746594</v>
      </c>
      <c r="D52" s="2671">
        <f t="shared" si="55"/>
        <v>145.0283378746594</v>
      </c>
      <c r="E52" s="2671">
        <f t="shared" si="78"/>
        <v>204.95180722891567</v>
      </c>
      <c r="F52" s="2671">
        <f t="shared" si="78"/>
        <v>125.95920303605313</v>
      </c>
      <c r="G52" s="3538">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2607</v>
      </c>
      <c r="B53" s="2685">
        <v>159</v>
      </c>
      <c r="C53" s="2685">
        <v>141</v>
      </c>
      <c r="D53" s="2685">
        <f t="shared" si="55"/>
        <v>141</v>
      </c>
      <c r="E53" s="2685">
        <v>195</v>
      </c>
      <c r="F53" s="2686">
        <v>122</v>
      </c>
      <c r="G53" s="3536">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2608</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537">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2609</v>
      </c>
      <c r="B55" s="2671">
        <f t="shared" si="81"/>
        <v>146.57412060301507</v>
      </c>
      <c r="C55" s="2671">
        <f t="shared" si="81"/>
        <v>136.46831955922866</v>
      </c>
      <c r="D55" s="2671">
        <f t="shared" si="55"/>
        <v>136.46831955922866</v>
      </c>
      <c r="E55" s="2671">
        <f t="shared" si="82"/>
        <v>166.73864894795128</v>
      </c>
      <c r="F55" s="2671">
        <f t="shared" si="82"/>
        <v>115.05882352941177</v>
      </c>
      <c r="G55" s="3537">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2610</v>
      </c>
      <c r="B56" s="2671">
        <f t="shared" si="81"/>
        <v>144.04145728643215</v>
      </c>
      <c r="C56" s="2671">
        <f t="shared" si="81"/>
        <v>136.12396694214877</v>
      </c>
      <c r="D56" s="2671">
        <f t="shared" si="55"/>
        <v>136.12396694214877</v>
      </c>
      <c r="E56" s="2671">
        <f t="shared" si="82"/>
        <v>158.32225913621264</v>
      </c>
      <c r="F56" s="2671">
        <f t="shared" si="82"/>
        <v>114.04278074866311</v>
      </c>
      <c r="G56" s="3538">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2611</v>
      </c>
      <c r="B57" s="2685">
        <v>138</v>
      </c>
      <c r="C57" s="2685">
        <v>131</v>
      </c>
      <c r="D57" s="2685">
        <f t="shared" si="55"/>
        <v>131</v>
      </c>
      <c r="E57" s="2685">
        <v>155</v>
      </c>
      <c r="F57" s="2686">
        <v>114</v>
      </c>
      <c r="G57" s="3536">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2612</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537">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2613</v>
      </c>
      <c r="B59" s="2671">
        <f t="shared" si="85"/>
        <v>124.29032258064517</v>
      </c>
      <c r="C59" s="2671">
        <f t="shared" si="85"/>
        <v>123.8968609865471</v>
      </c>
      <c r="D59" s="2671">
        <f t="shared" si="55"/>
        <v>123.8968609865471</v>
      </c>
      <c r="E59" s="2671">
        <f t="shared" si="86"/>
        <v>138.00507614213197</v>
      </c>
      <c r="F59" s="2671">
        <f t="shared" si="86"/>
        <v>107.96106557377048</v>
      </c>
      <c r="G59" s="3537">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2614</v>
      </c>
      <c r="B60" s="2671">
        <f t="shared" si="85"/>
        <v>122.57204301075269</v>
      </c>
      <c r="C60" s="2671">
        <f t="shared" si="85"/>
        <v>123.4932735426009</v>
      </c>
      <c r="D60" s="2671">
        <f t="shared" si="55"/>
        <v>123.4932735426009</v>
      </c>
      <c r="E60" s="2671">
        <f t="shared" si="86"/>
        <v>129.82233502538071</v>
      </c>
      <c r="F60" s="2671">
        <f t="shared" si="86"/>
        <v>107.39446721311475</v>
      </c>
      <c r="G60" s="3538">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2615</v>
      </c>
      <c r="B61" s="2701">
        <v>121</v>
      </c>
      <c r="C61" s="2701">
        <v>122</v>
      </c>
      <c r="D61" s="2701">
        <f t="shared" si="55"/>
        <v>122</v>
      </c>
      <c r="E61" s="2701">
        <v>124</v>
      </c>
      <c r="F61" s="2702">
        <v>107</v>
      </c>
      <c r="G61" s="3536">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2616</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537">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2617</v>
      </c>
      <c r="B63" s="2671">
        <f t="shared" si="89"/>
        <v>116.99099099099099</v>
      </c>
      <c r="C63" s="2671">
        <f t="shared" si="89"/>
        <v>118.84848484848486</v>
      </c>
      <c r="D63" s="2671">
        <f t="shared" si="55"/>
        <v>118.84848484848486</v>
      </c>
      <c r="E63" s="2671">
        <f t="shared" si="90"/>
        <v>117.60960960960961</v>
      </c>
      <c r="F63" s="2671">
        <f t="shared" si="90"/>
        <v>104</v>
      </c>
      <c r="G63" s="3537">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2618</v>
      </c>
      <c r="B64" s="2704">
        <f t="shared" si="89"/>
        <v>112.48648648648648</v>
      </c>
      <c r="C64" s="2704">
        <f t="shared" si="89"/>
        <v>115.21212121212122</v>
      </c>
      <c r="D64" s="2704">
        <f t="shared" si="55"/>
        <v>115.21212121212122</v>
      </c>
      <c r="E64" s="2704">
        <f t="shared" si="90"/>
        <v>110.4024024024024</v>
      </c>
      <c r="F64" s="2704">
        <f t="shared" si="90"/>
        <v>104</v>
      </c>
      <c r="G64" s="3538">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2619</v>
      </c>
      <c r="B65" s="2722">
        <v>111</v>
      </c>
      <c r="C65" s="2722">
        <v>114</v>
      </c>
      <c r="D65" s="2722">
        <f t="shared" si="55"/>
        <v>114</v>
      </c>
      <c r="E65" s="2722">
        <v>108</v>
      </c>
      <c r="F65" s="2723">
        <v>104</v>
      </c>
      <c r="G65" s="3536">
        <v>2003</v>
      </c>
      <c r="H65" s="2712">
        <v>4</v>
      </c>
      <c r="I65" s="2724"/>
      <c r="J65" s="2724"/>
      <c r="K65" s="2724"/>
      <c r="L65" s="2724"/>
      <c r="N65" s="2725"/>
      <c r="O65" s="2724"/>
      <c r="P65" s="2724"/>
      <c r="Q65" s="2724"/>
      <c r="S65" s="2725"/>
      <c r="T65" s="2724"/>
      <c r="U65" s="2724"/>
      <c r="V65" s="2724"/>
      <c r="X65" s="2716"/>
      <c r="Y65" s="2716"/>
      <c r="Z65" s="2716"/>
    </row>
    <row r="66" spans="1:26">
      <c r="A66" s="2657" t="s">
        <v>2620</v>
      </c>
      <c r="B66" s="2726">
        <f t="shared" ref="B66:C68" si="91">B67+(B$65-B$69)/4</f>
        <v>109.75</v>
      </c>
      <c r="C66" s="2726">
        <f t="shared" si="91"/>
        <v>112.25</v>
      </c>
      <c r="D66" s="2726">
        <f t="shared" si="55"/>
        <v>112.25</v>
      </c>
      <c r="E66" s="2726">
        <f t="shared" ref="E66:F68" si="92">E67+(E$65-E$69)/4</f>
        <v>107.25</v>
      </c>
      <c r="F66" s="2726">
        <f t="shared" si="92"/>
        <v>103.5</v>
      </c>
      <c r="G66" s="3537">
        <v>2003</v>
      </c>
      <c r="H66" s="2682">
        <v>3</v>
      </c>
      <c r="I66" s="2724"/>
      <c r="J66" s="2724"/>
      <c r="K66" s="2724"/>
      <c r="L66" s="2724"/>
      <c r="X66" s="2716"/>
      <c r="Y66" s="2716"/>
      <c r="Z66" s="2716"/>
    </row>
    <row r="67" spans="1:26">
      <c r="A67" s="2657" t="s">
        <v>2621</v>
      </c>
      <c r="B67" s="2726">
        <f t="shared" si="91"/>
        <v>108.5</v>
      </c>
      <c r="C67" s="2726">
        <f t="shared" si="91"/>
        <v>110.5</v>
      </c>
      <c r="D67" s="2726">
        <f t="shared" si="55"/>
        <v>110.5</v>
      </c>
      <c r="E67" s="2726">
        <f t="shared" si="92"/>
        <v>106.5</v>
      </c>
      <c r="F67" s="2726">
        <f t="shared" si="92"/>
        <v>103</v>
      </c>
      <c r="G67" s="3537">
        <v>2003</v>
      </c>
      <c r="H67" s="2662">
        <v>2</v>
      </c>
      <c r="I67" s="2724"/>
      <c r="J67" s="2724"/>
      <c r="K67" s="2724"/>
      <c r="L67" s="2724"/>
      <c r="X67" s="2716"/>
      <c r="Y67" s="2716"/>
      <c r="Z67" s="2716"/>
    </row>
    <row r="68" spans="1:26" ht="13.5" thickBot="1">
      <c r="A68" s="2657" t="s">
        <v>2622</v>
      </c>
      <c r="B68" s="2726">
        <f t="shared" si="91"/>
        <v>107.25</v>
      </c>
      <c r="C68" s="2726">
        <f t="shared" si="91"/>
        <v>108.75</v>
      </c>
      <c r="D68" s="2726">
        <f t="shared" si="55"/>
        <v>108.75</v>
      </c>
      <c r="E68" s="2726">
        <f t="shared" si="92"/>
        <v>105.75</v>
      </c>
      <c r="F68" s="2726">
        <f t="shared" si="92"/>
        <v>102.5</v>
      </c>
      <c r="G68" s="3538">
        <v>2003</v>
      </c>
      <c r="H68" s="2727">
        <v>1</v>
      </c>
      <c r="I68" s="2724"/>
      <c r="J68" s="2724"/>
      <c r="K68" s="2724"/>
      <c r="L68" s="2724"/>
      <c r="S68" s="2666"/>
      <c r="T68" s="2667"/>
      <c r="U68" s="2667"/>
      <c r="X68" s="2716"/>
      <c r="Y68" s="2716"/>
      <c r="Z68" s="2716"/>
    </row>
    <row r="69" spans="1:26" ht="13.5" thickBot="1">
      <c r="A69" s="2657" t="s">
        <v>2623</v>
      </c>
      <c r="B69" s="2728">
        <v>106</v>
      </c>
      <c r="C69" s="2728">
        <v>107</v>
      </c>
      <c r="D69" s="2728">
        <f t="shared" si="55"/>
        <v>107</v>
      </c>
      <c r="E69" s="2728">
        <v>105</v>
      </c>
      <c r="F69" s="2729">
        <v>102</v>
      </c>
      <c r="G69" s="3536">
        <v>2002</v>
      </c>
      <c r="H69" s="2677">
        <v>4</v>
      </c>
      <c r="I69" s="2724"/>
      <c r="J69" s="2724"/>
      <c r="K69" s="2724"/>
      <c r="L69" s="2724"/>
      <c r="N69" s="2725"/>
      <c r="O69" s="2724"/>
      <c r="P69" s="2724"/>
      <c r="Q69" s="2724"/>
      <c r="S69" s="2725"/>
      <c r="T69" s="2724"/>
      <c r="U69" s="2724"/>
      <c r="V69" s="2724"/>
      <c r="X69" s="2716"/>
      <c r="Y69" s="2716"/>
      <c r="Z69" s="2716"/>
    </row>
    <row r="70" spans="1:26">
      <c r="A70" s="2657" t="s">
        <v>2624</v>
      </c>
      <c r="B70" s="2726">
        <f t="shared" ref="B70:C72" si="93">B71+(B$69-B$73)/4</f>
        <v>105</v>
      </c>
      <c r="C70" s="2726">
        <f t="shared" si="93"/>
        <v>106</v>
      </c>
      <c r="D70" s="2726">
        <f t="shared" si="55"/>
        <v>106</v>
      </c>
      <c r="E70" s="2726">
        <f t="shared" ref="E70:F72" si="94">E71+(E$69-E$73)/4</f>
        <v>104.5</v>
      </c>
      <c r="F70" s="2726">
        <f t="shared" si="94"/>
        <v>101.5</v>
      </c>
      <c r="G70" s="3537">
        <v>2002</v>
      </c>
      <c r="H70" s="2682">
        <v>3</v>
      </c>
      <c r="I70" s="2724"/>
      <c r="J70" s="2724"/>
      <c r="K70" s="2724"/>
      <c r="L70" s="2724"/>
      <c r="X70" s="2716"/>
      <c r="Y70" s="2716"/>
      <c r="Z70" s="2716"/>
    </row>
    <row r="71" spans="1:26">
      <c r="A71" s="2657" t="s">
        <v>2625</v>
      </c>
      <c r="B71" s="2726">
        <f t="shared" si="93"/>
        <v>104</v>
      </c>
      <c r="C71" s="2726">
        <f t="shared" si="93"/>
        <v>105</v>
      </c>
      <c r="D71" s="2726">
        <f t="shared" si="55"/>
        <v>105</v>
      </c>
      <c r="E71" s="2726">
        <f t="shared" si="94"/>
        <v>104</v>
      </c>
      <c r="F71" s="2726">
        <f t="shared" si="94"/>
        <v>101</v>
      </c>
      <c r="G71" s="3537">
        <v>2002</v>
      </c>
      <c r="H71" s="2662">
        <v>2</v>
      </c>
      <c r="I71" s="2724"/>
      <c r="J71" s="2724"/>
      <c r="K71" s="2724"/>
      <c r="L71" s="2724"/>
      <c r="X71" s="2716"/>
      <c r="Y71" s="2716"/>
      <c r="Z71" s="2716"/>
    </row>
    <row r="72" spans="1:26" s="2693" customFormat="1" ht="13.5" thickBot="1">
      <c r="A72" s="2689" t="s">
        <v>2626</v>
      </c>
      <c r="B72" s="2730">
        <f t="shared" si="93"/>
        <v>103</v>
      </c>
      <c r="C72" s="2730">
        <f t="shared" si="93"/>
        <v>104</v>
      </c>
      <c r="D72" s="2730">
        <f t="shared" si="55"/>
        <v>104</v>
      </c>
      <c r="E72" s="2730">
        <f t="shared" si="94"/>
        <v>103.5</v>
      </c>
      <c r="F72" s="2730">
        <f t="shared" si="94"/>
        <v>100.5</v>
      </c>
      <c r="G72" s="3538">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2627</v>
      </c>
      <c r="G75" s="2740"/>
      <c r="N75" s="2740"/>
      <c r="S75" s="2740"/>
    </row>
    <row r="76" spans="1:26" s="2739" customFormat="1">
      <c r="A76" s="2739" t="s">
        <v>2628</v>
      </c>
      <c r="G76" s="2740"/>
      <c r="N76" s="2740"/>
      <c r="S76" s="2740"/>
    </row>
    <row r="77" spans="1:26" s="2739" customFormat="1">
      <c r="A77" s="2739" t="s">
        <v>2629</v>
      </c>
      <c r="G77" s="2740"/>
      <c r="I77" s="2741"/>
      <c r="J77" s="2741"/>
      <c r="K77" s="2741"/>
      <c r="L77" s="2741"/>
      <c r="N77" s="2742"/>
      <c r="O77" s="2741"/>
      <c r="P77" s="2741"/>
      <c r="Q77" s="2741"/>
      <c r="S77" s="2742"/>
      <c r="T77" s="2741"/>
      <c r="U77" s="2741"/>
      <c r="V77" s="2741"/>
    </row>
    <row r="78" spans="1:26" s="2739" customFormat="1">
      <c r="A78" s="2739" t="s">
        <v>2630</v>
      </c>
      <c r="G78" s="2740"/>
      <c r="N78" s="2740"/>
      <c r="S78" s="2740"/>
    </row>
    <row r="85" spans="7:22" ht="13.5" thickBot="1"/>
    <row r="86" spans="7:22">
      <c r="G86" s="2665"/>
      <c r="S86" s="2743" t="s">
        <v>2631</v>
      </c>
      <c r="T86" s="2744" t="s">
        <v>2632</v>
      </c>
      <c r="U86" s="2744" t="s">
        <v>2633</v>
      </c>
      <c r="V86" s="2744" t="s">
        <v>2634</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password="C66D"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7" activeCellId="1" sqref="E33:G33 E27:G27"/>
    </sheetView>
  </sheetViews>
  <sheetFormatPr defaultRowHeight="13.5"/>
  <cols>
    <col min="1" max="1" width="10.5" customWidth="1"/>
    <col min="2" max="2" width="12.875" customWidth="1"/>
    <col min="3" max="3" width="8.75" customWidth="1"/>
  </cols>
  <sheetData>
    <row r="1" spans="1:9" ht="14.25">
      <c r="A1" s="3546" t="s">
        <v>2467</v>
      </c>
      <c r="B1" s="3547"/>
      <c r="C1" s="3548"/>
      <c r="D1" s="3549">
        <f>SUM(I10,I15,I20,I21,I23)</f>
        <v>0</v>
      </c>
      <c r="E1" s="3549"/>
      <c r="F1" s="3549"/>
      <c r="G1" s="3549"/>
      <c r="H1" s="3549"/>
      <c r="I1" s="3550"/>
    </row>
    <row r="2" spans="1:9">
      <c r="A2" s="3551" t="s">
        <v>2468</v>
      </c>
      <c r="B2" s="3552" t="s">
        <v>2469</v>
      </c>
      <c r="C2" s="3552"/>
      <c r="D2" s="2509" t="s">
        <v>2470</v>
      </c>
      <c r="E2" s="2509" t="s">
        <v>2471</v>
      </c>
      <c r="F2" s="2509" t="s">
        <v>2472</v>
      </c>
      <c r="G2" s="2509" t="s">
        <v>2473</v>
      </c>
      <c r="H2" s="2509" t="s">
        <v>2474</v>
      </c>
      <c r="I2" s="2510" t="s">
        <v>2475</v>
      </c>
    </row>
    <row r="3" spans="1:9">
      <c r="A3" s="3551"/>
      <c r="B3" s="3552" t="s">
        <v>2476</v>
      </c>
      <c r="C3" s="3552"/>
      <c r="D3" s="2511"/>
      <c r="E3" s="2509"/>
      <c r="F3" s="2512"/>
      <c r="G3" s="2512"/>
      <c r="H3" s="2513"/>
      <c r="I3" s="2514">
        <f>ROUND(D3*E3*F3*G3*H3/10000,0)</f>
        <v>0</v>
      </c>
    </row>
    <row r="4" spans="1:9">
      <c r="A4" s="3551"/>
      <c r="B4" s="3552" t="s">
        <v>2477</v>
      </c>
      <c r="C4" s="3552"/>
      <c r="D4" s="2511"/>
      <c r="E4" s="2509"/>
      <c r="F4" s="2512"/>
      <c r="G4" s="2512"/>
      <c r="H4" s="2513"/>
      <c r="I4" s="2514">
        <f t="shared" ref="I4:I9" si="0">ROUND(D4*E4*F4*G4*H4/10000,0)</f>
        <v>0</v>
      </c>
    </row>
    <row r="5" spans="1:9">
      <c r="A5" s="3551"/>
      <c r="B5" s="3552" t="s">
        <v>2478</v>
      </c>
      <c r="C5" s="3552"/>
      <c r="D5" s="2511"/>
      <c r="E5" s="2509"/>
      <c r="F5" s="2512"/>
      <c r="G5" s="2512"/>
      <c r="H5" s="2513"/>
      <c r="I5" s="2514">
        <f t="shared" si="0"/>
        <v>0</v>
      </c>
    </row>
    <row r="6" spans="1:9">
      <c r="A6" s="3551"/>
      <c r="B6" s="3552" t="s">
        <v>2479</v>
      </c>
      <c r="C6" s="3552"/>
      <c r="D6" s="2511"/>
      <c r="E6" s="2509"/>
      <c r="F6" s="2512"/>
      <c r="G6" s="2512"/>
      <c r="H6" s="2513"/>
      <c r="I6" s="2514">
        <f t="shared" si="0"/>
        <v>0</v>
      </c>
    </row>
    <row r="7" spans="1:9">
      <c r="A7" s="3551"/>
      <c r="B7" s="3552" t="s">
        <v>2480</v>
      </c>
      <c r="C7" s="3552"/>
      <c r="D7" s="2511"/>
      <c r="E7" s="2509"/>
      <c r="F7" s="2512"/>
      <c r="G7" s="2512"/>
      <c r="H7" s="2513"/>
      <c r="I7" s="2514">
        <f t="shared" si="0"/>
        <v>0</v>
      </c>
    </row>
    <row r="8" spans="1:9">
      <c r="A8" s="3551"/>
      <c r="B8" s="3552" t="s">
        <v>2481</v>
      </c>
      <c r="C8" s="3552"/>
      <c r="D8" s="2511"/>
      <c r="E8" s="2509"/>
      <c r="F8" s="2512"/>
      <c r="G8" s="2512"/>
      <c r="H8" s="2513"/>
      <c r="I8" s="2514">
        <f t="shared" si="0"/>
        <v>0</v>
      </c>
    </row>
    <row r="9" spans="1:9">
      <c r="A9" s="3551"/>
      <c r="B9" s="3552" t="s">
        <v>2482</v>
      </c>
      <c r="C9" s="3552"/>
      <c r="D9" s="2511"/>
      <c r="E9" s="2509"/>
      <c r="F9" s="2512"/>
      <c r="G9" s="2512"/>
      <c r="H9" s="2513"/>
      <c r="I9" s="2514">
        <f t="shared" si="0"/>
        <v>0</v>
      </c>
    </row>
    <row r="10" spans="1:9">
      <c r="A10" s="3551"/>
      <c r="B10" s="3553" t="s">
        <v>2483</v>
      </c>
      <c r="C10" s="3553"/>
      <c r="D10" s="2515">
        <v>527</v>
      </c>
      <c r="E10" s="2515" t="e">
        <f>ROUND(D1*10000/D10/H9,0)</f>
        <v>#DIV/0!</v>
      </c>
      <c r="F10" s="2516"/>
      <c r="G10" s="2516"/>
      <c r="H10" s="2517"/>
      <c r="I10" s="2518">
        <f>SUM(I3:I9)</f>
        <v>0</v>
      </c>
    </row>
    <row r="11" spans="1:9" ht="14.25">
      <c r="A11" s="3551" t="s">
        <v>2484</v>
      </c>
      <c r="B11" s="3552" t="s">
        <v>2485</v>
      </c>
      <c r="C11" s="3552"/>
      <c r="D11" s="2511" t="s">
        <v>2486</v>
      </c>
      <c r="E11" s="2511" t="s">
        <v>2487</v>
      </c>
      <c r="F11" s="2512" t="s">
        <v>2488</v>
      </c>
      <c r="G11" s="2512" t="s">
        <v>2489</v>
      </c>
      <c r="H11" s="2519" t="s">
        <v>2490</v>
      </c>
      <c r="I11" s="2510" t="s">
        <v>2491</v>
      </c>
    </row>
    <row r="12" spans="1:9">
      <c r="A12" s="3551"/>
      <c r="B12" s="3552" t="s">
        <v>2492</v>
      </c>
      <c r="C12" s="3552"/>
      <c r="D12" s="2511"/>
      <c r="E12" s="2511"/>
      <c r="F12" s="2512"/>
      <c r="G12" s="2513"/>
      <c r="H12" s="2520"/>
      <c r="I12" s="2510">
        <f>ROUND(D12*E12*F12*G12/10000,0)</f>
        <v>0</v>
      </c>
    </row>
    <row r="13" spans="1:9">
      <c r="A13" s="3551"/>
      <c r="B13" s="3552" t="s">
        <v>2493</v>
      </c>
      <c r="C13" s="3552"/>
      <c r="D13" s="2511"/>
      <c r="E13" s="2511"/>
      <c r="F13" s="2512"/>
      <c r="G13" s="2513"/>
      <c r="H13" s="2520"/>
      <c r="I13" s="2510">
        <f>ROUND(D13*E13*F13*G13/10000,0)</f>
        <v>0</v>
      </c>
    </row>
    <row r="14" spans="1:9">
      <c r="A14" s="3551"/>
      <c r="B14" s="3552" t="s">
        <v>2494</v>
      </c>
      <c r="C14" s="3552"/>
      <c r="D14" s="2511"/>
      <c r="E14" s="2511"/>
      <c r="F14" s="2512"/>
      <c r="G14" s="2513"/>
      <c r="H14" s="2520"/>
      <c r="I14" s="2510">
        <f>ROUND(D14*E14*F14*G14/10000,0)</f>
        <v>0</v>
      </c>
    </row>
    <row r="15" spans="1:9">
      <c r="A15" s="3551"/>
      <c r="B15" s="3553" t="s">
        <v>2483</v>
      </c>
      <c r="C15" s="3553"/>
      <c r="D15" s="2515"/>
      <c r="E15" s="2515">
        <f>SUM(E12:E14)</f>
        <v>0</v>
      </c>
      <c r="F15" s="2516"/>
      <c r="G15" s="2513"/>
      <c r="H15" s="2520"/>
      <c r="I15" s="2521">
        <f>SUM(I12:I14)</f>
        <v>0</v>
      </c>
    </row>
    <row r="16" spans="1:9" ht="24">
      <c r="A16" s="3551" t="s">
        <v>2495</v>
      </c>
      <c r="B16" s="3552" t="s">
        <v>2496</v>
      </c>
      <c r="C16" s="3552"/>
      <c r="D16" s="2511" t="s">
        <v>2497</v>
      </c>
      <c r="E16" s="2522" t="s">
        <v>2498</v>
      </c>
      <c r="F16" s="2512" t="s">
        <v>2499</v>
      </c>
      <c r="G16" s="2513" t="s">
        <v>2489</v>
      </c>
      <c r="H16" s="2519" t="s">
        <v>2490</v>
      </c>
      <c r="I16" s="2510" t="s">
        <v>2491</v>
      </c>
    </row>
    <row r="17" spans="1:9" ht="14.25">
      <c r="A17" s="3551"/>
      <c r="B17" s="3552" t="s">
        <v>2500</v>
      </c>
      <c r="C17" s="3552"/>
      <c r="D17" s="2511"/>
      <c r="E17" s="2511"/>
      <c r="F17" s="2512"/>
      <c r="G17" s="2513"/>
      <c r="H17" s="2523"/>
      <c r="I17" s="2524">
        <f>ROUND(D17*E17*F17*G17/10000,0)</f>
        <v>0</v>
      </c>
    </row>
    <row r="18" spans="1:9" ht="14.25">
      <c r="A18" s="3551"/>
      <c r="B18" s="3552" t="s">
        <v>2501</v>
      </c>
      <c r="C18" s="3552"/>
      <c r="D18" s="2511"/>
      <c r="E18" s="2511"/>
      <c r="F18" s="2512"/>
      <c r="G18" s="2513"/>
      <c r="H18" s="2523"/>
      <c r="I18" s="2524">
        <f>ROUND(D18*E18*F18*G18/10000,0)</f>
        <v>0</v>
      </c>
    </row>
    <row r="19" spans="1:9" ht="14.25">
      <c r="A19" s="3551"/>
      <c r="B19" s="3552" t="s">
        <v>2502</v>
      </c>
      <c r="C19" s="3552"/>
      <c r="D19" s="2511"/>
      <c r="E19" s="2511"/>
      <c r="F19" s="2512"/>
      <c r="G19" s="2513"/>
      <c r="H19" s="2523"/>
      <c r="I19" s="2524">
        <f>ROUND(D19*E19*F19*G19/10000,0)</f>
        <v>0</v>
      </c>
    </row>
    <row r="20" spans="1:9">
      <c r="A20" s="3551"/>
      <c r="B20" s="3553" t="s">
        <v>2483</v>
      </c>
      <c r="C20" s="3553"/>
      <c r="D20" s="2515">
        <f>SUM(D17:D19)</f>
        <v>0</v>
      </c>
      <c r="E20" s="2515"/>
      <c r="F20" s="2516"/>
      <c r="G20" s="2513"/>
      <c r="H20" s="2520"/>
      <c r="I20" s="2521">
        <f>SUM(I17:I19)</f>
        <v>0</v>
      </c>
    </row>
    <row r="21" spans="1:9">
      <c r="A21" s="3551" t="s">
        <v>2503</v>
      </c>
      <c r="B21" s="3555"/>
      <c r="C21" s="3555"/>
      <c r="D21" s="3555"/>
      <c r="E21" s="3555"/>
      <c r="F21" s="3555"/>
      <c r="G21" s="3555"/>
      <c r="H21" s="2525">
        <v>0.1</v>
      </c>
      <c r="I21" s="2518">
        <f>ROUND(I10*H21,0)</f>
        <v>0</v>
      </c>
    </row>
    <row r="22" spans="1:9" ht="14.25">
      <c r="A22" s="3556" t="s">
        <v>2504</v>
      </c>
      <c r="B22" s="3557"/>
      <c r="C22" s="3558"/>
      <c r="D22" s="2526" t="s">
        <v>2505</v>
      </c>
      <c r="E22" s="2526" t="s">
        <v>2506</v>
      </c>
      <c r="F22" s="2527" t="s">
        <v>2507</v>
      </c>
      <c r="G22" s="2527" t="s">
        <v>2508</v>
      </c>
      <c r="H22" s="2519" t="s">
        <v>2509</v>
      </c>
      <c r="I22" s="2510" t="s">
        <v>2510</v>
      </c>
    </row>
    <row r="23" spans="1:9" ht="14.25" thickBot="1">
      <c r="A23" s="3559"/>
      <c r="B23" s="3560"/>
      <c r="C23" s="3561"/>
      <c r="D23" s="2528"/>
      <c r="E23" s="2528"/>
      <c r="F23" s="2528"/>
      <c r="G23" s="2529"/>
      <c r="H23" s="2530"/>
      <c r="I23" s="2531">
        <f>ROUND(E23*D23*F23*(1-G23)/10000,0)</f>
        <v>0</v>
      </c>
    </row>
    <row r="26" spans="1:9">
      <c r="A26" s="2532" t="s">
        <v>2511</v>
      </c>
      <c r="B26" s="2532"/>
      <c r="C26" s="2532"/>
      <c r="D26" s="2532"/>
      <c r="E26" s="3562">
        <f>C27-C30-C31-C32</f>
        <v>0</v>
      </c>
      <c r="F26" s="3562"/>
      <c r="G26" s="3562"/>
      <c r="H26" s="3046" t="s">
        <v>2838</v>
      </c>
    </row>
    <row r="27" spans="1:9">
      <c r="A27" s="2533">
        <v>1</v>
      </c>
      <c r="B27" s="2534" t="s">
        <v>2512</v>
      </c>
      <c r="C27" s="2534"/>
      <c r="D27" s="2534"/>
      <c r="E27" s="3563"/>
      <c r="F27" s="3563"/>
      <c r="G27" s="3563"/>
    </row>
    <row r="28" spans="1:9">
      <c r="A28" s="2535" t="s">
        <v>2513</v>
      </c>
      <c r="B28" s="2534" t="s">
        <v>2514</v>
      </c>
      <c r="C28" s="2534"/>
      <c r="D28" s="2534"/>
      <c r="E28" s="3563"/>
      <c r="F28" s="3563"/>
      <c r="G28" s="3563"/>
    </row>
    <row r="29" spans="1:9">
      <c r="A29" s="2535" t="s">
        <v>2515</v>
      </c>
      <c r="B29" s="2534" t="s">
        <v>2456</v>
      </c>
      <c r="C29" s="2534"/>
      <c r="D29" s="2534"/>
      <c r="E29" s="2534" t="s">
        <v>2516</v>
      </c>
      <c r="F29" s="2534"/>
      <c r="G29" s="2534"/>
    </row>
    <row r="30" spans="1:9">
      <c r="A30" s="2533">
        <v>2</v>
      </c>
      <c r="B30" s="2534" t="s">
        <v>2517</v>
      </c>
      <c r="C30" s="2534">
        <f>C27*D30</f>
        <v>0</v>
      </c>
      <c r="D30" s="2536">
        <v>0.2</v>
      </c>
      <c r="E30" s="2534" t="s">
        <v>2518</v>
      </c>
      <c r="F30" s="2534"/>
      <c r="G30" s="2534"/>
    </row>
    <row r="31" spans="1:9">
      <c r="A31" s="2533">
        <v>3</v>
      </c>
      <c r="B31" s="2534" t="s">
        <v>2519</v>
      </c>
      <c r="C31" s="2534">
        <f>C25*D31</f>
        <v>0</v>
      </c>
      <c r="D31" s="2536">
        <v>0.15</v>
      </c>
      <c r="E31" s="2534" t="s">
        <v>2520</v>
      </c>
      <c r="F31" s="2534"/>
      <c r="G31" s="2534"/>
    </row>
    <row r="32" spans="1:9">
      <c r="A32" s="2533">
        <v>4</v>
      </c>
      <c r="B32" s="2534" t="s">
        <v>2521</v>
      </c>
      <c r="C32" s="2534">
        <f>C27*D32</f>
        <v>0</v>
      </c>
      <c r="D32" s="2536">
        <v>0.05</v>
      </c>
      <c r="E32" s="3554"/>
      <c r="F32" s="3554"/>
      <c r="G32" s="3554"/>
    </row>
    <row r="33" spans="1:7" hidden="1">
      <c r="A33" s="3564" t="s">
        <v>2522</v>
      </c>
      <c r="B33" s="3565"/>
      <c r="C33" s="3565"/>
      <c r="D33" s="3566"/>
      <c r="E33" s="3562"/>
      <c r="F33" s="3562"/>
      <c r="G33" s="3562"/>
    </row>
    <row r="34" spans="1:7" hidden="1">
      <c r="A34" s="2537">
        <v>1</v>
      </c>
      <c r="B34" s="2534" t="s">
        <v>2523</v>
      </c>
      <c r="C34" s="2534"/>
      <c r="D34" s="2534"/>
      <c r="E34" s="3563"/>
      <c r="F34" s="3563"/>
      <c r="G34" s="3563"/>
    </row>
    <row r="35" spans="1:7" hidden="1">
      <c r="A35" s="2537">
        <v>2</v>
      </c>
      <c r="B35" s="2534" t="s">
        <v>2524</v>
      </c>
      <c r="C35" s="2534"/>
      <c r="D35" s="2534"/>
      <c r="E35" s="3563"/>
      <c r="F35" s="3563"/>
      <c r="G35" s="3563"/>
    </row>
    <row r="36" spans="1:7" hidden="1">
      <c r="A36" s="2537">
        <v>3</v>
      </c>
      <c r="B36" s="2534" t="s">
        <v>2525</v>
      </c>
      <c r="C36" s="2534"/>
      <c r="D36" s="2534"/>
      <c r="E36" s="3563"/>
      <c r="F36" s="3563"/>
      <c r="G36" s="3563"/>
    </row>
    <row r="37" spans="1:7" hidden="1">
      <c r="A37" s="2537">
        <v>4</v>
      </c>
      <c r="B37" s="2534" t="s">
        <v>2526</v>
      </c>
      <c r="C37" s="2534"/>
      <c r="D37" s="2534"/>
      <c r="E37" s="3563"/>
      <c r="F37" s="3563"/>
      <c r="G37" s="3563"/>
    </row>
    <row r="38" spans="1:7" hidden="1">
      <c r="A38" s="3564" t="s">
        <v>2527</v>
      </c>
      <c r="B38" s="3565"/>
      <c r="C38" s="3565"/>
      <c r="D38" s="3566"/>
      <c r="E38" s="3562"/>
      <c r="F38" s="3562"/>
      <c r="G38" s="35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27" activeCellId="1" sqref="E33:G33 E27:G2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1679</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71">
        <v>1</v>
      </c>
      <c r="B7" s="748" t="s">
        <v>606</v>
      </c>
      <c r="C7" s="749">
        <f>C8+C9</f>
        <v>0</v>
      </c>
      <c r="D7" s="749"/>
      <c r="E7" s="750"/>
      <c r="F7" s="750"/>
      <c r="G7" s="2481"/>
    </row>
    <row r="8" spans="1:25" s="2185" customFormat="1" ht="13.5" customHeight="1">
      <c r="A8" s="2471" t="s">
        <v>2436</v>
      </c>
      <c r="B8" s="2474" t="s">
        <v>2438</v>
      </c>
      <c r="C8" s="2475"/>
      <c r="D8" s="749"/>
      <c r="E8" s="750"/>
      <c r="F8" s="750"/>
      <c r="G8" s="751"/>
    </row>
    <row r="9" spans="1:25" s="2185" customFormat="1" ht="13.5" customHeight="1">
      <c r="A9" s="2471" t="s">
        <v>2437</v>
      </c>
      <c r="B9" s="2474" t="s">
        <v>2439</v>
      </c>
      <c r="C9" s="2475"/>
      <c r="D9" s="749"/>
      <c r="E9" s="750"/>
      <c r="F9" s="750"/>
      <c r="G9" s="751"/>
    </row>
    <row r="10" spans="1:25" s="2185" customFormat="1" ht="36">
      <c r="A10" s="2471">
        <v>2</v>
      </c>
      <c r="B10" s="748" t="s">
        <v>610</v>
      </c>
      <c r="C10" s="749">
        <f>C11+C14+C15</f>
        <v>0</v>
      </c>
      <c r="D10" s="760">
        <f>'数据-汇总表'!E3</f>
        <v>292155</v>
      </c>
      <c r="E10" s="749">
        <f>'数据-取费表'!B31</f>
        <v>200</v>
      </c>
      <c r="F10" s="761"/>
      <c r="G10" s="759" t="s">
        <v>611</v>
      </c>
    </row>
    <row r="11" spans="1:25" s="2185" customFormat="1" ht="13.5" customHeight="1">
      <c r="A11" s="2471" t="s">
        <v>2436</v>
      </c>
      <c r="B11" s="752" t="s">
        <v>607</v>
      </c>
      <c r="C11" s="753">
        <f>'数据-取费表'!B29</f>
        <v>0</v>
      </c>
      <c r="D11" s="754"/>
      <c r="E11" s="753"/>
      <c r="F11" s="755"/>
      <c r="G11" s="2480" t="s">
        <v>2447</v>
      </c>
    </row>
    <row r="12" spans="1:25" s="2185" customFormat="1" ht="13.5" customHeight="1">
      <c r="A12" s="2478" t="s">
        <v>2444</v>
      </c>
      <c r="B12" s="756" t="s">
        <v>608</v>
      </c>
      <c r="C12" s="757">
        <f>ROUND(D12*E12/10000,0)</f>
        <v>4674</v>
      </c>
      <c r="D12" s="758">
        <f>'数据-汇总表'!E5</f>
        <v>292155</v>
      </c>
      <c r="E12" s="757">
        <f>'数据-取费表'!B27</f>
        <v>160</v>
      </c>
      <c r="F12" s="755"/>
      <c r="G12" s="759"/>
    </row>
    <row r="13" spans="1:25" s="2185" customFormat="1" ht="13.5" customHeight="1">
      <c r="A13" s="2478" t="s">
        <v>2443</v>
      </c>
      <c r="B13" s="756" t="s">
        <v>609</v>
      </c>
      <c r="C13" s="757">
        <f>ROUND(D13*E13/10000,0)</f>
        <v>0</v>
      </c>
      <c r="D13" s="758">
        <f>'数据-汇总表'!E6</f>
        <v>0</v>
      </c>
      <c r="E13" s="757">
        <f>'数据-取费表'!B28</f>
        <v>200</v>
      </c>
      <c r="F13" s="755"/>
      <c r="G13" s="759"/>
    </row>
    <row r="14" spans="1:25" s="2185" customFormat="1" ht="13.5" customHeight="1">
      <c r="A14" s="2471" t="s">
        <v>2437</v>
      </c>
      <c r="B14" s="2477" t="s">
        <v>2440</v>
      </c>
      <c r="C14" s="2475"/>
      <c r="D14" s="758"/>
      <c r="E14" s="757"/>
      <c r="F14" s="2476"/>
      <c r="G14" s="2479" t="s">
        <v>2445</v>
      </c>
    </row>
    <row r="15" spans="1:25" s="2185" customFormat="1" ht="13.5" customHeight="1">
      <c r="A15" s="2471" t="s">
        <v>2442</v>
      </c>
      <c r="B15" s="2477" t="s">
        <v>2441</v>
      </c>
      <c r="C15" s="2475"/>
      <c r="D15" s="758"/>
      <c r="E15" s="757"/>
      <c r="F15" s="2476"/>
      <c r="G15" s="2479" t="s">
        <v>2446</v>
      </c>
    </row>
    <row r="16" spans="1:25" s="2186" customFormat="1" ht="48">
      <c r="A16" s="2471">
        <v>3</v>
      </c>
      <c r="B16" s="748" t="s">
        <v>612</v>
      </c>
      <c r="C16" s="2475"/>
      <c r="D16" s="760"/>
      <c r="E16" s="749"/>
      <c r="F16" s="761"/>
      <c r="G16" s="759" t="s">
        <v>2448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613</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614</v>
      </c>
      <c r="C18" s="749">
        <f>ROUND((C7+C10+C16)*F18,0)</f>
        <v>0</v>
      </c>
      <c r="D18" s="762"/>
      <c r="E18" s="763"/>
      <c r="F18" s="761">
        <f>'数据-取费表'!Q16</f>
        <v>0.35</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622</v>
      </c>
      <c r="C22" s="749">
        <f ca="1">ROUND(C21*F22,0)</f>
        <v>0</v>
      </c>
      <c r="D22" s="760"/>
      <c r="E22" s="749"/>
      <c r="F22" s="766">
        <f>'数据-取费表'!AP16</f>
        <v>0.91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128587.91平方米。根据《建设工程规划许可证》[]、《出让合同》[]，估价对象规划建筑面积为292155平方米。</v>
      </c>
    </row>
    <row r="7" spans="1:4" ht="93.75">
      <c r="A7" s="2875" t="s">
        <v>2744</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2067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根据《国有土地使用证》[]，估价对象（分摊）出让国有建设用地使用权面积为128587.91平方米。根据《建设工程规划许可证》[]、《出让合同》[]，估价对象规划建筑面积为292155平方米。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2070</v>
      </c>
    </row>
    <row r="23" spans="1:1" ht="18.75">
      <c r="A23" s="2877" t="s">
        <v>2745</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5" t="s">
        <v>716</v>
      </c>
      <c r="C1" s="2626" t="s">
        <v>717</v>
      </c>
      <c r="D1" s="2627"/>
      <c r="E1" s="2628"/>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454" t="s">
        <v>519</v>
      </c>
      <c r="D4" s="3455"/>
      <c r="E4" s="3488" t="s">
        <v>520</v>
      </c>
      <c r="F4" s="3489"/>
      <c r="G4" s="3454" t="s">
        <v>521</v>
      </c>
      <c r="H4" s="3455"/>
      <c r="I4" s="3454" t="s">
        <v>522</v>
      </c>
      <c r="J4" s="3455"/>
      <c r="K4" s="853" t="s">
        <v>523</v>
      </c>
      <c r="L4" s="2135"/>
      <c r="M4" s="2136"/>
      <c r="N4" s="2136"/>
      <c r="O4" s="2136"/>
      <c r="P4" s="3456" t="s">
        <v>524</v>
      </c>
      <c r="Q4" s="3457"/>
      <c r="R4" s="3462" t="s">
        <v>520</v>
      </c>
      <c r="S4" s="3463"/>
      <c r="T4" s="3462" t="s">
        <v>521</v>
      </c>
      <c r="U4" s="3463"/>
      <c r="V4" s="3449" t="s">
        <v>522</v>
      </c>
      <c r="W4" s="3449"/>
      <c r="X4" s="1568"/>
      <c r="Y4" s="3462" t="s">
        <v>524</v>
      </c>
      <c r="Z4" s="3463"/>
      <c r="AA4" s="3451" t="s">
        <v>520</v>
      </c>
      <c r="AB4" s="3451" t="s">
        <v>521</v>
      </c>
      <c r="AC4" s="3451" t="s">
        <v>522</v>
      </c>
    </row>
    <row r="5" spans="1:29" ht="15">
      <c r="A5" s="515"/>
      <c r="B5" s="516"/>
      <c r="C5" s="3470" t="s">
        <v>2925</v>
      </c>
      <c r="D5" s="3471"/>
      <c r="E5" s="3490" t="s">
        <v>2926</v>
      </c>
      <c r="F5" s="3491"/>
      <c r="G5" s="3470" t="s">
        <v>2927</v>
      </c>
      <c r="H5" s="3471"/>
      <c r="I5" s="3470" t="s">
        <v>2928</v>
      </c>
      <c r="J5" s="3471"/>
      <c r="K5" s="854"/>
      <c r="L5" s="2135"/>
      <c r="M5" s="2136"/>
      <c r="N5" s="2136"/>
      <c r="O5" s="2136"/>
      <c r="P5" s="3458"/>
      <c r="Q5" s="3459"/>
      <c r="R5" s="3464"/>
      <c r="S5" s="3465"/>
      <c r="T5" s="3464"/>
      <c r="U5" s="3465"/>
      <c r="V5" s="3449"/>
      <c r="W5" s="3449"/>
      <c r="X5" s="1568"/>
      <c r="Y5" s="3464"/>
      <c r="Z5" s="3465"/>
      <c r="AA5" s="3452"/>
      <c r="AB5" s="3452"/>
      <c r="AC5" s="3452"/>
    </row>
    <row r="6" spans="1:29" ht="15.75" thickBot="1">
      <c r="A6" s="517"/>
      <c r="B6" s="518"/>
      <c r="C6" s="3468" t="s">
        <v>2929</v>
      </c>
      <c r="D6" s="3469"/>
      <c r="E6" s="3486" t="s">
        <v>2929</v>
      </c>
      <c r="F6" s="3487"/>
      <c r="G6" s="3468" t="s">
        <v>2929</v>
      </c>
      <c r="H6" s="3469"/>
      <c r="I6" s="3468" t="s">
        <v>2929</v>
      </c>
      <c r="J6" s="3469"/>
      <c r="K6" s="854" t="s">
        <v>525</v>
      </c>
      <c r="L6" s="2135"/>
      <c r="M6" s="2136"/>
      <c r="N6" s="2136"/>
      <c r="O6" s="2136"/>
      <c r="P6" s="3460"/>
      <c r="Q6" s="3461"/>
      <c r="R6" s="3464"/>
      <c r="S6" s="3465"/>
      <c r="T6" s="3466"/>
      <c r="U6" s="3467"/>
      <c r="V6" s="3449"/>
      <c r="W6" s="3449"/>
      <c r="X6" s="1568"/>
      <c r="Y6" s="3466"/>
      <c r="Z6" s="3467"/>
      <c r="AA6" s="3453"/>
      <c r="AB6" s="3453"/>
      <c r="AC6" s="3453"/>
    </row>
    <row r="7" spans="1:29" s="1220" customFormat="1" ht="15.75" thickBot="1">
      <c r="A7" s="2914"/>
      <c r="B7" s="2921" t="s">
        <v>526</v>
      </c>
      <c r="C7" s="519">
        <f>'数据-取费表'!B2</f>
        <v>43424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79" t="s">
        <v>527</v>
      </c>
      <c r="Q7" s="3481"/>
      <c r="R7" s="1569" t="s">
        <v>13</v>
      </c>
      <c r="S7" s="1570">
        <f t="shared" ref="S7:S15" si="0">F7</f>
        <v>0</v>
      </c>
      <c r="T7" s="1569" t="s">
        <v>13</v>
      </c>
      <c r="U7" s="1570">
        <f t="shared" ref="U7:U15" si="1">H7</f>
        <v>0</v>
      </c>
      <c r="V7" s="1569" t="s">
        <v>13</v>
      </c>
      <c r="W7" s="1570">
        <f t="shared" ref="W7:W15" si="2">J7</f>
        <v>0</v>
      </c>
      <c r="X7" s="1571"/>
      <c r="Y7" s="3479" t="s">
        <v>527</v>
      </c>
      <c r="Z7" s="3480"/>
      <c r="AA7" s="1572" t="e">
        <f>D7/F7</f>
        <v>#DIV/0!</v>
      </c>
      <c r="AB7" s="1572" t="e">
        <f>D7/H7</f>
        <v>#DIV/0!</v>
      </c>
      <c r="AC7" s="1572" t="e">
        <f>D7/J7</f>
        <v>#DIV/0!</v>
      </c>
    </row>
    <row r="8" spans="1:29" s="1220" customFormat="1" ht="15.75" thickBot="1">
      <c r="A8" s="2915"/>
      <c r="B8" s="2922" t="s">
        <v>528</v>
      </c>
      <c r="C8" s="525" t="s">
        <v>573</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79" t="s">
        <v>530</v>
      </c>
      <c r="Q8" s="3480"/>
      <c r="R8" s="1569" t="s">
        <v>13</v>
      </c>
      <c r="S8" s="1570">
        <f t="shared" si="0"/>
        <v>0</v>
      </c>
      <c r="T8" s="1569" t="s">
        <v>13</v>
      </c>
      <c r="U8" s="1570">
        <f t="shared" si="1"/>
        <v>0</v>
      </c>
      <c r="V8" s="1569" t="s">
        <v>13</v>
      </c>
      <c r="W8" s="1570">
        <f t="shared" si="2"/>
        <v>0</v>
      </c>
      <c r="X8" s="1571"/>
      <c r="Y8" s="3479" t="s">
        <v>530</v>
      </c>
      <c r="Z8" s="3480"/>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48" t="s">
        <v>532</v>
      </c>
      <c r="Q9" s="1151" t="str">
        <f t="shared" ref="Q9:Q15" si="6">B9</f>
        <v>用途</v>
      </c>
      <c r="R9" s="1569" t="s">
        <v>8</v>
      </c>
      <c r="S9" s="1570">
        <f t="shared" si="0"/>
        <v>100</v>
      </c>
      <c r="T9" s="1569" t="s">
        <v>8</v>
      </c>
      <c r="U9" s="1570">
        <f t="shared" si="1"/>
        <v>100</v>
      </c>
      <c r="V9" s="1569" t="s">
        <v>8</v>
      </c>
      <c r="W9" s="1570">
        <f t="shared" si="2"/>
        <v>100</v>
      </c>
      <c r="X9" s="1571"/>
      <c r="Y9" s="3385"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48"/>
      <c r="Q10" s="1151" t="str">
        <f t="shared" si="6"/>
        <v>土地使用年限（年）</v>
      </c>
      <c r="R10" s="1569" t="s">
        <v>8</v>
      </c>
      <c r="S10" s="1570">
        <f t="shared" si="0"/>
        <v>100</v>
      </c>
      <c r="T10" s="1569" t="s">
        <v>8</v>
      </c>
      <c r="U10" s="1570">
        <f t="shared" si="1"/>
        <v>100</v>
      </c>
      <c r="V10" s="1569" t="s">
        <v>8</v>
      </c>
      <c r="W10" s="1570">
        <f t="shared" si="2"/>
        <v>100</v>
      </c>
      <c r="X10" s="1571"/>
      <c r="Y10" s="3385"/>
      <c r="Z10" s="1150" t="str">
        <f t="shared" si="7"/>
        <v>土地使用年限（年）</v>
      </c>
      <c r="AA10" s="1572">
        <f t="shared" si="3"/>
        <v>1</v>
      </c>
      <c r="AB10" s="1572">
        <f t="shared" si="4"/>
        <v>1</v>
      </c>
      <c r="AC10" s="1572">
        <f t="shared" si="5"/>
        <v>1</v>
      </c>
    </row>
    <row r="11" spans="1:29" ht="15">
      <c r="A11" s="2918"/>
      <c r="B11" s="2922"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48"/>
      <c r="Q11" s="1151" t="str">
        <f t="shared" si="6"/>
        <v>容积率</v>
      </c>
      <c r="R11" s="1569" t="s">
        <v>11</v>
      </c>
      <c r="S11" s="1570" t="e">
        <f t="shared" si="0"/>
        <v>#N/A</v>
      </c>
      <c r="T11" s="1569" t="s">
        <v>11</v>
      </c>
      <c r="U11" s="1570" t="e">
        <f t="shared" si="1"/>
        <v>#N/A</v>
      </c>
      <c r="V11" s="1569" t="s">
        <v>11</v>
      </c>
      <c r="W11" s="1570" t="e">
        <f t="shared" si="2"/>
        <v>#N/A</v>
      </c>
      <c r="X11" s="1571"/>
      <c r="Y11" s="338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48"/>
      <c r="Q12" s="1151">
        <f t="shared" si="6"/>
        <v>111</v>
      </c>
      <c r="R12" s="1569" t="s">
        <v>11</v>
      </c>
      <c r="S12" s="1570">
        <f t="shared" si="0"/>
        <v>100</v>
      </c>
      <c r="T12" s="1569" t="s">
        <v>11</v>
      </c>
      <c r="U12" s="1570">
        <f t="shared" si="1"/>
        <v>100</v>
      </c>
      <c r="V12" s="1569" t="s">
        <v>11</v>
      </c>
      <c r="W12" s="1570">
        <f t="shared" si="2"/>
        <v>100</v>
      </c>
      <c r="X12" s="1571"/>
      <c r="Y12" s="3385"/>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48"/>
      <c r="Q13" s="1151">
        <f t="shared" si="6"/>
        <v>111</v>
      </c>
      <c r="R13" s="1569" t="s">
        <v>11</v>
      </c>
      <c r="S13" s="1570">
        <f t="shared" si="0"/>
        <v>100</v>
      </c>
      <c r="T13" s="1569" t="s">
        <v>11</v>
      </c>
      <c r="U13" s="1570">
        <f t="shared" si="1"/>
        <v>100</v>
      </c>
      <c r="V13" s="1569" t="s">
        <v>11</v>
      </c>
      <c r="W13" s="1570">
        <f t="shared" si="2"/>
        <v>100</v>
      </c>
      <c r="X13" s="1571"/>
      <c r="Y13" s="3385"/>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48"/>
      <c r="Q14" s="1151">
        <f t="shared" si="6"/>
        <v>111</v>
      </c>
      <c r="R14" s="1569" t="s">
        <v>11</v>
      </c>
      <c r="S14" s="1570">
        <f t="shared" si="0"/>
        <v>100</v>
      </c>
      <c r="T14" s="1569" t="s">
        <v>11</v>
      </c>
      <c r="U14" s="1570">
        <f t="shared" si="1"/>
        <v>100</v>
      </c>
      <c r="V14" s="1569" t="s">
        <v>11</v>
      </c>
      <c r="W14" s="1570">
        <f t="shared" si="2"/>
        <v>100</v>
      </c>
      <c r="X14" s="1571"/>
      <c r="Y14" s="3385"/>
      <c r="Z14" s="1150">
        <f t="shared" si="7"/>
        <v>111</v>
      </c>
      <c r="AA14" s="1572">
        <f t="shared" si="3"/>
        <v>1</v>
      </c>
      <c r="AB14" s="1572">
        <f t="shared" si="4"/>
        <v>1</v>
      </c>
      <c r="AC14" s="1572">
        <f t="shared" si="5"/>
        <v>1</v>
      </c>
    </row>
    <row r="15" spans="1:29" ht="99.75">
      <c r="A15" s="2912" t="s">
        <v>2750</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82" t="s">
        <v>537</v>
      </c>
      <c r="Q15" s="1573" t="str">
        <f t="shared" si="6"/>
        <v>居住社区成熟度</v>
      </c>
      <c r="R15" s="1574" t="s">
        <v>11</v>
      </c>
      <c r="S15" s="1575">
        <f t="shared" si="0"/>
        <v>100</v>
      </c>
      <c r="T15" s="1574" t="s">
        <v>11</v>
      </c>
      <c r="U15" s="1575">
        <f t="shared" si="1"/>
        <v>100</v>
      </c>
      <c r="V15" s="1574" t="s">
        <v>11</v>
      </c>
      <c r="W15" s="1575">
        <f t="shared" si="2"/>
        <v>100</v>
      </c>
      <c r="X15" s="1568"/>
      <c r="Y15" s="3482"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83"/>
      <c r="Q16" s="1573"/>
      <c r="R16" s="1574"/>
      <c r="S16" s="1575"/>
      <c r="T16" s="1574"/>
      <c r="U16" s="1575"/>
      <c r="V16" s="1574"/>
      <c r="W16" s="1575"/>
      <c r="X16" s="1568"/>
      <c r="Y16" s="3483"/>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83"/>
      <c r="Q17" s="1573" t="str">
        <f>B17</f>
        <v>交通便捷度</v>
      </c>
      <c r="R17" s="1574" t="s">
        <v>11</v>
      </c>
      <c r="S17" s="1575">
        <f>F17</f>
        <v>100</v>
      </c>
      <c r="T17" s="1574" t="s">
        <v>11</v>
      </c>
      <c r="U17" s="1575">
        <f>H17</f>
        <v>100</v>
      </c>
      <c r="V17" s="1574" t="s">
        <v>11</v>
      </c>
      <c r="W17" s="1575">
        <f>J17</f>
        <v>100</v>
      </c>
      <c r="X17" s="1568"/>
      <c r="Y17" s="34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83"/>
      <c r="Q18" s="1573"/>
      <c r="R18" s="1574"/>
      <c r="S18" s="1575"/>
      <c r="T18" s="1574"/>
      <c r="U18" s="1575"/>
      <c r="V18" s="1574"/>
      <c r="W18" s="1575"/>
      <c r="X18" s="1568"/>
      <c r="Y18" s="3483"/>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83"/>
      <c r="Q19" s="1573" t="str">
        <f>B19</f>
        <v>公共配套设施</v>
      </c>
      <c r="R19" s="1574" t="s">
        <v>11</v>
      </c>
      <c r="S19" s="1575">
        <f>F19</f>
        <v>100</v>
      </c>
      <c r="T19" s="1574" t="s">
        <v>11</v>
      </c>
      <c r="U19" s="1575">
        <f>H19</f>
        <v>100</v>
      </c>
      <c r="V19" s="1574" t="s">
        <v>11</v>
      </c>
      <c r="W19" s="1575">
        <f>J19</f>
        <v>100</v>
      </c>
      <c r="X19" s="1568"/>
      <c r="Y19" s="348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83"/>
      <c r="Q20" s="1573"/>
      <c r="R20" s="1574"/>
      <c r="S20" s="1575"/>
      <c r="T20" s="1574"/>
      <c r="U20" s="1575"/>
      <c r="V20" s="1574"/>
      <c r="W20" s="1575"/>
      <c r="X20" s="1568"/>
      <c r="Y20" s="3483"/>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83"/>
      <c r="Q21" s="2581" t="str">
        <f>B21</f>
        <v>基础设施水平</v>
      </c>
      <c r="R21" s="1574" t="s">
        <v>11</v>
      </c>
      <c r="S21" s="1575">
        <f>F21</f>
        <v>100</v>
      </c>
      <c r="T21" s="1574" t="s">
        <v>11</v>
      </c>
      <c r="U21" s="1575">
        <f>H21</f>
        <v>100</v>
      </c>
      <c r="V21" s="1574" t="s">
        <v>11</v>
      </c>
      <c r="W21" s="1575">
        <f>J21</f>
        <v>100</v>
      </c>
      <c r="X21" s="2583"/>
      <c r="Y21" s="3483"/>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83"/>
      <c r="Q22" s="2581"/>
      <c r="R22" s="1574"/>
      <c r="S22" s="1575"/>
      <c r="T22" s="1574"/>
      <c r="U22" s="1575"/>
      <c r="V22" s="1574"/>
      <c r="W22" s="1575"/>
      <c r="X22" s="2583"/>
      <c r="Y22" s="3483"/>
      <c r="Z22" s="2582"/>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83"/>
      <c r="Q23" s="1573" t="str">
        <f>B23</f>
        <v>自然及人文环境</v>
      </c>
      <c r="R23" s="1574" t="s">
        <v>11</v>
      </c>
      <c r="S23" s="1575">
        <f>F23</f>
        <v>100</v>
      </c>
      <c r="T23" s="1574" t="s">
        <v>11</v>
      </c>
      <c r="U23" s="1575">
        <f>H23</f>
        <v>100</v>
      </c>
      <c r="V23" s="1574" t="s">
        <v>11</v>
      </c>
      <c r="W23" s="1575">
        <f>J23</f>
        <v>100</v>
      </c>
      <c r="X23" s="1568"/>
      <c r="Y23" s="348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83"/>
      <c r="Q24" s="1573"/>
      <c r="R24" s="1574"/>
      <c r="S24" s="1575"/>
      <c r="T24" s="1574"/>
      <c r="U24" s="1575"/>
      <c r="V24" s="1574"/>
      <c r="W24" s="1575"/>
      <c r="X24" s="1568"/>
      <c r="Y24" s="3483"/>
      <c r="Z24" s="1576"/>
      <c r="AA24" s="1577">
        <v>1</v>
      </c>
      <c r="AB24" s="1577">
        <v>1</v>
      </c>
      <c r="AC24" s="1577">
        <v>1</v>
      </c>
    </row>
    <row r="25" spans="1:29" ht="15">
      <c r="A25" s="532"/>
      <c r="B25" s="1897" t="s">
        <v>2252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83"/>
      <c r="Q25" s="1573" t="str">
        <f t="shared" ref="Q25:Q46" si="11">B25</f>
        <v>楼层-1</v>
      </c>
      <c r="R25" s="1574" t="s">
        <v>11</v>
      </c>
      <c r="S25" s="1575">
        <f>F25</f>
        <v>100</v>
      </c>
      <c r="T25" s="1574" t="s">
        <v>11</v>
      </c>
      <c r="U25" s="1575">
        <f>H25</f>
        <v>100</v>
      </c>
      <c r="V25" s="1574" t="s">
        <v>11</v>
      </c>
      <c r="W25" s="1575">
        <f>J25</f>
        <v>100</v>
      </c>
      <c r="X25" s="1568"/>
      <c r="Y25" s="3483"/>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83"/>
      <c r="Q26" s="1573" t="str">
        <f t="shared" si="11"/>
        <v>朝向</v>
      </c>
      <c r="R26" s="1574" t="s">
        <v>11</v>
      </c>
      <c r="S26" s="1575">
        <f>F26</f>
        <v>100</v>
      </c>
      <c r="T26" s="1574" t="s">
        <v>11</v>
      </c>
      <c r="U26" s="1575">
        <f>H26</f>
        <v>100</v>
      </c>
      <c r="V26" s="1574" t="s">
        <v>11</v>
      </c>
      <c r="W26" s="1575">
        <f>J26</f>
        <v>100</v>
      </c>
      <c r="X26" s="1568"/>
      <c r="Y26" s="3483"/>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83"/>
      <c r="Q27" s="1151" t="str">
        <f t="shared" si="11"/>
        <v>道路级别</v>
      </c>
      <c r="R27" s="1569" t="s">
        <v>11</v>
      </c>
      <c r="S27" s="1570">
        <f>F27</f>
        <v>100</v>
      </c>
      <c r="T27" s="1569" t="s">
        <v>11</v>
      </c>
      <c r="U27" s="1570">
        <f>H27</f>
        <v>100</v>
      </c>
      <c r="V27" s="1569" t="s">
        <v>11</v>
      </c>
      <c r="W27" s="1570">
        <f>J27</f>
        <v>100</v>
      </c>
      <c r="X27" s="1571"/>
      <c r="Y27" s="348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83"/>
      <c r="Q28" s="1573">
        <f t="shared" si="11"/>
        <v>111</v>
      </c>
      <c r="R28" s="1574" t="s">
        <v>11</v>
      </c>
      <c r="S28" s="1575">
        <f t="shared" ref="S28:S46" si="12">F28</f>
        <v>100</v>
      </c>
      <c r="T28" s="1574" t="s">
        <v>11</v>
      </c>
      <c r="U28" s="1575">
        <f t="shared" ref="U28:U46" si="13">H28</f>
        <v>100</v>
      </c>
      <c r="V28" s="1574" t="s">
        <v>11</v>
      </c>
      <c r="W28" s="1575">
        <f t="shared" ref="W28:W46" si="14">J28</f>
        <v>100</v>
      </c>
      <c r="X28" s="1568"/>
      <c r="Y28" s="348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83"/>
      <c r="Q29" s="1573">
        <f t="shared" si="11"/>
        <v>111</v>
      </c>
      <c r="R29" s="1574" t="s">
        <v>11</v>
      </c>
      <c r="S29" s="1575">
        <f t="shared" si="12"/>
        <v>100</v>
      </c>
      <c r="T29" s="1574" t="s">
        <v>11</v>
      </c>
      <c r="U29" s="1575">
        <f t="shared" si="13"/>
        <v>100</v>
      </c>
      <c r="V29" s="1574" t="s">
        <v>11</v>
      </c>
      <c r="W29" s="1575">
        <f t="shared" si="14"/>
        <v>100</v>
      </c>
      <c r="X29" s="1568"/>
      <c r="Y29" s="348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83"/>
      <c r="Q30" s="1573">
        <f t="shared" si="11"/>
        <v>111</v>
      </c>
      <c r="R30" s="1574" t="s">
        <v>11</v>
      </c>
      <c r="S30" s="1575">
        <f t="shared" si="12"/>
        <v>100</v>
      </c>
      <c r="T30" s="1574" t="s">
        <v>11</v>
      </c>
      <c r="U30" s="1575">
        <f t="shared" si="13"/>
        <v>100</v>
      </c>
      <c r="V30" s="1574" t="s">
        <v>11</v>
      </c>
      <c r="W30" s="1575">
        <f t="shared" si="14"/>
        <v>100</v>
      </c>
      <c r="X30" s="1568"/>
      <c r="Y30" s="348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83"/>
      <c r="Q31" s="1573">
        <f t="shared" si="11"/>
        <v>111</v>
      </c>
      <c r="R31" s="1574" t="s">
        <v>11</v>
      </c>
      <c r="S31" s="1575">
        <f t="shared" si="12"/>
        <v>100</v>
      </c>
      <c r="T31" s="1574" t="s">
        <v>11</v>
      </c>
      <c r="U31" s="1575">
        <f t="shared" si="13"/>
        <v>100</v>
      </c>
      <c r="V31" s="1574" t="s">
        <v>11</v>
      </c>
      <c r="W31" s="1575">
        <f t="shared" si="14"/>
        <v>100</v>
      </c>
      <c r="X31" s="1568"/>
      <c r="Y31" s="3483"/>
      <c r="Z31" s="1576">
        <f t="shared" si="15"/>
        <v>111</v>
      </c>
      <c r="AA31" s="1577">
        <f t="shared" si="3"/>
        <v>1</v>
      </c>
      <c r="AB31" s="1577">
        <f t="shared" si="4"/>
        <v>1</v>
      </c>
      <c r="AC31" s="1577">
        <f t="shared" si="5"/>
        <v>1</v>
      </c>
    </row>
    <row r="32" spans="1:29" ht="15">
      <c r="A32" s="2909"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84" t="s">
        <v>547</v>
      </c>
      <c r="Q32" s="1573" t="str">
        <f t="shared" si="11"/>
        <v>建筑类型</v>
      </c>
      <c r="R32" s="1574" t="s">
        <v>11</v>
      </c>
      <c r="S32" s="1575">
        <f t="shared" si="12"/>
        <v>100</v>
      </c>
      <c r="T32" s="1574" t="s">
        <v>11</v>
      </c>
      <c r="U32" s="1575">
        <f t="shared" si="13"/>
        <v>100</v>
      </c>
      <c r="V32" s="1574" t="s">
        <v>11</v>
      </c>
      <c r="W32" s="1575">
        <f t="shared" si="14"/>
        <v>100</v>
      </c>
      <c r="X32" s="1568"/>
      <c r="Y32" s="3485"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85"/>
      <c r="Q33" s="1606" t="str">
        <f t="shared" si="11"/>
        <v>项目建筑规模</v>
      </c>
      <c r="R33" s="1578" t="s">
        <v>11</v>
      </c>
      <c r="S33" s="1579" t="e">
        <f t="shared" si="12"/>
        <v>#N/A</v>
      </c>
      <c r="T33" s="1578" t="s">
        <v>11</v>
      </c>
      <c r="U33" s="1579" t="e">
        <f t="shared" si="13"/>
        <v>#N/A</v>
      </c>
      <c r="V33" s="1578" t="s">
        <v>11</v>
      </c>
      <c r="W33" s="1579" t="e">
        <f t="shared" si="14"/>
        <v>#N/A</v>
      </c>
      <c r="X33" s="1580"/>
      <c r="Y33" s="3485"/>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85"/>
      <c r="Q34" s="1573" t="str">
        <f t="shared" si="11"/>
        <v>建筑结构</v>
      </c>
      <c r="R34" s="1574" t="s">
        <v>11</v>
      </c>
      <c r="S34" s="1575">
        <f t="shared" si="12"/>
        <v>100</v>
      </c>
      <c r="T34" s="1574" t="s">
        <v>11</v>
      </c>
      <c r="U34" s="1575">
        <f t="shared" si="13"/>
        <v>100</v>
      </c>
      <c r="V34" s="1574" t="s">
        <v>11</v>
      </c>
      <c r="W34" s="1575">
        <f t="shared" si="14"/>
        <v>100</v>
      </c>
      <c r="X34" s="1568"/>
      <c r="Y34" s="3485"/>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85"/>
      <c r="Q35" s="1573" t="str">
        <f t="shared" si="11"/>
        <v>建筑品质</v>
      </c>
      <c r="R35" s="1574" t="s">
        <v>11</v>
      </c>
      <c r="S35" s="1575">
        <f t="shared" si="12"/>
        <v>100</v>
      </c>
      <c r="T35" s="1574" t="s">
        <v>11</v>
      </c>
      <c r="U35" s="1575">
        <f t="shared" si="13"/>
        <v>100</v>
      </c>
      <c r="V35" s="1574" t="s">
        <v>11</v>
      </c>
      <c r="W35" s="1575">
        <f t="shared" si="14"/>
        <v>100</v>
      </c>
      <c r="X35" s="1568"/>
      <c r="Y35" s="3485"/>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85"/>
      <c r="Q36" s="1573" t="str">
        <f t="shared" si="11"/>
        <v>公共部分装修</v>
      </c>
      <c r="R36" s="1574" t="s">
        <v>11</v>
      </c>
      <c r="S36" s="1575">
        <f t="shared" si="12"/>
        <v>100</v>
      </c>
      <c r="T36" s="1574" t="s">
        <v>11</v>
      </c>
      <c r="U36" s="1575">
        <f t="shared" si="13"/>
        <v>100</v>
      </c>
      <c r="V36" s="1574" t="s">
        <v>11</v>
      </c>
      <c r="W36" s="1575">
        <f t="shared" si="14"/>
        <v>100</v>
      </c>
      <c r="X36" s="1568"/>
      <c r="Y36" s="3485"/>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85"/>
      <c r="Q37" s="1151" t="str">
        <f t="shared" si="11"/>
        <v>成新度</v>
      </c>
      <c r="R37" s="1569" t="s">
        <v>11</v>
      </c>
      <c r="S37" s="1570" t="e">
        <f t="shared" si="12"/>
        <v>#N/A</v>
      </c>
      <c r="T37" s="1569" t="s">
        <v>11</v>
      </c>
      <c r="U37" s="1570" t="e">
        <f t="shared" si="13"/>
        <v>#N/A</v>
      </c>
      <c r="V37" s="1569" t="s">
        <v>11</v>
      </c>
      <c r="W37" s="1570" t="e">
        <f t="shared" si="14"/>
        <v>#N/A</v>
      </c>
      <c r="X37" s="1571"/>
      <c r="Y37" s="3485"/>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85" t="s">
        <v>547</v>
      </c>
      <c r="Q38" s="1573" t="str">
        <f t="shared" si="11"/>
        <v>物业管理</v>
      </c>
      <c r="R38" s="1574" t="s">
        <v>11</v>
      </c>
      <c r="S38" s="1575">
        <f t="shared" si="12"/>
        <v>100</v>
      </c>
      <c r="T38" s="1574" t="s">
        <v>11</v>
      </c>
      <c r="U38" s="1575">
        <f t="shared" si="13"/>
        <v>100</v>
      </c>
      <c r="V38" s="1574" t="s">
        <v>11</v>
      </c>
      <c r="W38" s="1575">
        <f t="shared" si="14"/>
        <v>100</v>
      </c>
      <c r="X38" s="1568"/>
      <c r="Y38" s="3485" t="s">
        <v>547</v>
      </c>
      <c r="Z38" s="1576" t="str">
        <f t="shared" si="15"/>
        <v>物业管理</v>
      </c>
      <c r="AA38" s="1577">
        <f t="shared" si="3"/>
        <v>1</v>
      </c>
      <c r="AB38" s="1577">
        <f t="shared" si="4"/>
        <v>1</v>
      </c>
      <c r="AC38" s="1577">
        <f t="shared" si="5"/>
        <v>1</v>
      </c>
    </row>
    <row r="39" spans="1:29" ht="15">
      <c r="A39" s="594"/>
      <c r="B39" s="1897"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85"/>
      <c r="Q39" s="1573" t="str">
        <f t="shared" si="11"/>
        <v>市政基础设施</v>
      </c>
      <c r="R39" s="1574" t="s">
        <v>11</v>
      </c>
      <c r="S39" s="1575">
        <f t="shared" si="12"/>
        <v>100</v>
      </c>
      <c r="T39" s="1574" t="s">
        <v>11</v>
      </c>
      <c r="U39" s="1575">
        <f t="shared" si="13"/>
        <v>100</v>
      </c>
      <c r="V39" s="1574" t="s">
        <v>11</v>
      </c>
      <c r="W39" s="1575">
        <f t="shared" si="14"/>
        <v>100</v>
      </c>
      <c r="X39" s="1568"/>
      <c r="Y39" s="3485"/>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85"/>
      <c r="Q40" s="1573" t="str">
        <f t="shared" si="11"/>
        <v>房型</v>
      </c>
      <c r="R40" s="1574" t="s">
        <v>11</v>
      </c>
      <c r="S40" s="1575">
        <f t="shared" si="12"/>
        <v>100</v>
      </c>
      <c r="T40" s="1574" t="s">
        <v>11</v>
      </c>
      <c r="U40" s="1575">
        <f t="shared" si="13"/>
        <v>100</v>
      </c>
      <c r="V40" s="1574" t="s">
        <v>11</v>
      </c>
      <c r="W40" s="1575">
        <f t="shared" si="14"/>
        <v>100</v>
      </c>
      <c r="X40" s="1568"/>
      <c r="Y40" s="3485"/>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85"/>
      <c r="Q41" s="1606" t="str">
        <f t="shared" si="11"/>
        <v>单套/主力户型建筑面积</v>
      </c>
      <c r="R41" s="1578" t="s">
        <v>11</v>
      </c>
      <c r="S41" s="1579">
        <f t="shared" si="12"/>
        <v>100</v>
      </c>
      <c r="T41" s="1578" t="s">
        <v>11</v>
      </c>
      <c r="U41" s="1579">
        <f t="shared" si="13"/>
        <v>100</v>
      </c>
      <c r="V41" s="1578" t="s">
        <v>11</v>
      </c>
      <c r="W41" s="1579">
        <f t="shared" si="14"/>
        <v>100</v>
      </c>
      <c r="X41" s="1580"/>
      <c r="Y41" s="3485"/>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85"/>
      <c r="Q42" s="1573" t="str">
        <f t="shared" si="11"/>
        <v>内部装修</v>
      </c>
      <c r="R42" s="1574" t="s">
        <v>11</v>
      </c>
      <c r="S42" s="1575">
        <f t="shared" si="12"/>
        <v>100</v>
      </c>
      <c r="T42" s="1574" t="s">
        <v>11</v>
      </c>
      <c r="U42" s="1575">
        <f t="shared" si="13"/>
        <v>100</v>
      </c>
      <c r="V42" s="1574" t="s">
        <v>11</v>
      </c>
      <c r="W42" s="1575">
        <f t="shared" si="14"/>
        <v>100</v>
      </c>
      <c r="X42" s="1568"/>
      <c r="Y42" s="3485"/>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85"/>
      <c r="Q43" s="1573" t="str">
        <f t="shared" si="11"/>
        <v>内部装修维护情况</v>
      </c>
      <c r="R43" s="1574" t="s">
        <v>11</v>
      </c>
      <c r="S43" s="1575">
        <f t="shared" si="12"/>
        <v>100</v>
      </c>
      <c r="T43" s="1574" t="s">
        <v>11</v>
      </c>
      <c r="U43" s="1575">
        <f t="shared" si="13"/>
        <v>100</v>
      </c>
      <c r="V43" s="1574" t="s">
        <v>11</v>
      </c>
      <c r="W43" s="1575">
        <f t="shared" si="14"/>
        <v>100</v>
      </c>
      <c r="X43" s="1568"/>
      <c r="Y43" s="348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85"/>
      <c r="Q44" s="1151">
        <f t="shared" si="11"/>
        <v>111</v>
      </c>
      <c r="R44" s="1569" t="s">
        <v>11</v>
      </c>
      <c r="S44" s="1570">
        <f t="shared" si="12"/>
        <v>100</v>
      </c>
      <c r="T44" s="1569" t="s">
        <v>11</v>
      </c>
      <c r="U44" s="1570">
        <f t="shared" si="13"/>
        <v>100</v>
      </c>
      <c r="V44" s="1569" t="s">
        <v>11</v>
      </c>
      <c r="W44" s="1570">
        <f t="shared" si="14"/>
        <v>100</v>
      </c>
      <c r="X44" s="1571"/>
      <c r="Y44" s="348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85"/>
      <c r="Q45" s="1573">
        <f t="shared" si="11"/>
        <v>111</v>
      </c>
      <c r="R45" s="1574" t="s">
        <v>11</v>
      </c>
      <c r="S45" s="1575">
        <f t="shared" si="12"/>
        <v>100</v>
      </c>
      <c r="T45" s="1574" t="s">
        <v>11</v>
      </c>
      <c r="U45" s="1575">
        <f t="shared" si="13"/>
        <v>100</v>
      </c>
      <c r="V45" s="1574" t="s">
        <v>11</v>
      </c>
      <c r="W45" s="1575">
        <f t="shared" si="14"/>
        <v>100</v>
      </c>
      <c r="X45" s="1568"/>
      <c r="Y45" s="348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23"/>
      <c r="Q46" s="1573">
        <f t="shared" si="11"/>
        <v>111</v>
      </c>
      <c r="R46" s="1574" t="s">
        <v>10</v>
      </c>
      <c r="S46" s="1575">
        <f t="shared" si="12"/>
        <v>100</v>
      </c>
      <c r="T46" s="1574" t="s">
        <v>10</v>
      </c>
      <c r="U46" s="1575">
        <f t="shared" si="13"/>
        <v>100</v>
      </c>
      <c r="V46" s="1574" t="s">
        <v>10</v>
      </c>
      <c r="W46" s="1575">
        <f t="shared" si="14"/>
        <v>100</v>
      </c>
      <c r="X46" s="1568"/>
      <c r="Y46" s="3523"/>
      <c r="Z46" s="1576">
        <f t="shared" si="15"/>
        <v>111</v>
      </c>
      <c r="AA46" s="1577">
        <f t="shared" si="3"/>
        <v>1</v>
      </c>
      <c r="AB46" s="1577">
        <f t="shared" si="4"/>
        <v>1</v>
      </c>
      <c r="AC46" s="1577">
        <f t="shared" si="5"/>
        <v>1</v>
      </c>
    </row>
    <row r="47" spans="1:29" ht="15">
      <c r="A47" s="607" t="s">
        <v>733</v>
      </c>
      <c r="B47" s="887"/>
      <c r="C47" s="2629" t="s">
        <v>9</v>
      </c>
      <c r="D47" s="2630"/>
      <c r="E47" s="2631"/>
      <c r="F47" s="2632"/>
      <c r="G47" s="2633"/>
      <c r="H47" s="2634"/>
      <c r="I47" s="2631"/>
      <c r="J47" s="2634"/>
      <c r="K47" s="1607"/>
      <c r="L47" s="2146"/>
      <c r="M47" s="2147"/>
      <c r="N47" s="2136"/>
      <c r="O47" s="2147"/>
      <c r="P47" s="3448" t="str">
        <f>A47</f>
        <v>成交单价（元/平方米）</v>
      </c>
      <c r="Q47" s="3448"/>
      <c r="R47" s="3520">
        <f>E47</f>
        <v>0</v>
      </c>
      <c r="S47" s="3520"/>
      <c r="T47" s="3520">
        <f>G47</f>
        <v>0</v>
      </c>
      <c r="U47" s="3520"/>
      <c r="V47" s="3520">
        <f>I47</f>
        <v>0</v>
      </c>
      <c r="W47" s="3520"/>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08"/>
      <c r="L48" s="2146"/>
      <c r="M48" s="2147"/>
      <c r="N48" s="2147"/>
      <c r="O48" s="2147"/>
      <c r="P48" s="3448" t="str">
        <f>A48</f>
        <v>比较价格（元/平方米）</v>
      </c>
      <c r="Q48" s="3448"/>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09"/>
      <c r="L49" s="2146"/>
      <c r="M49" s="2147"/>
      <c r="N49" s="2147"/>
      <c r="O49" s="2147"/>
      <c r="P49" s="3445" t="str">
        <f>A49</f>
        <v>估价对象XX用房的比较价格（楼面单价，元/平方米）</v>
      </c>
      <c r="Q49" s="3446"/>
      <c r="R49" s="3522" t="e">
        <f>IF(F1="售价",ROUND(AVERAGE(R48:V48),0),ROUND(AVERAGE(R48:V48),1))</f>
        <v>#DIV/0!</v>
      </c>
      <c r="S49" s="3522"/>
      <c r="T49" s="3522"/>
      <c r="U49" s="3522"/>
      <c r="V49" s="3522"/>
      <c r="W49" s="352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2255</v>
      </c>
      <c r="C137" s="1921"/>
      <c r="D137" s="1921"/>
      <c r="E137" s="1921"/>
      <c r="F137" s="1921"/>
      <c r="G137" s="1922"/>
      <c r="H137" s="1923"/>
      <c r="I137" s="1924" t="s">
        <v>2256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2257</v>
      </c>
      <c r="D138" s="1927" t="s">
        <v>2258</v>
      </c>
      <c r="E138" s="1928" t="s">
        <v>2259</v>
      </c>
      <c r="F138" s="1929" t="s">
        <v>2260</v>
      </c>
      <c r="G138" s="1927" t="s">
        <v>2261</v>
      </c>
      <c r="H138" s="1930" t="s">
        <v>2262</v>
      </c>
      <c r="I138" s="1931"/>
      <c r="J138" s="1927" t="s">
        <v>2263</v>
      </c>
      <c r="K138" s="1930" t="s">
        <v>2264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2265</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454" t="s">
        <v>519</v>
      </c>
      <c r="D4" s="3455"/>
      <c r="E4" s="3488" t="s">
        <v>520</v>
      </c>
      <c r="F4" s="3489"/>
      <c r="G4" s="3454" t="s">
        <v>521</v>
      </c>
      <c r="H4" s="3455"/>
      <c r="I4" s="3454" t="s">
        <v>522</v>
      </c>
      <c r="J4" s="3455"/>
      <c r="K4" s="514" t="s">
        <v>523</v>
      </c>
      <c r="L4" s="2135"/>
      <c r="M4" s="2136"/>
      <c r="N4" s="2136"/>
      <c r="O4" s="2136"/>
      <c r="P4" s="3456" t="s">
        <v>524</v>
      </c>
      <c r="Q4" s="3457"/>
      <c r="R4" s="3462" t="s">
        <v>520</v>
      </c>
      <c r="S4" s="3463"/>
      <c r="T4" s="3462" t="s">
        <v>521</v>
      </c>
      <c r="U4" s="3463"/>
      <c r="V4" s="3449" t="s">
        <v>522</v>
      </c>
      <c r="W4" s="3449"/>
      <c r="X4" s="1568"/>
      <c r="Y4" s="3462" t="s">
        <v>524</v>
      </c>
      <c r="Z4" s="3463"/>
      <c r="AA4" s="3451" t="s">
        <v>520</v>
      </c>
      <c r="AB4" s="3452" t="s">
        <v>521</v>
      </c>
      <c r="AC4" s="3451" t="s">
        <v>522</v>
      </c>
    </row>
    <row r="5" spans="1:29" ht="15">
      <c r="A5" s="515"/>
      <c r="B5" s="516"/>
      <c r="C5" s="3470" t="s">
        <v>2925</v>
      </c>
      <c r="D5" s="3471"/>
      <c r="E5" s="3490" t="s">
        <v>2926</v>
      </c>
      <c r="F5" s="3491"/>
      <c r="G5" s="3470" t="s">
        <v>2927</v>
      </c>
      <c r="H5" s="3471"/>
      <c r="I5" s="3470" t="s">
        <v>2928</v>
      </c>
      <c r="J5" s="3471"/>
      <c r="K5" s="514"/>
      <c r="L5" s="2135"/>
      <c r="M5" s="2136"/>
      <c r="N5" s="2136"/>
      <c r="O5" s="2136"/>
      <c r="P5" s="3458"/>
      <c r="Q5" s="3459"/>
      <c r="R5" s="3464"/>
      <c r="S5" s="3465"/>
      <c r="T5" s="3464"/>
      <c r="U5" s="3465"/>
      <c r="V5" s="3449"/>
      <c r="W5" s="3449"/>
      <c r="X5" s="1568"/>
      <c r="Y5" s="3464"/>
      <c r="Z5" s="3465"/>
      <c r="AA5" s="3452"/>
      <c r="AB5" s="3452"/>
      <c r="AC5" s="3452"/>
    </row>
    <row r="6" spans="1:29" ht="15.75" thickBot="1">
      <c r="A6" s="517"/>
      <c r="B6" s="518"/>
      <c r="C6" s="3468" t="s">
        <v>2929</v>
      </c>
      <c r="D6" s="3469"/>
      <c r="E6" s="3486" t="s">
        <v>2929</v>
      </c>
      <c r="F6" s="3487"/>
      <c r="G6" s="3468" t="s">
        <v>2929</v>
      </c>
      <c r="H6" s="3469"/>
      <c r="I6" s="3468" t="s">
        <v>2929</v>
      </c>
      <c r="J6" s="3469"/>
      <c r="K6" s="514" t="s">
        <v>525</v>
      </c>
      <c r="L6" s="2135"/>
      <c r="M6" s="2136"/>
      <c r="N6" s="2136"/>
      <c r="O6" s="2136"/>
      <c r="P6" s="3460"/>
      <c r="Q6" s="3461"/>
      <c r="R6" s="3464"/>
      <c r="S6" s="3465"/>
      <c r="T6" s="3466"/>
      <c r="U6" s="3467"/>
      <c r="V6" s="3449"/>
      <c r="W6" s="3449"/>
      <c r="X6" s="1568"/>
      <c r="Y6" s="3466"/>
      <c r="Z6" s="3467"/>
      <c r="AA6" s="3453"/>
      <c r="AB6" s="3453"/>
      <c r="AC6" s="3453"/>
    </row>
    <row r="7" spans="1:29" s="1220" customFormat="1" ht="15.75" thickBot="1">
      <c r="A7" s="2914"/>
      <c r="B7" s="2921" t="s">
        <v>526</v>
      </c>
      <c r="C7" s="519">
        <f>'数据-取费表'!B2</f>
        <v>43424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79" t="s">
        <v>527</v>
      </c>
      <c r="Q7" s="3481"/>
      <c r="R7" s="1569" t="s">
        <v>8</v>
      </c>
      <c r="S7" s="1570">
        <f t="shared" ref="S7:S15" si="0">F7</f>
        <v>0</v>
      </c>
      <c r="T7" s="1569" t="s">
        <v>8</v>
      </c>
      <c r="U7" s="1570">
        <f t="shared" ref="U7:U15" si="1">H7</f>
        <v>0</v>
      </c>
      <c r="V7" s="1569" t="s">
        <v>8</v>
      </c>
      <c r="W7" s="1570">
        <f t="shared" ref="W7:W15" si="2">J7</f>
        <v>0</v>
      </c>
      <c r="X7" s="1571"/>
      <c r="Y7" s="3479" t="s">
        <v>527</v>
      </c>
      <c r="Z7" s="3480"/>
      <c r="AA7" s="1572" t="e">
        <f>D7/F7</f>
        <v>#DIV/0!</v>
      </c>
      <c r="AB7" s="1572" t="e">
        <f>D7/H7</f>
        <v>#DIV/0!</v>
      </c>
      <c r="AC7" s="1572" t="e">
        <f>D7/J7</f>
        <v>#DIV/0!</v>
      </c>
    </row>
    <row r="8" spans="1:29" s="1220" customFormat="1" ht="15.75" thickBot="1">
      <c r="A8" s="2915"/>
      <c r="B8" s="2922"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79" t="s">
        <v>530</v>
      </c>
      <c r="Q8" s="3480"/>
      <c r="R8" s="1569" t="s">
        <v>8</v>
      </c>
      <c r="S8" s="1570">
        <f t="shared" si="0"/>
        <v>0</v>
      </c>
      <c r="T8" s="1569" t="s">
        <v>8</v>
      </c>
      <c r="U8" s="1570">
        <f t="shared" si="1"/>
        <v>0</v>
      </c>
      <c r="V8" s="1569" t="s">
        <v>8</v>
      </c>
      <c r="W8" s="1570">
        <f t="shared" si="2"/>
        <v>0</v>
      </c>
      <c r="X8" s="1571"/>
      <c r="Y8" s="3479" t="s">
        <v>530</v>
      </c>
      <c r="Z8" s="3480"/>
      <c r="AA8" s="1572" t="e">
        <f t="shared" ref="AA8:AA40" si="3">D8/F8</f>
        <v>#DIV/0!</v>
      </c>
      <c r="AB8" s="1572" t="e">
        <f t="shared" ref="AB8:AB40" si="4">D8/H8</f>
        <v>#DIV/0!</v>
      </c>
      <c r="AC8" s="1572" t="e">
        <f t="shared" ref="AC8:AC40" si="5">D8/J8</f>
        <v>#DIV/0!</v>
      </c>
    </row>
    <row r="9" spans="1:29" s="1220" customFormat="1" ht="15">
      <c r="A9" s="2916"/>
      <c r="B9" s="2923" t="s">
        <v>2752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48" t="s">
        <v>532</v>
      </c>
      <c r="Q9" s="1151" t="str">
        <f t="shared" ref="Q9:Q15" si="6">B9</f>
        <v>用途</v>
      </c>
      <c r="R9" s="1569" t="s">
        <v>8</v>
      </c>
      <c r="S9" s="1570">
        <f t="shared" si="0"/>
        <v>100</v>
      </c>
      <c r="T9" s="1569" t="s">
        <v>8</v>
      </c>
      <c r="U9" s="1570">
        <f t="shared" si="1"/>
        <v>100</v>
      </c>
      <c r="V9" s="1569" t="s">
        <v>8</v>
      </c>
      <c r="W9" s="1570">
        <f t="shared" si="2"/>
        <v>100</v>
      </c>
      <c r="X9" s="1571"/>
      <c r="Y9" s="3385"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48"/>
      <c r="Q10" s="1151" t="str">
        <f t="shared" si="6"/>
        <v>土地使用年限（年）</v>
      </c>
      <c r="R10" s="1569" t="s">
        <v>8</v>
      </c>
      <c r="S10" s="1570">
        <f t="shared" si="0"/>
        <v>100</v>
      </c>
      <c r="T10" s="1569" t="s">
        <v>8</v>
      </c>
      <c r="U10" s="1570">
        <f t="shared" si="1"/>
        <v>100</v>
      </c>
      <c r="V10" s="1569" t="s">
        <v>8</v>
      </c>
      <c r="W10" s="1570">
        <f t="shared" si="2"/>
        <v>100</v>
      </c>
      <c r="X10" s="1571"/>
      <c r="Y10" s="3385"/>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48"/>
      <c r="Q11" s="1151" t="str">
        <f t="shared" si="6"/>
        <v>容积率</v>
      </c>
      <c r="R11" s="1569" t="s">
        <v>8</v>
      </c>
      <c r="S11" s="1570" t="e">
        <f t="shared" si="0"/>
        <v>#N/A</v>
      </c>
      <c r="T11" s="1569" t="s">
        <v>8</v>
      </c>
      <c r="U11" s="1570" t="e">
        <f t="shared" si="1"/>
        <v>#N/A</v>
      </c>
      <c r="V11" s="1569" t="s">
        <v>8</v>
      </c>
      <c r="W11" s="1570" t="e">
        <f t="shared" si="2"/>
        <v>#N/A</v>
      </c>
      <c r="X11" s="1571"/>
      <c r="Y11" s="3385"/>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48"/>
      <c r="Q12" s="1151">
        <f t="shared" si="6"/>
        <v>111</v>
      </c>
      <c r="R12" s="1569" t="s">
        <v>8</v>
      </c>
      <c r="S12" s="1570">
        <f t="shared" si="0"/>
        <v>100</v>
      </c>
      <c r="T12" s="1569" t="s">
        <v>8</v>
      </c>
      <c r="U12" s="1570">
        <f t="shared" si="1"/>
        <v>100</v>
      </c>
      <c r="V12" s="1569" t="s">
        <v>8</v>
      </c>
      <c r="W12" s="1570">
        <f t="shared" si="2"/>
        <v>100</v>
      </c>
      <c r="X12" s="1571"/>
      <c r="Y12" s="3385"/>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48"/>
      <c r="Q13" s="1151">
        <f t="shared" si="6"/>
        <v>111</v>
      </c>
      <c r="R13" s="1569" t="s">
        <v>8</v>
      </c>
      <c r="S13" s="1570">
        <f t="shared" si="0"/>
        <v>100</v>
      </c>
      <c r="T13" s="1569" t="s">
        <v>8</v>
      </c>
      <c r="U13" s="1570">
        <f t="shared" si="1"/>
        <v>100</v>
      </c>
      <c r="V13" s="1569" t="s">
        <v>8</v>
      </c>
      <c r="W13" s="1570">
        <f t="shared" si="2"/>
        <v>100</v>
      </c>
      <c r="X13" s="1571"/>
      <c r="Y13" s="3385"/>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48"/>
      <c r="Q14" s="1151">
        <f t="shared" si="6"/>
        <v>111</v>
      </c>
      <c r="R14" s="1569" t="s">
        <v>8</v>
      </c>
      <c r="S14" s="1570">
        <f t="shared" si="0"/>
        <v>100</v>
      </c>
      <c r="T14" s="1569" t="s">
        <v>8</v>
      </c>
      <c r="U14" s="1570">
        <f t="shared" si="1"/>
        <v>100</v>
      </c>
      <c r="V14" s="1569" t="s">
        <v>8</v>
      </c>
      <c r="W14" s="1570">
        <f t="shared" si="2"/>
        <v>100</v>
      </c>
      <c r="X14" s="1571"/>
      <c r="Y14" s="3385"/>
      <c r="Z14" s="1150">
        <f t="shared" si="7"/>
        <v>111</v>
      </c>
      <c r="AA14" s="1572">
        <f t="shared" si="3"/>
        <v>1</v>
      </c>
      <c r="AB14" s="1572">
        <f t="shared" si="4"/>
        <v>1</v>
      </c>
      <c r="AC14" s="1572">
        <f t="shared" si="5"/>
        <v>1</v>
      </c>
    </row>
    <row r="15" spans="1:29" ht="57">
      <c r="A15" s="2912"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82" t="s">
        <v>537</v>
      </c>
      <c r="Q15" s="1573" t="str">
        <f t="shared" si="6"/>
        <v>产业集聚程度</v>
      </c>
      <c r="R15" s="1574" t="s">
        <v>8</v>
      </c>
      <c r="S15" s="1575">
        <f t="shared" si="0"/>
        <v>100</v>
      </c>
      <c r="T15" s="1574" t="s">
        <v>8</v>
      </c>
      <c r="U15" s="1575">
        <f t="shared" si="1"/>
        <v>100</v>
      </c>
      <c r="V15" s="1574" t="s">
        <v>8</v>
      </c>
      <c r="W15" s="1575">
        <f t="shared" si="2"/>
        <v>100</v>
      </c>
      <c r="X15" s="1568"/>
      <c r="Y15" s="3482"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83"/>
      <c r="Q16" s="1573"/>
      <c r="R16" s="1574"/>
      <c r="S16" s="1575"/>
      <c r="T16" s="1574"/>
      <c r="U16" s="1575"/>
      <c r="V16" s="1574"/>
      <c r="W16" s="1575"/>
      <c r="X16" s="1568"/>
      <c r="Y16" s="3483"/>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83"/>
      <c r="Q17" s="1573" t="str">
        <f>B17</f>
        <v>交通便捷度</v>
      </c>
      <c r="R17" s="1574" t="s">
        <v>8</v>
      </c>
      <c r="S17" s="1575">
        <f>F17</f>
        <v>100</v>
      </c>
      <c r="T17" s="1574" t="s">
        <v>8</v>
      </c>
      <c r="U17" s="1575">
        <f>H17</f>
        <v>100</v>
      </c>
      <c r="V17" s="1574" t="s">
        <v>8</v>
      </c>
      <c r="W17" s="1575">
        <f>J17</f>
        <v>100</v>
      </c>
      <c r="X17" s="1568"/>
      <c r="Y17" s="34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83"/>
      <c r="Q18" s="1573"/>
      <c r="R18" s="1574"/>
      <c r="S18" s="1575"/>
      <c r="T18" s="1574"/>
      <c r="U18" s="1575"/>
      <c r="V18" s="1574"/>
      <c r="W18" s="1575"/>
      <c r="X18" s="1568"/>
      <c r="Y18" s="3483"/>
      <c r="Z18" s="1576"/>
      <c r="AA18" s="1577">
        <v>1</v>
      </c>
      <c r="AB18" s="1577">
        <v>1</v>
      </c>
      <c r="AC18" s="1577">
        <v>1</v>
      </c>
    </row>
    <row r="19" spans="1:29" ht="42.75">
      <c r="A19" s="532"/>
      <c r="B19" s="260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83"/>
      <c r="Q19" s="1573" t="str">
        <f>B19</f>
        <v>公共配套设施</v>
      </c>
      <c r="R19" s="1574" t="s">
        <v>8</v>
      </c>
      <c r="S19" s="1575">
        <f>F19</f>
        <v>100</v>
      </c>
      <c r="T19" s="1574" t="s">
        <v>8</v>
      </c>
      <c r="U19" s="1575">
        <f>H19</f>
        <v>100</v>
      </c>
      <c r="V19" s="1574" t="s">
        <v>8</v>
      </c>
      <c r="W19" s="1575">
        <f>J19</f>
        <v>100</v>
      </c>
      <c r="X19" s="1568"/>
      <c r="Y19" s="348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83"/>
      <c r="Q20" s="1573"/>
      <c r="R20" s="1574"/>
      <c r="S20" s="1575"/>
      <c r="T20" s="1574"/>
      <c r="U20" s="1575"/>
      <c r="V20" s="1574"/>
      <c r="W20" s="1575"/>
      <c r="X20" s="1568"/>
      <c r="Y20" s="3483"/>
      <c r="Z20" s="1576"/>
      <c r="AA20" s="1577">
        <v>1</v>
      </c>
      <c r="AB20" s="1577">
        <v>1</v>
      </c>
      <c r="AC20" s="1577">
        <v>1</v>
      </c>
    </row>
    <row r="21" spans="1:29" ht="28.5">
      <c r="A21" s="532"/>
      <c r="B21" s="259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83"/>
      <c r="Q21" s="2581" t="str">
        <f>B21</f>
        <v>基础设施水平</v>
      </c>
      <c r="R21" s="1574" t="s">
        <v>8</v>
      </c>
      <c r="S21" s="1575">
        <f>F21</f>
        <v>100</v>
      </c>
      <c r="T21" s="1574" t="s">
        <v>8</v>
      </c>
      <c r="U21" s="1575">
        <f>H21</f>
        <v>100</v>
      </c>
      <c r="V21" s="1574" t="s">
        <v>8</v>
      </c>
      <c r="W21" s="1575">
        <f>J21</f>
        <v>100</v>
      </c>
      <c r="X21" s="2583"/>
      <c r="Y21" s="3483"/>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83"/>
      <c r="Q22" s="2581"/>
      <c r="R22" s="1574"/>
      <c r="S22" s="1575"/>
      <c r="T22" s="1574"/>
      <c r="U22" s="1575"/>
      <c r="V22" s="1574"/>
      <c r="W22" s="1575"/>
      <c r="X22" s="2583"/>
      <c r="Y22" s="3483"/>
      <c r="Z22" s="2582"/>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83"/>
      <c r="Q23" s="1573" t="str">
        <f>B23</f>
        <v>环境质量</v>
      </c>
      <c r="R23" s="1574" t="s">
        <v>8</v>
      </c>
      <c r="S23" s="1575">
        <f>F23</f>
        <v>100</v>
      </c>
      <c r="T23" s="1574" t="s">
        <v>8</v>
      </c>
      <c r="U23" s="1575">
        <f>H23</f>
        <v>100</v>
      </c>
      <c r="V23" s="1574" t="s">
        <v>8</v>
      </c>
      <c r="W23" s="1575">
        <f>J23</f>
        <v>100</v>
      </c>
      <c r="X23" s="1568"/>
      <c r="Y23" s="348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83"/>
      <c r="Q24" s="1573"/>
      <c r="R24" s="1574"/>
      <c r="S24" s="1575"/>
      <c r="T24" s="1574"/>
      <c r="U24" s="1575"/>
      <c r="V24" s="1574"/>
      <c r="W24" s="1575"/>
      <c r="X24" s="1568"/>
      <c r="Y24" s="348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83"/>
      <c r="Q25" s="1573">
        <f>B25</f>
        <v>111</v>
      </c>
      <c r="R25" s="1574" t="s">
        <v>8</v>
      </c>
      <c r="S25" s="1575">
        <f>F25</f>
        <v>100</v>
      </c>
      <c r="T25" s="1574" t="s">
        <v>8</v>
      </c>
      <c r="U25" s="1575">
        <f>H25</f>
        <v>100</v>
      </c>
      <c r="V25" s="1574" t="s">
        <v>8</v>
      </c>
      <c r="W25" s="1575">
        <f>J25</f>
        <v>100</v>
      </c>
      <c r="X25" s="1568"/>
      <c r="Y25" s="348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83"/>
      <c r="Q26" s="1573">
        <f t="shared" ref="Q26:Q40" si="11">B26</f>
        <v>111</v>
      </c>
      <c r="R26" s="1574" t="s">
        <v>8</v>
      </c>
      <c r="S26" s="1575">
        <f>F26</f>
        <v>100</v>
      </c>
      <c r="T26" s="1574" t="s">
        <v>8</v>
      </c>
      <c r="U26" s="1575">
        <f>H26</f>
        <v>100</v>
      </c>
      <c r="V26" s="1574" t="s">
        <v>8</v>
      </c>
      <c r="W26" s="1575">
        <f>J26</f>
        <v>100</v>
      </c>
      <c r="X26" s="1568"/>
      <c r="Y26" s="348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83"/>
      <c r="Q27" s="1151">
        <f t="shared" si="11"/>
        <v>111</v>
      </c>
      <c r="R27" s="1569" t="s">
        <v>8</v>
      </c>
      <c r="S27" s="1570">
        <f>F27</f>
        <v>100</v>
      </c>
      <c r="T27" s="1569" t="s">
        <v>8</v>
      </c>
      <c r="U27" s="1570">
        <f>H27</f>
        <v>100</v>
      </c>
      <c r="V27" s="1569" t="s">
        <v>8</v>
      </c>
      <c r="W27" s="1570">
        <f>J27</f>
        <v>100</v>
      </c>
      <c r="X27" s="1571"/>
      <c r="Y27" s="348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83"/>
      <c r="Q28" s="1573">
        <f t="shared" si="11"/>
        <v>111</v>
      </c>
      <c r="R28" s="1574" t="s">
        <v>8</v>
      </c>
      <c r="S28" s="1575">
        <f t="shared" ref="S28:S40" si="12">F28</f>
        <v>100</v>
      </c>
      <c r="T28" s="1574" t="s">
        <v>8</v>
      </c>
      <c r="U28" s="1575">
        <f t="shared" ref="U28:U40" si="13">H28</f>
        <v>100</v>
      </c>
      <c r="V28" s="1574" t="s">
        <v>8</v>
      </c>
      <c r="W28" s="1575">
        <f t="shared" ref="W28:W40" si="14">J28</f>
        <v>100</v>
      </c>
      <c r="X28" s="1568"/>
      <c r="Y28" s="3483"/>
      <c r="Z28" s="1576">
        <f t="shared" ref="Z28:Z40" si="15">Q28</f>
        <v>111</v>
      </c>
      <c r="AA28" s="1577">
        <f t="shared" si="3"/>
        <v>1</v>
      </c>
      <c r="AB28" s="1577">
        <f t="shared" si="4"/>
        <v>1</v>
      </c>
      <c r="AC28" s="1577">
        <f t="shared" si="5"/>
        <v>1</v>
      </c>
    </row>
    <row r="29" spans="1:29" ht="15">
      <c r="A29" s="2909"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84" t="s">
        <v>547</v>
      </c>
      <c r="Q29" s="1573" t="str">
        <f t="shared" si="11"/>
        <v>建筑类型</v>
      </c>
      <c r="R29" s="1574" t="s">
        <v>8</v>
      </c>
      <c r="S29" s="1575">
        <f t="shared" si="12"/>
        <v>100</v>
      </c>
      <c r="T29" s="1574" t="s">
        <v>8</v>
      </c>
      <c r="U29" s="1575">
        <f t="shared" si="13"/>
        <v>100</v>
      </c>
      <c r="V29" s="1574" t="s">
        <v>8</v>
      </c>
      <c r="W29" s="1575">
        <f t="shared" si="14"/>
        <v>100</v>
      </c>
      <c r="X29" s="1568"/>
      <c r="Y29" s="3485"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85"/>
      <c r="Q30" s="1606" t="str">
        <f t="shared" si="11"/>
        <v>项目建筑规模</v>
      </c>
      <c r="R30" s="1578" t="s">
        <v>8</v>
      </c>
      <c r="S30" s="1579" t="e">
        <f t="shared" si="12"/>
        <v>#N/A</v>
      </c>
      <c r="T30" s="1578" t="s">
        <v>8</v>
      </c>
      <c r="U30" s="1579" t="e">
        <f t="shared" si="13"/>
        <v>#N/A</v>
      </c>
      <c r="V30" s="1578" t="s">
        <v>8</v>
      </c>
      <c r="W30" s="1579" t="e">
        <f t="shared" si="14"/>
        <v>#N/A</v>
      </c>
      <c r="X30" s="1580"/>
      <c r="Y30" s="3485"/>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85"/>
      <c r="Q31" s="1573" t="str">
        <f t="shared" si="11"/>
        <v>建筑结构</v>
      </c>
      <c r="R31" s="1574" t="s">
        <v>8</v>
      </c>
      <c r="S31" s="1575">
        <f t="shared" si="12"/>
        <v>100</v>
      </c>
      <c r="T31" s="1574" t="s">
        <v>8</v>
      </c>
      <c r="U31" s="1575">
        <f t="shared" si="13"/>
        <v>100</v>
      </c>
      <c r="V31" s="1574" t="s">
        <v>8</v>
      </c>
      <c r="W31" s="1575">
        <f t="shared" si="14"/>
        <v>100</v>
      </c>
      <c r="X31" s="1568"/>
      <c r="Y31" s="3485"/>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85"/>
      <c r="Q32" s="1573" t="str">
        <f t="shared" si="11"/>
        <v>公共部分装修</v>
      </c>
      <c r="R32" s="1574" t="s">
        <v>8</v>
      </c>
      <c r="S32" s="1575">
        <f t="shared" si="12"/>
        <v>100</v>
      </c>
      <c r="T32" s="1574" t="s">
        <v>8</v>
      </c>
      <c r="U32" s="1575">
        <f t="shared" si="13"/>
        <v>100</v>
      </c>
      <c r="V32" s="1574" t="s">
        <v>8</v>
      </c>
      <c r="W32" s="1575">
        <f t="shared" si="14"/>
        <v>100</v>
      </c>
      <c r="X32" s="1568"/>
      <c r="Y32" s="3485"/>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85"/>
      <c r="Q33" s="1573" t="str">
        <f t="shared" si="11"/>
        <v>成新度</v>
      </c>
      <c r="R33" s="1574" t="s">
        <v>8</v>
      </c>
      <c r="S33" s="1575" t="e">
        <f t="shared" si="12"/>
        <v>#N/A</v>
      </c>
      <c r="T33" s="1574" t="s">
        <v>8</v>
      </c>
      <c r="U33" s="1575" t="e">
        <f t="shared" si="13"/>
        <v>#N/A</v>
      </c>
      <c r="V33" s="1574" t="s">
        <v>8</v>
      </c>
      <c r="W33" s="1575" t="e">
        <f t="shared" si="14"/>
        <v>#N/A</v>
      </c>
      <c r="X33" s="1568"/>
      <c r="Y33" s="3485"/>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85"/>
      <c r="Q34" s="1151" t="str">
        <f t="shared" si="11"/>
        <v>物业管理</v>
      </c>
      <c r="R34" s="1569" t="s">
        <v>8</v>
      </c>
      <c r="S34" s="1570">
        <f t="shared" si="12"/>
        <v>100</v>
      </c>
      <c r="T34" s="1569" t="s">
        <v>8</v>
      </c>
      <c r="U34" s="1570">
        <f t="shared" si="13"/>
        <v>100</v>
      </c>
      <c r="V34" s="1569" t="s">
        <v>8</v>
      </c>
      <c r="W34" s="1570">
        <f t="shared" si="14"/>
        <v>100</v>
      </c>
      <c r="X34" s="1571"/>
      <c r="Y34" s="3485"/>
      <c r="Z34" s="1150" t="str">
        <f t="shared" si="15"/>
        <v>物业管理</v>
      </c>
      <c r="AA34" s="1572">
        <f t="shared" si="3"/>
        <v>1</v>
      </c>
      <c r="AB34" s="1572">
        <f t="shared" si="4"/>
        <v>1</v>
      </c>
      <c r="AC34" s="1572">
        <f t="shared" si="5"/>
        <v>1</v>
      </c>
    </row>
    <row r="35" spans="1:29" ht="15">
      <c r="A35" s="594"/>
      <c r="B35" s="1897"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85" t="s">
        <v>547</v>
      </c>
      <c r="Q35" s="1573" t="str">
        <f t="shared" si="11"/>
        <v>市政基础设施</v>
      </c>
      <c r="R35" s="1574" t="s">
        <v>8</v>
      </c>
      <c r="S35" s="1575">
        <f t="shared" si="12"/>
        <v>100</v>
      </c>
      <c r="T35" s="1574" t="s">
        <v>8</v>
      </c>
      <c r="U35" s="1575">
        <f t="shared" si="13"/>
        <v>100</v>
      </c>
      <c r="V35" s="1574" t="s">
        <v>8</v>
      </c>
      <c r="W35" s="1575">
        <f t="shared" si="14"/>
        <v>100</v>
      </c>
      <c r="X35" s="1568"/>
      <c r="Y35" s="3485"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85"/>
      <c r="Q36" s="1573" t="str">
        <f t="shared" si="11"/>
        <v>内部装修</v>
      </c>
      <c r="R36" s="1574" t="s">
        <v>8</v>
      </c>
      <c r="S36" s="1575">
        <f t="shared" si="12"/>
        <v>100</v>
      </c>
      <c r="T36" s="1574" t="s">
        <v>8</v>
      </c>
      <c r="U36" s="1575">
        <f t="shared" si="13"/>
        <v>100</v>
      </c>
      <c r="V36" s="1574" t="s">
        <v>8</v>
      </c>
      <c r="W36" s="1575">
        <f t="shared" si="14"/>
        <v>100</v>
      </c>
      <c r="X36" s="1568"/>
      <c r="Y36" s="3485"/>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85"/>
      <c r="Q37" s="1573" t="str">
        <f t="shared" si="11"/>
        <v>内部装修状况</v>
      </c>
      <c r="R37" s="1574" t="s">
        <v>8</v>
      </c>
      <c r="S37" s="1575">
        <f t="shared" si="12"/>
        <v>100</v>
      </c>
      <c r="T37" s="1574" t="s">
        <v>8</v>
      </c>
      <c r="U37" s="1575">
        <f t="shared" si="13"/>
        <v>100</v>
      </c>
      <c r="V37" s="1574" t="s">
        <v>8</v>
      </c>
      <c r="W37" s="1575">
        <f t="shared" si="14"/>
        <v>100</v>
      </c>
      <c r="X37" s="1568"/>
      <c r="Y37" s="348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85"/>
      <c r="Q38" s="1606">
        <f t="shared" si="11"/>
        <v>111</v>
      </c>
      <c r="R38" s="1578" t="s">
        <v>8</v>
      </c>
      <c r="S38" s="1579">
        <f t="shared" si="12"/>
        <v>100</v>
      </c>
      <c r="T38" s="1578" t="s">
        <v>8</v>
      </c>
      <c r="U38" s="1579">
        <f t="shared" si="13"/>
        <v>100</v>
      </c>
      <c r="V38" s="1578" t="s">
        <v>8</v>
      </c>
      <c r="W38" s="1579">
        <f t="shared" si="14"/>
        <v>100</v>
      </c>
      <c r="X38" s="1580"/>
      <c r="Y38" s="348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85"/>
      <c r="Q39" s="1573">
        <f t="shared" si="11"/>
        <v>111</v>
      </c>
      <c r="R39" s="1574" t="s">
        <v>8</v>
      </c>
      <c r="S39" s="1575">
        <f t="shared" si="12"/>
        <v>100</v>
      </c>
      <c r="T39" s="1574" t="s">
        <v>8</v>
      </c>
      <c r="U39" s="1575">
        <f t="shared" si="13"/>
        <v>100</v>
      </c>
      <c r="V39" s="1574" t="s">
        <v>8</v>
      </c>
      <c r="W39" s="1575">
        <f t="shared" si="14"/>
        <v>100</v>
      </c>
      <c r="X39" s="1568"/>
      <c r="Y39" s="348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23"/>
      <c r="Q40" s="1573">
        <f t="shared" si="11"/>
        <v>111</v>
      </c>
      <c r="R40" s="1574" t="s">
        <v>8</v>
      </c>
      <c r="S40" s="1575">
        <f t="shared" si="12"/>
        <v>100</v>
      </c>
      <c r="T40" s="1574" t="s">
        <v>8</v>
      </c>
      <c r="U40" s="1575">
        <f t="shared" si="13"/>
        <v>100</v>
      </c>
      <c r="V40" s="1574" t="s">
        <v>8</v>
      </c>
      <c r="W40" s="1575">
        <f t="shared" si="14"/>
        <v>100</v>
      </c>
      <c r="X40" s="1568"/>
      <c r="Y40" s="3523"/>
      <c r="Z40" s="1576">
        <f t="shared" si="15"/>
        <v>111</v>
      </c>
      <c r="AA40" s="1577">
        <f t="shared" si="3"/>
        <v>1</v>
      </c>
      <c r="AB40" s="1577">
        <f t="shared" si="4"/>
        <v>1</v>
      </c>
      <c r="AC40" s="1577">
        <f t="shared" si="5"/>
        <v>1</v>
      </c>
    </row>
    <row r="41" spans="1:29" ht="15">
      <c r="A41" s="607" t="s">
        <v>733</v>
      </c>
      <c r="B41" s="887"/>
      <c r="C41" s="2629" t="s">
        <v>1</v>
      </c>
      <c r="D41" s="2630"/>
      <c r="E41" s="2631"/>
      <c r="F41" s="2632"/>
      <c r="G41" s="2633"/>
      <c r="H41" s="2634"/>
      <c r="I41" s="2631"/>
      <c r="J41" s="2634"/>
      <c r="K41" s="1612"/>
      <c r="L41" s="2146"/>
      <c r="M41" s="2147"/>
      <c r="N41" s="2136"/>
      <c r="O41" s="2147"/>
      <c r="P41" s="3448" t="str">
        <f>A41</f>
        <v>成交单价（元/平方米）</v>
      </c>
      <c r="Q41" s="3448"/>
      <c r="R41" s="3520">
        <f>E41</f>
        <v>0</v>
      </c>
      <c r="S41" s="3520"/>
      <c r="T41" s="3520">
        <f>G41</f>
        <v>0</v>
      </c>
      <c r="U41" s="3520"/>
      <c r="V41" s="3520">
        <f>I41</f>
        <v>0</v>
      </c>
      <c r="W41" s="3520"/>
      <c r="X41" s="1560"/>
      <c r="Y41" s="1582"/>
      <c r="Z41" s="1560"/>
      <c r="AA41" s="1560"/>
      <c r="AB41" s="1560"/>
      <c r="AC41" s="1560"/>
    </row>
    <row r="42" spans="1:29" ht="15.75" thickBot="1">
      <c r="A42" s="615" t="s">
        <v>2756</v>
      </c>
      <c r="B42" s="888"/>
      <c r="C42" s="2635" t="e">
        <f>R43</f>
        <v>#DIV/0!</v>
      </c>
      <c r="D42" s="2636"/>
      <c r="E42" s="2637" t="e">
        <f>R42</f>
        <v>#DIV/0!</v>
      </c>
      <c r="F42" s="2637"/>
      <c r="G42" s="2635" t="e">
        <f>T42</f>
        <v>#DIV/0!</v>
      </c>
      <c r="H42" s="2636"/>
      <c r="I42" s="2637" t="e">
        <f>V42</f>
        <v>#DIV/0!</v>
      </c>
      <c r="J42" s="2636"/>
      <c r="K42" s="1613"/>
      <c r="L42" s="2146"/>
      <c r="M42" s="2147"/>
      <c r="N42" s="2136"/>
      <c r="O42" s="2147"/>
      <c r="P42" s="3448" t="str">
        <f>A42</f>
        <v>比较价格（元/平方米）</v>
      </c>
      <c r="Q42" s="3448"/>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445" t="str">
        <f>A43</f>
        <v>估价对象XX用房的比较价格（楼面单价，元/平方米）</v>
      </c>
      <c r="Q43" s="3446"/>
      <c r="R43" s="3522" t="e">
        <f>IF(F1="售价",ROUND(AVERAGE(R42:V42),0),ROUND(AVERAGE(R42:V42),1))</f>
        <v>#DIV/0!</v>
      </c>
      <c r="S43" s="3522"/>
      <c r="T43" s="3522"/>
      <c r="U43" s="3522"/>
      <c r="V43" s="3522"/>
      <c r="W43" s="352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2553</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2554</v>
      </c>
      <c r="C76" s="2600" t="s">
        <v>2555</v>
      </c>
      <c r="D76" s="2600" t="s">
        <v>2556</v>
      </c>
      <c r="E76" s="2600" t="s">
        <v>2557</v>
      </c>
      <c r="F76" s="2600" t="s">
        <v>2558</v>
      </c>
      <c r="G76" s="2600" t="s">
        <v>2559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54" t="s">
        <v>795</v>
      </c>
      <c r="D4" s="3455"/>
      <c r="E4" s="3454" t="s">
        <v>796</v>
      </c>
      <c r="F4" s="3455"/>
      <c r="G4" s="3454" t="s">
        <v>797</v>
      </c>
      <c r="H4" s="3455"/>
      <c r="I4" s="3454" t="s">
        <v>798</v>
      </c>
      <c r="J4" s="3455"/>
      <c r="K4" s="514" t="s">
        <v>799</v>
      </c>
      <c r="L4" s="2135"/>
      <c r="M4" s="2136"/>
      <c r="N4" s="2136"/>
      <c r="O4" s="2136"/>
      <c r="P4" s="3456" t="s">
        <v>800</v>
      </c>
      <c r="Q4" s="3457"/>
      <c r="R4" s="3462" t="s">
        <v>796</v>
      </c>
      <c r="S4" s="3463"/>
      <c r="T4" s="3462" t="s">
        <v>797</v>
      </c>
      <c r="U4" s="3463"/>
      <c r="V4" s="3449" t="s">
        <v>798</v>
      </c>
      <c r="W4" s="3449"/>
      <c r="X4" s="1568"/>
      <c r="Y4" s="3462" t="s">
        <v>800</v>
      </c>
      <c r="Z4" s="3463"/>
      <c r="AA4" s="3451" t="s">
        <v>796</v>
      </c>
      <c r="AB4" s="3452" t="s">
        <v>797</v>
      </c>
      <c r="AC4" s="3451" t="s">
        <v>798</v>
      </c>
    </row>
    <row r="5" spans="1:29" ht="15">
      <c r="A5" s="515"/>
      <c r="B5" s="516"/>
      <c r="C5" s="3470" t="s">
        <v>2925</v>
      </c>
      <c r="D5" s="3471"/>
      <c r="E5" s="3470" t="s">
        <v>2926</v>
      </c>
      <c r="F5" s="3471"/>
      <c r="G5" s="3470" t="s">
        <v>2927</v>
      </c>
      <c r="H5" s="3471"/>
      <c r="I5" s="3470" t="s">
        <v>2928</v>
      </c>
      <c r="J5" s="3471"/>
      <c r="K5" s="514"/>
      <c r="L5" s="2135"/>
      <c r="M5" s="2136"/>
      <c r="N5" s="2136"/>
      <c r="O5" s="2136"/>
      <c r="P5" s="3458"/>
      <c r="Q5" s="3459"/>
      <c r="R5" s="3464"/>
      <c r="S5" s="3465"/>
      <c r="T5" s="3464"/>
      <c r="U5" s="3465"/>
      <c r="V5" s="3449"/>
      <c r="W5" s="3449"/>
      <c r="X5" s="1568"/>
      <c r="Y5" s="3464"/>
      <c r="Z5" s="3465"/>
      <c r="AA5" s="3452"/>
      <c r="AB5" s="3452"/>
      <c r="AC5" s="3452"/>
    </row>
    <row r="6" spans="1:29" ht="15.75" thickBot="1">
      <c r="A6" s="517"/>
      <c r="B6" s="518"/>
      <c r="C6" s="3468" t="s">
        <v>2929</v>
      </c>
      <c r="D6" s="3469"/>
      <c r="E6" s="3472" t="s">
        <v>2929</v>
      </c>
      <c r="F6" s="3473"/>
      <c r="G6" s="3468" t="s">
        <v>2929</v>
      </c>
      <c r="H6" s="3469"/>
      <c r="I6" s="3468" t="s">
        <v>2929</v>
      </c>
      <c r="J6" s="3469"/>
      <c r="K6" s="514" t="s">
        <v>525</v>
      </c>
      <c r="L6" s="2135"/>
      <c r="M6" s="2136"/>
      <c r="N6" s="2136"/>
      <c r="O6" s="2136"/>
      <c r="P6" s="3460"/>
      <c r="Q6" s="3461"/>
      <c r="R6" s="3464"/>
      <c r="S6" s="3465"/>
      <c r="T6" s="3466"/>
      <c r="U6" s="3467"/>
      <c r="V6" s="3449"/>
      <c r="W6" s="3449"/>
      <c r="X6" s="1568"/>
      <c r="Y6" s="3466"/>
      <c r="Z6" s="3467"/>
      <c r="AA6" s="3453"/>
      <c r="AB6" s="3453"/>
      <c r="AC6" s="3453"/>
    </row>
    <row r="7" spans="1:29" s="1220" customFormat="1" ht="15.75" thickBot="1">
      <c r="A7" s="2914"/>
      <c r="B7" s="2921" t="s">
        <v>526</v>
      </c>
      <c r="C7" s="519">
        <f>'数据-取费表'!B2</f>
        <v>43424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79" t="s">
        <v>527</v>
      </c>
      <c r="Q7" s="3481"/>
      <c r="R7" s="1569" t="s">
        <v>8</v>
      </c>
      <c r="S7" s="1570">
        <f t="shared" ref="S7:S14" si="0">F7</f>
        <v>0</v>
      </c>
      <c r="T7" s="1569" t="s">
        <v>8</v>
      </c>
      <c r="U7" s="1570">
        <f t="shared" ref="U7:U14" si="1">H7</f>
        <v>0</v>
      </c>
      <c r="V7" s="1569" t="s">
        <v>8</v>
      </c>
      <c r="W7" s="1570">
        <f t="shared" ref="W7:W14" si="2">J7</f>
        <v>0</v>
      </c>
      <c r="X7" s="1571"/>
      <c r="Y7" s="3479" t="s">
        <v>527</v>
      </c>
      <c r="Z7" s="3480"/>
      <c r="AA7" s="1572" t="e">
        <f>D7/F7</f>
        <v>#DIV/0!</v>
      </c>
      <c r="AB7" s="1572" t="e">
        <f>D7/H7</f>
        <v>#DIV/0!</v>
      </c>
      <c r="AC7" s="1572" t="e">
        <f>D7/J7</f>
        <v>#DIV/0!</v>
      </c>
    </row>
    <row r="8" spans="1:29" s="1220" customFormat="1" ht="15.75" thickBot="1">
      <c r="A8" s="2915"/>
      <c r="B8" s="2922"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79" t="s">
        <v>530</v>
      </c>
      <c r="Q8" s="3480"/>
      <c r="R8" s="1569" t="s">
        <v>8</v>
      </c>
      <c r="S8" s="1570">
        <f t="shared" si="0"/>
        <v>0</v>
      </c>
      <c r="T8" s="1569" t="s">
        <v>8</v>
      </c>
      <c r="U8" s="1570">
        <f t="shared" si="1"/>
        <v>0</v>
      </c>
      <c r="V8" s="1569" t="s">
        <v>8</v>
      </c>
      <c r="W8" s="1570">
        <f t="shared" si="2"/>
        <v>0</v>
      </c>
      <c r="X8" s="1571"/>
      <c r="Y8" s="3479" t="s">
        <v>530</v>
      </c>
      <c r="Z8" s="3480"/>
      <c r="AA8" s="1572" t="e">
        <f t="shared" ref="AA8:AA36" si="3">D8/F8</f>
        <v>#DIV/0!</v>
      </c>
      <c r="AB8" s="1572" t="e">
        <f t="shared" ref="AB8:AB36" si="4">D8/H8</f>
        <v>#DIV/0!</v>
      </c>
      <c r="AC8" s="1572" t="e">
        <f t="shared" ref="AC8:AC36" si="5">D8/J8</f>
        <v>#DIV/0!</v>
      </c>
    </row>
    <row r="9" spans="1:29" s="1220" customFormat="1" ht="15">
      <c r="A9" s="2916"/>
      <c r="B9" s="2923" t="s">
        <v>2752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48" t="s">
        <v>532</v>
      </c>
      <c r="Q9" s="1151" t="str">
        <f t="shared" ref="Q9:Q14" si="6">B9</f>
        <v>用途</v>
      </c>
      <c r="R9" s="1569" t="s">
        <v>8</v>
      </c>
      <c r="S9" s="1570">
        <f t="shared" si="0"/>
        <v>100</v>
      </c>
      <c r="T9" s="1569" t="s">
        <v>8</v>
      </c>
      <c r="U9" s="1570">
        <f t="shared" si="1"/>
        <v>100</v>
      </c>
      <c r="V9" s="1569" t="s">
        <v>8</v>
      </c>
      <c r="W9" s="1570">
        <f t="shared" si="2"/>
        <v>100</v>
      </c>
      <c r="X9" s="1571"/>
      <c r="Y9" s="3385"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48"/>
      <c r="Q10" s="1151" t="str">
        <f t="shared" si="6"/>
        <v>土地使用年限（年）</v>
      </c>
      <c r="R10" s="1569" t="s">
        <v>8</v>
      </c>
      <c r="S10" s="1570">
        <f t="shared" si="0"/>
        <v>100</v>
      </c>
      <c r="T10" s="1569" t="s">
        <v>8</v>
      </c>
      <c r="U10" s="1570">
        <f t="shared" si="1"/>
        <v>100</v>
      </c>
      <c r="V10" s="1569" t="s">
        <v>8</v>
      </c>
      <c r="W10" s="1570">
        <f t="shared" si="2"/>
        <v>100</v>
      </c>
      <c r="X10" s="1571"/>
      <c r="Y10" s="3385"/>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48"/>
      <c r="Q11" s="1151">
        <f t="shared" si="6"/>
        <v>111</v>
      </c>
      <c r="R11" s="1569" t="s">
        <v>8</v>
      </c>
      <c r="S11" s="1570">
        <f t="shared" si="0"/>
        <v>100</v>
      </c>
      <c r="T11" s="1569" t="s">
        <v>8</v>
      </c>
      <c r="U11" s="1570">
        <f t="shared" si="1"/>
        <v>100</v>
      </c>
      <c r="V11" s="1569" t="s">
        <v>8</v>
      </c>
      <c r="W11" s="1570">
        <f t="shared" si="2"/>
        <v>100</v>
      </c>
      <c r="X11" s="1571"/>
      <c r="Y11" s="3385"/>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48"/>
      <c r="Q12" s="1151">
        <f t="shared" si="6"/>
        <v>111</v>
      </c>
      <c r="R12" s="1569" t="s">
        <v>8</v>
      </c>
      <c r="S12" s="1570">
        <f t="shared" si="0"/>
        <v>100</v>
      </c>
      <c r="T12" s="1569" t="s">
        <v>8</v>
      </c>
      <c r="U12" s="1570">
        <f t="shared" si="1"/>
        <v>100</v>
      </c>
      <c r="V12" s="1569" t="s">
        <v>8</v>
      </c>
      <c r="W12" s="1570">
        <f t="shared" si="2"/>
        <v>100</v>
      </c>
      <c r="X12" s="1571"/>
      <c r="Y12" s="3385"/>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48"/>
      <c r="Q13" s="1151">
        <f t="shared" si="6"/>
        <v>111</v>
      </c>
      <c r="R13" s="1569" t="s">
        <v>8</v>
      </c>
      <c r="S13" s="1570">
        <f t="shared" si="0"/>
        <v>100</v>
      </c>
      <c r="T13" s="1569" t="s">
        <v>8</v>
      </c>
      <c r="U13" s="1570">
        <f t="shared" si="1"/>
        <v>100</v>
      </c>
      <c r="V13" s="1569" t="s">
        <v>8</v>
      </c>
      <c r="W13" s="1570">
        <f t="shared" si="2"/>
        <v>100</v>
      </c>
      <c r="X13" s="1571"/>
      <c r="Y13" s="3385"/>
      <c r="Z13" s="1150">
        <f t="shared" si="7"/>
        <v>111</v>
      </c>
      <c r="AA13" s="1572">
        <f t="shared" si="3"/>
        <v>1</v>
      </c>
      <c r="AB13" s="1572">
        <f t="shared" si="4"/>
        <v>1</v>
      </c>
      <c r="AC13" s="1572">
        <f t="shared" si="5"/>
        <v>1</v>
      </c>
    </row>
    <row r="14" spans="1:29" ht="85.5">
      <c r="A14" s="2912"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82" t="s">
        <v>537</v>
      </c>
      <c r="Q14" s="1573" t="str">
        <f t="shared" si="6"/>
        <v>交通便捷度</v>
      </c>
      <c r="R14" s="1574" t="s">
        <v>8</v>
      </c>
      <c r="S14" s="1575">
        <f t="shared" si="0"/>
        <v>100</v>
      </c>
      <c r="T14" s="1574" t="s">
        <v>8</v>
      </c>
      <c r="U14" s="1575">
        <f t="shared" si="1"/>
        <v>100</v>
      </c>
      <c r="V14" s="1574" t="s">
        <v>8</v>
      </c>
      <c r="W14" s="1575">
        <f t="shared" si="2"/>
        <v>100</v>
      </c>
      <c r="X14" s="1568"/>
      <c r="Y14" s="3482"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83"/>
      <c r="Q15" s="1573"/>
      <c r="R15" s="1574"/>
      <c r="S15" s="1575"/>
      <c r="T15" s="1574"/>
      <c r="U15" s="1575"/>
      <c r="V15" s="1574"/>
      <c r="W15" s="1575"/>
      <c r="X15" s="1568"/>
      <c r="Y15" s="3483"/>
      <c r="Z15" s="1576"/>
      <c r="AA15" s="1577">
        <v>1</v>
      </c>
      <c r="AB15" s="1577">
        <v>1</v>
      </c>
      <c r="AC15" s="1577">
        <v>1</v>
      </c>
    </row>
    <row r="16" spans="1:29" ht="42.75">
      <c r="A16" s="515"/>
      <c r="B16" s="2605"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83"/>
      <c r="Q16" s="1573" t="str">
        <f>B16</f>
        <v>公共配套设施</v>
      </c>
      <c r="R16" s="1574" t="s">
        <v>8</v>
      </c>
      <c r="S16" s="1575">
        <f>F16</f>
        <v>100</v>
      </c>
      <c r="T16" s="1574" t="s">
        <v>8</v>
      </c>
      <c r="U16" s="1575">
        <f>H16</f>
        <v>100</v>
      </c>
      <c r="V16" s="1574" t="s">
        <v>8</v>
      </c>
      <c r="W16" s="1575">
        <f>J16</f>
        <v>100</v>
      </c>
      <c r="X16" s="1568"/>
      <c r="Y16" s="348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83"/>
      <c r="Q17" s="1573"/>
      <c r="R17" s="1574"/>
      <c r="S17" s="1575"/>
      <c r="T17" s="1574"/>
      <c r="U17" s="1575"/>
      <c r="V17" s="1574"/>
      <c r="W17" s="1575"/>
      <c r="X17" s="1568"/>
      <c r="Y17" s="3483"/>
      <c r="Z17" s="1576"/>
      <c r="AA17" s="1577">
        <v>1</v>
      </c>
      <c r="AB17" s="1577">
        <v>1</v>
      </c>
      <c r="AC17" s="1577">
        <v>1</v>
      </c>
    </row>
    <row r="18" spans="1:29" ht="28.5">
      <c r="A18" s="515"/>
      <c r="B18" s="2593"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83"/>
      <c r="Q18" s="2581" t="str">
        <f>B18</f>
        <v>基础设施水平</v>
      </c>
      <c r="R18" s="1574" t="s">
        <v>8</v>
      </c>
      <c r="S18" s="1575">
        <f>F18</f>
        <v>100</v>
      </c>
      <c r="T18" s="1574" t="s">
        <v>8</v>
      </c>
      <c r="U18" s="1575">
        <f>H18</f>
        <v>100</v>
      </c>
      <c r="V18" s="1574" t="s">
        <v>8</v>
      </c>
      <c r="W18" s="1575">
        <f>J18</f>
        <v>100</v>
      </c>
      <c r="X18" s="2583"/>
      <c r="Y18" s="3483"/>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83"/>
      <c r="Q19" s="2581"/>
      <c r="R19" s="1574"/>
      <c r="S19" s="1575"/>
      <c r="T19" s="1574"/>
      <c r="U19" s="1575"/>
      <c r="V19" s="1574"/>
      <c r="W19" s="1575"/>
      <c r="X19" s="2583"/>
      <c r="Y19" s="3483"/>
      <c r="Z19" s="2582"/>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83"/>
      <c r="Q20" s="1573" t="str">
        <f>B20</f>
        <v>自然及人文环境</v>
      </c>
      <c r="R20" s="1574" t="s">
        <v>8</v>
      </c>
      <c r="S20" s="1575">
        <f>F20</f>
        <v>100</v>
      </c>
      <c r="T20" s="1574" t="s">
        <v>8</v>
      </c>
      <c r="U20" s="1575">
        <f>H20</f>
        <v>100</v>
      </c>
      <c r="V20" s="1574" t="s">
        <v>8</v>
      </c>
      <c r="W20" s="1575">
        <f>J20</f>
        <v>100</v>
      </c>
      <c r="X20" s="1568"/>
      <c r="Y20" s="348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83"/>
      <c r="Q21" s="1573"/>
      <c r="R21" s="1574"/>
      <c r="S21" s="1575"/>
      <c r="T21" s="1574"/>
      <c r="U21" s="1575"/>
      <c r="V21" s="1574"/>
      <c r="W21" s="1575"/>
      <c r="X21" s="1568"/>
      <c r="Y21" s="3483"/>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83"/>
      <c r="Q22" s="1573" t="str">
        <f>B22</f>
        <v>楼层</v>
      </c>
      <c r="R22" s="1574" t="s">
        <v>8</v>
      </c>
      <c r="S22" s="1575">
        <f>F22</f>
        <v>100</v>
      </c>
      <c r="T22" s="1574" t="s">
        <v>8</v>
      </c>
      <c r="U22" s="1575">
        <f>H22</f>
        <v>100</v>
      </c>
      <c r="V22" s="1574" t="s">
        <v>8</v>
      </c>
      <c r="W22" s="1575">
        <f>J22</f>
        <v>100</v>
      </c>
      <c r="X22" s="1568"/>
      <c r="Y22" s="348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83"/>
      <c r="Q23" s="1573">
        <f>B23</f>
        <v>111</v>
      </c>
      <c r="R23" s="1574" t="s">
        <v>8</v>
      </c>
      <c r="S23" s="1575">
        <f>F23</f>
        <v>100</v>
      </c>
      <c r="T23" s="1574" t="s">
        <v>8</v>
      </c>
      <c r="U23" s="1575">
        <f>H23</f>
        <v>100</v>
      </c>
      <c r="V23" s="1574" t="s">
        <v>8</v>
      </c>
      <c r="W23" s="1575">
        <f>J23</f>
        <v>100</v>
      </c>
      <c r="X23" s="1568"/>
      <c r="Y23" s="348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83"/>
      <c r="Q24" s="1573">
        <f t="shared" ref="Q24:Q36" si="11">B24</f>
        <v>111</v>
      </c>
      <c r="R24" s="1574" t="s">
        <v>8</v>
      </c>
      <c r="S24" s="1575">
        <f>F24</f>
        <v>100</v>
      </c>
      <c r="T24" s="1574" t="s">
        <v>8</v>
      </c>
      <c r="U24" s="1575">
        <f>H24</f>
        <v>100</v>
      </c>
      <c r="V24" s="1574" t="s">
        <v>8</v>
      </c>
      <c r="W24" s="1575">
        <f>J24</f>
        <v>100</v>
      </c>
      <c r="X24" s="1568"/>
      <c r="Y24" s="348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83"/>
      <c r="Q25" s="1151">
        <f t="shared" si="11"/>
        <v>111</v>
      </c>
      <c r="R25" s="1569" t="s">
        <v>8</v>
      </c>
      <c r="S25" s="1570">
        <f>F25</f>
        <v>100</v>
      </c>
      <c r="T25" s="1569" t="s">
        <v>8</v>
      </c>
      <c r="U25" s="1570">
        <f>H25</f>
        <v>100</v>
      </c>
      <c r="V25" s="1569" t="s">
        <v>8</v>
      </c>
      <c r="W25" s="1570">
        <f>J25</f>
        <v>100</v>
      </c>
      <c r="X25" s="1571"/>
      <c r="Y25" s="3483"/>
      <c r="Z25" s="1150">
        <f>Q25</f>
        <v>111</v>
      </c>
      <c r="AA25" s="1577">
        <f>D25/F25</f>
        <v>1</v>
      </c>
      <c r="AB25" s="1577">
        <f>D25/H25</f>
        <v>1</v>
      </c>
      <c r="AC25" s="1577">
        <f>D25/J25</f>
        <v>1</v>
      </c>
    </row>
    <row r="26" spans="1:29" ht="15">
      <c r="A26" s="2909"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84"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85"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85"/>
      <c r="Q27" s="1606" t="str">
        <f t="shared" si="11"/>
        <v>项目停车位配比</v>
      </c>
      <c r="R27" s="1578" t="s">
        <v>8</v>
      </c>
      <c r="S27" s="1579">
        <f t="shared" si="12"/>
        <v>100</v>
      </c>
      <c r="T27" s="1578" t="s">
        <v>8</v>
      </c>
      <c r="U27" s="1579">
        <f t="shared" si="13"/>
        <v>100</v>
      </c>
      <c r="V27" s="1578" t="s">
        <v>8</v>
      </c>
      <c r="W27" s="1579">
        <f t="shared" si="14"/>
        <v>100</v>
      </c>
      <c r="X27" s="1580"/>
      <c r="Y27" s="3485"/>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85"/>
      <c r="Q28" s="1573" t="str">
        <f t="shared" si="11"/>
        <v>公共部分装修</v>
      </c>
      <c r="R28" s="1574" t="s">
        <v>8</v>
      </c>
      <c r="S28" s="1575">
        <f t="shared" si="12"/>
        <v>100</v>
      </c>
      <c r="T28" s="1574" t="s">
        <v>8</v>
      </c>
      <c r="U28" s="1575">
        <f t="shared" si="13"/>
        <v>100</v>
      </c>
      <c r="V28" s="1574" t="s">
        <v>8</v>
      </c>
      <c r="W28" s="1575">
        <f t="shared" si="14"/>
        <v>100</v>
      </c>
      <c r="X28" s="1568"/>
      <c r="Y28" s="3485"/>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85"/>
      <c r="Q29" s="1573" t="str">
        <f t="shared" si="11"/>
        <v>成新率</v>
      </c>
      <c r="R29" s="1574" t="s">
        <v>8</v>
      </c>
      <c r="S29" s="1575" t="e">
        <f t="shared" si="12"/>
        <v>#N/A</v>
      </c>
      <c r="T29" s="1574" t="s">
        <v>8</v>
      </c>
      <c r="U29" s="1575" t="e">
        <f t="shared" si="13"/>
        <v>#N/A</v>
      </c>
      <c r="V29" s="1574" t="s">
        <v>8</v>
      </c>
      <c r="W29" s="1575" t="e">
        <f t="shared" si="14"/>
        <v>#N/A</v>
      </c>
      <c r="X29" s="1568"/>
      <c r="Y29" s="3485"/>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85"/>
      <c r="Q30" s="1573" t="str">
        <f t="shared" si="11"/>
        <v>物业等级</v>
      </c>
      <c r="R30" s="1574" t="s">
        <v>8</v>
      </c>
      <c r="S30" s="1575">
        <f t="shared" si="12"/>
        <v>100</v>
      </c>
      <c r="T30" s="1574" t="s">
        <v>8</v>
      </c>
      <c r="U30" s="1575">
        <f t="shared" si="13"/>
        <v>100</v>
      </c>
      <c r="V30" s="1574" t="s">
        <v>8</v>
      </c>
      <c r="W30" s="1575">
        <f t="shared" si="14"/>
        <v>100</v>
      </c>
      <c r="X30" s="1568"/>
      <c r="Y30" s="3485"/>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85"/>
      <c r="Q31" s="1151" t="str">
        <f t="shared" si="11"/>
        <v>停车位面积</v>
      </c>
      <c r="R31" s="1569" t="s">
        <v>8</v>
      </c>
      <c r="S31" s="1570" t="e">
        <f t="shared" si="12"/>
        <v>#N/A</v>
      </c>
      <c r="T31" s="1569" t="s">
        <v>8</v>
      </c>
      <c r="U31" s="1570" t="e">
        <f t="shared" si="13"/>
        <v>#N/A</v>
      </c>
      <c r="V31" s="1569" t="s">
        <v>8</v>
      </c>
      <c r="W31" s="1570" t="e">
        <f t="shared" si="14"/>
        <v>#N/A</v>
      </c>
      <c r="X31" s="1571"/>
      <c r="Y31" s="3485"/>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85" t="s">
        <v>547</v>
      </c>
      <c r="Q32" s="1573" t="str">
        <f t="shared" si="11"/>
        <v>车位类型</v>
      </c>
      <c r="R32" s="1574" t="s">
        <v>8</v>
      </c>
      <c r="S32" s="1575">
        <f t="shared" si="12"/>
        <v>100</v>
      </c>
      <c r="T32" s="1574" t="s">
        <v>8</v>
      </c>
      <c r="U32" s="1575">
        <f t="shared" si="13"/>
        <v>100</v>
      </c>
      <c r="V32" s="1574" t="s">
        <v>8</v>
      </c>
      <c r="W32" s="1575">
        <f t="shared" si="14"/>
        <v>100</v>
      </c>
      <c r="X32" s="1568"/>
      <c r="Y32" s="3485"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85"/>
      <c r="Q33" s="1573" t="str">
        <f t="shared" si="11"/>
        <v>是否直接入户</v>
      </c>
      <c r="R33" s="1574" t="s">
        <v>8</v>
      </c>
      <c r="S33" s="1575">
        <f t="shared" si="12"/>
        <v>100</v>
      </c>
      <c r="T33" s="1574" t="s">
        <v>8</v>
      </c>
      <c r="U33" s="1575">
        <f t="shared" si="13"/>
        <v>100</v>
      </c>
      <c r="V33" s="1574" t="s">
        <v>8</v>
      </c>
      <c r="W33" s="1575">
        <f t="shared" si="14"/>
        <v>100</v>
      </c>
      <c r="X33" s="1568"/>
      <c r="Y33" s="348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85"/>
      <c r="Q34" s="1573">
        <f t="shared" si="11"/>
        <v>111</v>
      </c>
      <c r="R34" s="1574" t="s">
        <v>8</v>
      </c>
      <c r="S34" s="1575">
        <f t="shared" si="12"/>
        <v>100</v>
      </c>
      <c r="T34" s="1574" t="s">
        <v>8</v>
      </c>
      <c r="U34" s="1575">
        <f t="shared" si="13"/>
        <v>100</v>
      </c>
      <c r="V34" s="1574" t="s">
        <v>8</v>
      </c>
      <c r="W34" s="1575">
        <f t="shared" si="14"/>
        <v>100</v>
      </c>
      <c r="X34" s="1568"/>
      <c r="Y34" s="348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85"/>
      <c r="Q35" s="1606">
        <f t="shared" si="11"/>
        <v>111</v>
      </c>
      <c r="R35" s="1578" t="s">
        <v>8</v>
      </c>
      <c r="S35" s="1579">
        <f t="shared" si="12"/>
        <v>100</v>
      </c>
      <c r="T35" s="1578" t="s">
        <v>8</v>
      </c>
      <c r="U35" s="1579">
        <f t="shared" si="13"/>
        <v>100</v>
      </c>
      <c r="V35" s="1578" t="s">
        <v>8</v>
      </c>
      <c r="W35" s="1579">
        <f t="shared" si="14"/>
        <v>100</v>
      </c>
      <c r="X35" s="1580"/>
      <c r="Y35" s="348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85"/>
      <c r="Q36" s="1573">
        <f t="shared" si="11"/>
        <v>111</v>
      </c>
      <c r="R36" s="1574" t="s">
        <v>8</v>
      </c>
      <c r="S36" s="1575">
        <f t="shared" si="12"/>
        <v>100</v>
      </c>
      <c r="T36" s="1574" t="s">
        <v>8</v>
      </c>
      <c r="U36" s="1575">
        <f t="shared" si="13"/>
        <v>100</v>
      </c>
      <c r="V36" s="1574" t="s">
        <v>8</v>
      </c>
      <c r="W36" s="1575">
        <f t="shared" si="14"/>
        <v>100</v>
      </c>
      <c r="X36" s="1568"/>
      <c r="Y36" s="3485"/>
      <c r="Z36" s="1576">
        <f t="shared" si="15"/>
        <v>111</v>
      </c>
      <c r="AA36" s="1577">
        <f t="shared" si="3"/>
        <v>1</v>
      </c>
      <c r="AB36" s="1577">
        <f t="shared" si="4"/>
        <v>1</v>
      </c>
      <c r="AC36" s="1577">
        <f t="shared" si="5"/>
        <v>1</v>
      </c>
    </row>
    <row r="37" spans="1:29" ht="15">
      <c r="A37" s="1848" t="s">
        <v>2073</v>
      </c>
      <c r="B37" s="1849" t="s">
        <v>2074</v>
      </c>
      <c r="C37" s="2629" t="s">
        <v>1</v>
      </c>
      <c r="D37" s="2630"/>
      <c r="E37" s="2631"/>
      <c r="F37" s="2632"/>
      <c r="G37" s="2633"/>
      <c r="H37" s="2634"/>
      <c r="I37" s="2631"/>
      <c r="J37" s="2634"/>
      <c r="K37" s="1612"/>
      <c r="L37" s="2146"/>
      <c r="M37" s="2147"/>
      <c r="N37" s="2136"/>
      <c r="O37" s="2147"/>
      <c r="P37" s="3448" t="str">
        <f>A37</f>
        <v>成交单价</v>
      </c>
      <c r="Q37" s="3448"/>
      <c r="R37" s="3520">
        <f>E37</f>
        <v>0</v>
      </c>
      <c r="S37" s="3520"/>
      <c r="T37" s="3520">
        <f>G37</f>
        <v>0</v>
      </c>
      <c r="U37" s="3520"/>
      <c r="V37" s="3520">
        <f>I37</f>
        <v>0</v>
      </c>
      <c r="W37" s="3520"/>
      <c r="X37" s="1560"/>
      <c r="Y37" s="1582"/>
      <c r="Z37" s="1560"/>
      <c r="AA37" s="1560"/>
      <c r="AB37" s="1560"/>
      <c r="AC37" s="1560"/>
    </row>
    <row r="38" spans="1:29" ht="15.75" thickBot="1">
      <c r="A38" s="615" t="s">
        <v>2756</v>
      </c>
      <c r="B38" s="888"/>
      <c r="C38" s="2635" t="e">
        <f>R39</f>
        <v>#DIV/0!</v>
      </c>
      <c r="D38" s="2636"/>
      <c r="E38" s="2637" t="e">
        <f>R38</f>
        <v>#DIV/0!</v>
      </c>
      <c r="F38" s="2637"/>
      <c r="G38" s="2635" t="e">
        <f>T38</f>
        <v>#DIV/0!</v>
      </c>
      <c r="H38" s="2636"/>
      <c r="I38" s="2637" t="e">
        <f>V38</f>
        <v>#DIV/0!</v>
      </c>
      <c r="J38" s="2636"/>
      <c r="K38" s="1613"/>
      <c r="L38" s="2146"/>
      <c r="M38" s="2147"/>
      <c r="N38" s="2147"/>
      <c r="O38" s="2147"/>
      <c r="P38" s="3448" t="str">
        <f>A38</f>
        <v>比较价格（元/平方米）</v>
      </c>
      <c r="Q38" s="3448"/>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445" t="str">
        <f>A39</f>
        <v>估价对象XX用房的比较价格（楼面单价，元/平方米）</v>
      </c>
      <c r="Q39" s="3446"/>
      <c r="R39" s="3522" t="e">
        <f>IF(F1="售价",ROUND(AVERAGE(R38:V38),0),ROUND(AVERAGE(R38:V38),1))</f>
        <v>#DIV/0!</v>
      </c>
      <c r="S39" s="3522"/>
      <c r="T39" s="3522"/>
      <c r="U39" s="3522"/>
      <c r="V39" s="3522"/>
      <c r="W39" s="352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2553</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2554</v>
      </c>
      <c r="C67" s="2600" t="s">
        <v>2555</v>
      </c>
      <c r="D67" s="2600" t="s">
        <v>2556</v>
      </c>
      <c r="E67" s="2600" t="s">
        <v>2557</v>
      </c>
      <c r="F67" s="2600" t="s">
        <v>2558</v>
      </c>
      <c r="G67" s="2600" t="s">
        <v>2559</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54" t="s">
        <v>795</v>
      </c>
      <c r="D4" s="3455"/>
      <c r="E4" s="3488" t="s">
        <v>796</v>
      </c>
      <c r="F4" s="3489"/>
      <c r="G4" s="3454" t="s">
        <v>797</v>
      </c>
      <c r="H4" s="3455"/>
      <c r="I4" s="3454" t="s">
        <v>798</v>
      </c>
      <c r="J4" s="3455"/>
      <c r="K4" s="514" t="s">
        <v>799</v>
      </c>
      <c r="L4" s="2135"/>
      <c r="M4" s="2136"/>
      <c r="N4" s="2136"/>
      <c r="O4" s="2136"/>
      <c r="P4" s="3456" t="s">
        <v>800</v>
      </c>
      <c r="Q4" s="3457"/>
      <c r="R4" s="3462" t="s">
        <v>796</v>
      </c>
      <c r="S4" s="3463"/>
      <c r="T4" s="3462" t="s">
        <v>797</v>
      </c>
      <c r="U4" s="3463"/>
      <c r="V4" s="3449" t="s">
        <v>798</v>
      </c>
      <c r="W4" s="3449"/>
      <c r="X4" s="1568"/>
      <c r="Y4" s="3462" t="s">
        <v>800</v>
      </c>
      <c r="Z4" s="3463"/>
      <c r="AA4" s="3451" t="s">
        <v>796</v>
      </c>
      <c r="AB4" s="3452" t="s">
        <v>797</v>
      </c>
      <c r="AC4" s="3451" t="s">
        <v>798</v>
      </c>
    </row>
    <row r="5" spans="1:29" ht="15">
      <c r="A5" s="515"/>
      <c r="B5" s="516"/>
      <c r="C5" s="3470" t="s">
        <v>2925</v>
      </c>
      <c r="D5" s="3471"/>
      <c r="E5" s="3490" t="s">
        <v>2926</v>
      </c>
      <c r="F5" s="3491"/>
      <c r="G5" s="3470" t="s">
        <v>2927</v>
      </c>
      <c r="H5" s="3471"/>
      <c r="I5" s="3470" t="s">
        <v>2928</v>
      </c>
      <c r="J5" s="3471"/>
      <c r="K5" s="514"/>
      <c r="L5" s="2135"/>
      <c r="M5" s="2136"/>
      <c r="N5" s="2136"/>
      <c r="O5" s="2136"/>
      <c r="P5" s="3458"/>
      <c r="Q5" s="3459"/>
      <c r="R5" s="3464"/>
      <c r="S5" s="3465"/>
      <c r="T5" s="3464"/>
      <c r="U5" s="3465"/>
      <c r="V5" s="3449"/>
      <c r="W5" s="3449"/>
      <c r="X5" s="1568"/>
      <c r="Y5" s="3464"/>
      <c r="Z5" s="3465"/>
      <c r="AA5" s="3452"/>
      <c r="AB5" s="3452"/>
      <c r="AC5" s="3452"/>
    </row>
    <row r="6" spans="1:29" ht="15.75" thickBot="1">
      <c r="A6" s="517"/>
      <c r="B6" s="518"/>
      <c r="C6" s="3468" t="s">
        <v>2929</v>
      </c>
      <c r="D6" s="3469"/>
      <c r="E6" s="3486" t="s">
        <v>2929</v>
      </c>
      <c r="F6" s="3487"/>
      <c r="G6" s="3468" t="s">
        <v>2929</v>
      </c>
      <c r="H6" s="3469"/>
      <c r="I6" s="3468" t="s">
        <v>2929</v>
      </c>
      <c r="J6" s="3469"/>
      <c r="K6" s="514" t="s">
        <v>525</v>
      </c>
      <c r="L6" s="2135"/>
      <c r="M6" s="2136"/>
      <c r="N6" s="2136"/>
      <c r="O6" s="2136"/>
      <c r="P6" s="3460"/>
      <c r="Q6" s="3461"/>
      <c r="R6" s="3464"/>
      <c r="S6" s="3465"/>
      <c r="T6" s="3466"/>
      <c r="U6" s="3467"/>
      <c r="V6" s="3449"/>
      <c r="W6" s="3449"/>
      <c r="X6" s="1568"/>
      <c r="Y6" s="3466"/>
      <c r="Z6" s="3467"/>
      <c r="AA6" s="3453"/>
      <c r="AB6" s="3453"/>
      <c r="AC6" s="3453"/>
    </row>
    <row r="7" spans="1:29" s="1220" customFormat="1" ht="15.75" thickBot="1">
      <c r="A7" s="2914"/>
      <c r="B7" s="2921" t="s">
        <v>526</v>
      </c>
      <c r="C7" s="519">
        <f>'数据-取费表'!B2</f>
        <v>43424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79" t="s">
        <v>527</v>
      </c>
      <c r="Q7" s="3481"/>
      <c r="R7" s="1569" t="s">
        <v>8</v>
      </c>
      <c r="S7" s="1570">
        <f t="shared" ref="S7:S14" si="0">F7</f>
        <v>0</v>
      </c>
      <c r="T7" s="1569" t="s">
        <v>8</v>
      </c>
      <c r="U7" s="1570">
        <f t="shared" ref="U7:U14" si="1">H7</f>
        <v>0</v>
      </c>
      <c r="V7" s="1569" t="s">
        <v>8</v>
      </c>
      <c r="W7" s="1570">
        <f t="shared" ref="W7:W14" si="2">J7</f>
        <v>0</v>
      </c>
      <c r="X7" s="1571"/>
      <c r="Y7" s="3479" t="s">
        <v>527</v>
      </c>
      <c r="Z7" s="3480"/>
      <c r="AA7" s="1572" t="e">
        <f>D7/F7</f>
        <v>#DIV/0!</v>
      </c>
      <c r="AB7" s="1572" t="e">
        <f>D7/H7</f>
        <v>#DIV/0!</v>
      </c>
      <c r="AC7" s="1572" t="e">
        <f>D7/J7</f>
        <v>#DIV/0!</v>
      </c>
    </row>
    <row r="8" spans="1:29" s="1220" customFormat="1" ht="15.75" thickBot="1">
      <c r="A8" s="2915"/>
      <c r="B8" s="2922"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79" t="s">
        <v>530</v>
      </c>
      <c r="Q8" s="3480"/>
      <c r="R8" s="1569" t="s">
        <v>8</v>
      </c>
      <c r="S8" s="1570">
        <f t="shared" si="0"/>
        <v>0</v>
      </c>
      <c r="T8" s="1569" t="s">
        <v>8</v>
      </c>
      <c r="U8" s="1570">
        <f t="shared" si="1"/>
        <v>0</v>
      </c>
      <c r="V8" s="1569" t="s">
        <v>8</v>
      </c>
      <c r="W8" s="1570">
        <f t="shared" si="2"/>
        <v>0</v>
      </c>
      <c r="X8" s="1571"/>
      <c r="Y8" s="3479" t="s">
        <v>530</v>
      </c>
      <c r="Z8" s="3480"/>
      <c r="AA8" s="1572" t="e">
        <f t="shared" ref="AA8:AA34" si="3">D8/F8</f>
        <v>#DIV/0!</v>
      </c>
      <c r="AB8" s="1572" t="e">
        <f t="shared" ref="AB8:AB34" si="4">D8/H8</f>
        <v>#DIV/0!</v>
      </c>
      <c r="AC8" s="1572" t="e">
        <f t="shared" ref="AC8:AC34" si="5">D8/J8</f>
        <v>#DIV/0!</v>
      </c>
    </row>
    <row r="9" spans="1:29" s="1220" customFormat="1" ht="15">
      <c r="A9" s="2916"/>
      <c r="B9" s="2923" t="s">
        <v>2752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48" t="s">
        <v>532</v>
      </c>
      <c r="Q9" s="1151" t="str">
        <f t="shared" ref="Q9:Q14" si="6">B9</f>
        <v>用途</v>
      </c>
      <c r="R9" s="1569" t="s">
        <v>8</v>
      </c>
      <c r="S9" s="1570">
        <f t="shared" si="0"/>
        <v>100</v>
      </c>
      <c r="T9" s="1569" t="s">
        <v>8</v>
      </c>
      <c r="U9" s="1570">
        <f t="shared" si="1"/>
        <v>100</v>
      </c>
      <c r="V9" s="1569" t="s">
        <v>8</v>
      </c>
      <c r="W9" s="1570">
        <f t="shared" si="2"/>
        <v>100</v>
      </c>
      <c r="X9" s="1571"/>
      <c r="Y9" s="3385"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48"/>
      <c r="Q10" s="1151" t="str">
        <f t="shared" si="6"/>
        <v>土地使用年限（年）</v>
      </c>
      <c r="R10" s="1569" t="s">
        <v>8</v>
      </c>
      <c r="S10" s="1570">
        <f t="shared" si="0"/>
        <v>100</v>
      </c>
      <c r="T10" s="1569" t="s">
        <v>8</v>
      </c>
      <c r="U10" s="1570">
        <f t="shared" si="1"/>
        <v>100</v>
      </c>
      <c r="V10" s="1569" t="s">
        <v>8</v>
      </c>
      <c r="W10" s="1570">
        <f t="shared" si="2"/>
        <v>100</v>
      </c>
      <c r="X10" s="1571"/>
      <c r="Y10" s="3385"/>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48"/>
      <c r="Q11" s="1151">
        <f t="shared" si="6"/>
        <v>111</v>
      </c>
      <c r="R11" s="1569" t="s">
        <v>8</v>
      </c>
      <c r="S11" s="1570">
        <f t="shared" si="0"/>
        <v>100</v>
      </c>
      <c r="T11" s="1569" t="s">
        <v>8</v>
      </c>
      <c r="U11" s="1570">
        <f t="shared" si="1"/>
        <v>100</v>
      </c>
      <c r="V11" s="1569" t="s">
        <v>8</v>
      </c>
      <c r="W11" s="1570">
        <f t="shared" si="2"/>
        <v>100</v>
      </c>
      <c r="X11" s="1571"/>
      <c r="Y11" s="3385"/>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48"/>
      <c r="Q12" s="1151">
        <f t="shared" si="6"/>
        <v>111</v>
      </c>
      <c r="R12" s="1569" t="s">
        <v>8</v>
      </c>
      <c r="S12" s="1570">
        <f t="shared" si="0"/>
        <v>100</v>
      </c>
      <c r="T12" s="1569" t="s">
        <v>8</v>
      </c>
      <c r="U12" s="1570">
        <f t="shared" si="1"/>
        <v>100</v>
      </c>
      <c r="V12" s="1569" t="s">
        <v>8</v>
      </c>
      <c r="W12" s="1570">
        <f t="shared" si="2"/>
        <v>100</v>
      </c>
      <c r="X12" s="1571"/>
      <c r="Y12" s="3385"/>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48"/>
      <c r="Q13" s="1151">
        <f t="shared" si="6"/>
        <v>111</v>
      </c>
      <c r="R13" s="1569" t="s">
        <v>8</v>
      </c>
      <c r="S13" s="1570">
        <f t="shared" si="0"/>
        <v>100</v>
      </c>
      <c r="T13" s="1569" t="s">
        <v>8</v>
      </c>
      <c r="U13" s="1570">
        <f t="shared" si="1"/>
        <v>100</v>
      </c>
      <c r="V13" s="1569" t="s">
        <v>8</v>
      </c>
      <c r="W13" s="1570">
        <f t="shared" si="2"/>
        <v>100</v>
      </c>
      <c r="X13" s="1571"/>
      <c r="Y13" s="3385"/>
      <c r="Z13" s="1150">
        <f t="shared" si="7"/>
        <v>111</v>
      </c>
      <c r="AA13" s="1572">
        <f t="shared" si="3"/>
        <v>1</v>
      </c>
      <c r="AB13" s="1572">
        <f t="shared" si="4"/>
        <v>1</v>
      </c>
      <c r="AC13" s="1572">
        <f t="shared" si="5"/>
        <v>1</v>
      </c>
    </row>
    <row r="14" spans="1:29" ht="85.5">
      <c r="A14" s="2912"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82" t="s">
        <v>537</v>
      </c>
      <c r="Q14" s="1573" t="str">
        <f t="shared" si="6"/>
        <v>交通便捷度</v>
      </c>
      <c r="R14" s="1574" t="s">
        <v>8</v>
      </c>
      <c r="S14" s="1575">
        <f t="shared" si="0"/>
        <v>100</v>
      </c>
      <c r="T14" s="1574" t="s">
        <v>8</v>
      </c>
      <c r="U14" s="1575">
        <f t="shared" si="1"/>
        <v>100</v>
      </c>
      <c r="V14" s="1574" t="s">
        <v>8</v>
      </c>
      <c r="W14" s="1575">
        <f t="shared" si="2"/>
        <v>100</v>
      </c>
      <c r="X14" s="1568"/>
      <c r="Y14" s="3482"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83"/>
      <c r="Q15" s="1573"/>
      <c r="R15" s="1574"/>
      <c r="S15" s="1575"/>
      <c r="T15" s="1574"/>
      <c r="U15" s="1575"/>
      <c r="V15" s="1574"/>
      <c r="W15" s="1575"/>
      <c r="X15" s="1568"/>
      <c r="Y15" s="3483"/>
      <c r="Z15" s="1576"/>
      <c r="AA15" s="1577">
        <v>1</v>
      </c>
      <c r="AB15" s="1577">
        <v>1</v>
      </c>
      <c r="AC15" s="1577">
        <v>1</v>
      </c>
    </row>
    <row r="16" spans="1:29" ht="42.75">
      <c r="A16" s="532"/>
      <c r="B16" s="2605"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83"/>
      <c r="Q16" s="1573" t="str">
        <f>B16</f>
        <v>公共配套设施</v>
      </c>
      <c r="R16" s="1574" t="s">
        <v>8</v>
      </c>
      <c r="S16" s="1575">
        <f>F16</f>
        <v>100</v>
      </c>
      <c r="T16" s="1574" t="s">
        <v>8</v>
      </c>
      <c r="U16" s="1575">
        <f>H16</f>
        <v>100</v>
      </c>
      <c r="V16" s="1574" t="s">
        <v>8</v>
      </c>
      <c r="W16" s="1575">
        <f>J16</f>
        <v>100</v>
      </c>
      <c r="X16" s="1568"/>
      <c r="Y16" s="348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83"/>
      <c r="Q17" s="1573"/>
      <c r="R17" s="1574"/>
      <c r="S17" s="1575"/>
      <c r="T17" s="1574"/>
      <c r="U17" s="1575"/>
      <c r="V17" s="1574"/>
      <c r="W17" s="1575"/>
      <c r="X17" s="1568"/>
      <c r="Y17" s="3483"/>
      <c r="Z17" s="1576"/>
      <c r="AA17" s="1577">
        <v>1</v>
      </c>
      <c r="AB17" s="1577">
        <v>1</v>
      </c>
      <c r="AC17" s="1577">
        <v>1</v>
      </c>
    </row>
    <row r="18" spans="1:29" ht="28.5">
      <c r="A18" s="532"/>
      <c r="B18" s="2593"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83"/>
      <c r="Q18" s="2581" t="str">
        <f>B18</f>
        <v>基础设施水平</v>
      </c>
      <c r="R18" s="1574" t="s">
        <v>8</v>
      </c>
      <c r="S18" s="1575">
        <f>F18</f>
        <v>100</v>
      </c>
      <c r="T18" s="1574" t="s">
        <v>8</v>
      </c>
      <c r="U18" s="1575">
        <f>H18</f>
        <v>100</v>
      </c>
      <c r="V18" s="1574" t="s">
        <v>8</v>
      </c>
      <c r="W18" s="1575">
        <f>J18</f>
        <v>100</v>
      </c>
      <c r="X18" s="2583"/>
      <c r="Y18" s="3483"/>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83"/>
      <c r="Q19" s="2581"/>
      <c r="R19" s="1574"/>
      <c r="S19" s="1575"/>
      <c r="T19" s="1574"/>
      <c r="U19" s="1575"/>
      <c r="V19" s="1574"/>
      <c r="W19" s="1575"/>
      <c r="X19" s="2583"/>
      <c r="Y19" s="3483"/>
      <c r="Z19" s="2582"/>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83"/>
      <c r="Q20" s="1573" t="str">
        <f>B20</f>
        <v>自然及人文环境</v>
      </c>
      <c r="R20" s="1574" t="s">
        <v>8</v>
      </c>
      <c r="S20" s="1575">
        <f>F20</f>
        <v>100</v>
      </c>
      <c r="T20" s="1574" t="s">
        <v>8</v>
      </c>
      <c r="U20" s="1575">
        <f>H20</f>
        <v>100</v>
      </c>
      <c r="V20" s="1574" t="s">
        <v>8</v>
      </c>
      <c r="W20" s="1575">
        <f>J20</f>
        <v>100</v>
      </c>
      <c r="X20" s="1568"/>
      <c r="Y20" s="348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83"/>
      <c r="Q21" s="1573"/>
      <c r="R21" s="1574"/>
      <c r="S21" s="1575"/>
      <c r="T21" s="1574"/>
      <c r="U21" s="1575"/>
      <c r="V21" s="1574"/>
      <c r="W21" s="1575"/>
      <c r="X21" s="1568"/>
      <c r="Y21" s="3483"/>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83"/>
      <c r="Q22" s="1573" t="str">
        <f>B22</f>
        <v>楼层</v>
      </c>
      <c r="R22" s="1574" t="s">
        <v>8</v>
      </c>
      <c r="S22" s="1575">
        <f>F22</f>
        <v>100</v>
      </c>
      <c r="T22" s="1574" t="s">
        <v>8</v>
      </c>
      <c r="U22" s="1575">
        <f>H22</f>
        <v>100</v>
      </c>
      <c r="V22" s="1574" t="s">
        <v>8</v>
      </c>
      <c r="W22" s="1575">
        <f>J22</f>
        <v>100</v>
      </c>
      <c r="X22" s="1568"/>
      <c r="Y22" s="348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83"/>
      <c r="Q23" s="1573">
        <f>B23</f>
        <v>111</v>
      </c>
      <c r="R23" s="1574" t="s">
        <v>8</v>
      </c>
      <c r="S23" s="1575">
        <f>F23</f>
        <v>100</v>
      </c>
      <c r="T23" s="1574" t="s">
        <v>8</v>
      </c>
      <c r="U23" s="1575">
        <f>H23</f>
        <v>100</v>
      </c>
      <c r="V23" s="1574" t="s">
        <v>8</v>
      </c>
      <c r="W23" s="1575">
        <f>J23</f>
        <v>100</v>
      </c>
      <c r="X23" s="1568"/>
      <c r="Y23" s="348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83"/>
      <c r="Q24" s="1573">
        <f t="shared" ref="Q24:Q34" si="11">B24</f>
        <v>111</v>
      </c>
      <c r="R24" s="1574" t="s">
        <v>8</v>
      </c>
      <c r="S24" s="1575">
        <f>F24</f>
        <v>100</v>
      </c>
      <c r="T24" s="1574" t="s">
        <v>8</v>
      </c>
      <c r="U24" s="1575">
        <f>H24</f>
        <v>100</v>
      </c>
      <c r="V24" s="1574" t="s">
        <v>8</v>
      </c>
      <c r="W24" s="1575">
        <f>J24</f>
        <v>100</v>
      </c>
      <c r="X24" s="1568"/>
      <c r="Y24" s="348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83"/>
      <c r="Q25" s="1151">
        <f t="shared" si="11"/>
        <v>111</v>
      </c>
      <c r="R25" s="1569" t="s">
        <v>8</v>
      </c>
      <c r="S25" s="1570">
        <f>F25</f>
        <v>100</v>
      </c>
      <c r="T25" s="1569" t="s">
        <v>8</v>
      </c>
      <c r="U25" s="1570">
        <f>H25</f>
        <v>100</v>
      </c>
      <c r="V25" s="1569" t="s">
        <v>8</v>
      </c>
      <c r="W25" s="1570">
        <f>J25</f>
        <v>100</v>
      </c>
      <c r="X25" s="1571"/>
      <c r="Y25" s="3483"/>
      <c r="Z25" s="1150">
        <f>Q25</f>
        <v>111</v>
      </c>
      <c r="AA25" s="1577">
        <f>D25/F25</f>
        <v>1</v>
      </c>
      <c r="AB25" s="1577">
        <f>D25/H25</f>
        <v>1</v>
      </c>
      <c r="AC25" s="1577">
        <f>D25/J25</f>
        <v>1</v>
      </c>
    </row>
    <row r="26" spans="1:29" ht="15">
      <c r="A26" s="2909"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84"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85"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85"/>
      <c r="Q27" s="1606" t="str">
        <f t="shared" si="11"/>
        <v>成新率</v>
      </c>
      <c r="R27" s="1578" t="s">
        <v>8</v>
      </c>
      <c r="S27" s="1579" t="e">
        <f t="shared" si="12"/>
        <v>#N/A</v>
      </c>
      <c r="T27" s="1578" t="s">
        <v>8</v>
      </c>
      <c r="U27" s="1579" t="e">
        <f t="shared" si="13"/>
        <v>#N/A</v>
      </c>
      <c r="V27" s="1578" t="s">
        <v>8</v>
      </c>
      <c r="W27" s="1579" t="e">
        <f t="shared" si="14"/>
        <v>#N/A</v>
      </c>
      <c r="X27" s="1580"/>
      <c r="Y27" s="3485"/>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85"/>
      <c r="Q28" s="1573" t="str">
        <f t="shared" si="11"/>
        <v>物业等级</v>
      </c>
      <c r="R28" s="1574" t="s">
        <v>8</v>
      </c>
      <c r="S28" s="1575">
        <f t="shared" si="12"/>
        <v>100</v>
      </c>
      <c r="T28" s="1574" t="s">
        <v>8</v>
      </c>
      <c r="U28" s="1575">
        <f t="shared" si="13"/>
        <v>100</v>
      </c>
      <c r="V28" s="1574" t="s">
        <v>8</v>
      </c>
      <c r="W28" s="1575">
        <f t="shared" si="14"/>
        <v>100</v>
      </c>
      <c r="X28" s="1568"/>
      <c r="Y28" s="3485"/>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85"/>
      <c r="Q29" s="1573" t="str">
        <f t="shared" si="11"/>
        <v>有无电梯</v>
      </c>
      <c r="R29" s="1574" t="s">
        <v>8</v>
      </c>
      <c r="S29" s="1575">
        <f t="shared" si="12"/>
        <v>100</v>
      </c>
      <c r="T29" s="1574" t="s">
        <v>8</v>
      </c>
      <c r="U29" s="1575">
        <f t="shared" si="13"/>
        <v>100</v>
      </c>
      <c r="V29" s="1574" t="s">
        <v>8</v>
      </c>
      <c r="W29" s="1575">
        <f t="shared" si="14"/>
        <v>100</v>
      </c>
      <c r="X29" s="1568"/>
      <c r="Y29" s="3485"/>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85"/>
      <c r="Q30" s="1573" t="str">
        <f t="shared" si="11"/>
        <v>建筑面积</v>
      </c>
      <c r="R30" s="1574" t="s">
        <v>8</v>
      </c>
      <c r="S30" s="1575" t="e">
        <f t="shared" si="12"/>
        <v>#N/A</v>
      </c>
      <c r="T30" s="1574" t="s">
        <v>8</v>
      </c>
      <c r="U30" s="1575" t="e">
        <f t="shared" si="13"/>
        <v>#N/A</v>
      </c>
      <c r="V30" s="1574" t="s">
        <v>8</v>
      </c>
      <c r="W30" s="1575" t="e">
        <f t="shared" si="14"/>
        <v>#N/A</v>
      </c>
      <c r="X30" s="1568"/>
      <c r="Y30" s="3485"/>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85"/>
      <c r="Q31" s="1151" t="str">
        <f t="shared" si="11"/>
        <v>是否封闭</v>
      </c>
      <c r="R31" s="1569" t="s">
        <v>8</v>
      </c>
      <c r="S31" s="1570">
        <f t="shared" si="12"/>
        <v>100</v>
      </c>
      <c r="T31" s="1569" t="s">
        <v>8</v>
      </c>
      <c r="U31" s="1570">
        <f t="shared" si="13"/>
        <v>100</v>
      </c>
      <c r="V31" s="1569" t="s">
        <v>8</v>
      </c>
      <c r="W31" s="1570">
        <f t="shared" si="14"/>
        <v>100</v>
      </c>
      <c r="X31" s="1571"/>
      <c r="Y31" s="348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85" t="s">
        <v>547</v>
      </c>
      <c r="Q32" s="1573">
        <f t="shared" si="11"/>
        <v>111</v>
      </c>
      <c r="R32" s="1574" t="s">
        <v>8</v>
      </c>
      <c r="S32" s="1575">
        <f t="shared" si="12"/>
        <v>100</v>
      </c>
      <c r="T32" s="1574" t="s">
        <v>8</v>
      </c>
      <c r="U32" s="1575">
        <f t="shared" si="13"/>
        <v>100</v>
      </c>
      <c r="V32" s="1574" t="s">
        <v>8</v>
      </c>
      <c r="W32" s="1575">
        <f t="shared" si="14"/>
        <v>100</v>
      </c>
      <c r="X32" s="1568"/>
      <c r="Y32" s="3485"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85"/>
      <c r="Q33" s="1573">
        <f t="shared" si="11"/>
        <v>111</v>
      </c>
      <c r="R33" s="1574" t="s">
        <v>8</v>
      </c>
      <c r="S33" s="1575">
        <f t="shared" si="12"/>
        <v>100</v>
      </c>
      <c r="T33" s="1574" t="s">
        <v>8</v>
      </c>
      <c r="U33" s="1575">
        <f t="shared" si="13"/>
        <v>100</v>
      </c>
      <c r="V33" s="1574" t="s">
        <v>8</v>
      </c>
      <c r="W33" s="1575">
        <f t="shared" si="14"/>
        <v>100</v>
      </c>
      <c r="X33" s="1568"/>
      <c r="Y33" s="348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85"/>
      <c r="Q34" s="1573">
        <f t="shared" si="11"/>
        <v>111</v>
      </c>
      <c r="R34" s="1574" t="s">
        <v>8</v>
      </c>
      <c r="S34" s="1575">
        <f t="shared" si="12"/>
        <v>100</v>
      </c>
      <c r="T34" s="1574" t="s">
        <v>8</v>
      </c>
      <c r="U34" s="1575">
        <f t="shared" si="13"/>
        <v>100</v>
      </c>
      <c r="V34" s="1574" t="s">
        <v>8</v>
      </c>
      <c r="W34" s="1575">
        <f t="shared" si="14"/>
        <v>100</v>
      </c>
      <c r="X34" s="1568"/>
      <c r="Y34" s="3485"/>
      <c r="Z34" s="1576">
        <f t="shared" si="15"/>
        <v>111</v>
      </c>
      <c r="AA34" s="1577">
        <f t="shared" si="3"/>
        <v>1</v>
      </c>
      <c r="AB34" s="1577">
        <f t="shared" si="4"/>
        <v>1</v>
      </c>
      <c r="AC34" s="1577">
        <f t="shared" si="5"/>
        <v>1</v>
      </c>
    </row>
    <row r="35" spans="1:29" ht="15">
      <c r="A35" s="607" t="s">
        <v>733</v>
      </c>
      <c r="B35" s="887"/>
      <c r="C35" s="2629" t="s">
        <v>1</v>
      </c>
      <c r="D35" s="2630"/>
      <c r="E35" s="2631"/>
      <c r="F35" s="2632"/>
      <c r="G35" s="2633"/>
      <c r="H35" s="2634"/>
      <c r="I35" s="2631"/>
      <c r="J35" s="2634"/>
      <c r="K35" s="1612"/>
      <c r="L35" s="2146"/>
      <c r="M35" s="2147"/>
      <c r="N35" s="2136"/>
      <c r="O35" s="2147"/>
      <c r="P35" s="3448" t="str">
        <f>A35</f>
        <v>成交单价（元/平方米）</v>
      </c>
      <c r="Q35" s="3448"/>
      <c r="R35" s="3520">
        <f>E35</f>
        <v>0</v>
      </c>
      <c r="S35" s="3520"/>
      <c r="T35" s="3520">
        <f>G35</f>
        <v>0</v>
      </c>
      <c r="U35" s="3520"/>
      <c r="V35" s="3520">
        <f>I35</f>
        <v>0</v>
      </c>
      <c r="W35" s="3520"/>
      <c r="X35" s="1560"/>
      <c r="Y35" s="1582"/>
      <c r="Z35" s="1560"/>
      <c r="AA35" s="1560"/>
      <c r="AB35" s="1560"/>
      <c r="AC35" s="1560"/>
    </row>
    <row r="36" spans="1:29" ht="15.75" thickBot="1">
      <c r="A36" s="615" t="s">
        <v>2756</v>
      </c>
      <c r="B36" s="888"/>
      <c r="C36" s="2635" t="e">
        <f>R37</f>
        <v>#DIV/0!</v>
      </c>
      <c r="D36" s="2636"/>
      <c r="E36" s="2637" t="e">
        <f>R36</f>
        <v>#DIV/0!</v>
      </c>
      <c r="F36" s="2637"/>
      <c r="G36" s="2635" t="e">
        <f>T36</f>
        <v>#DIV/0!</v>
      </c>
      <c r="H36" s="2636"/>
      <c r="I36" s="2637" t="e">
        <f>V36</f>
        <v>#DIV/0!</v>
      </c>
      <c r="J36" s="2636"/>
      <c r="K36" s="1613"/>
      <c r="L36" s="2146"/>
      <c r="M36" s="2147"/>
      <c r="N36" s="2136"/>
      <c r="O36" s="2147"/>
      <c r="P36" s="3448" t="str">
        <f>A36</f>
        <v>比较价格（元/平方米）</v>
      </c>
      <c r="Q36" s="3448"/>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445" t="str">
        <f>A37</f>
        <v>估价对象XX用房的比较价格（楼面单价，元/平方米）</v>
      </c>
      <c r="Q37" s="3446"/>
      <c r="R37" s="3522" t="e">
        <f>IF(F1="售价",ROUND(AVERAGE(R36:V36),0),ROUND(AVERAGE(R36:V36),1))</f>
        <v>#DIV/0!</v>
      </c>
      <c r="S37" s="3522"/>
      <c r="T37" s="3522"/>
      <c r="U37" s="3522"/>
      <c r="V37" s="3522"/>
      <c r="W37" s="352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2553</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2554</v>
      </c>
      <c r="C65" s="2600" t="s">
        <v>2555</v>
      </c>
      <c r="D65" s="2600" t="s">
        <v>2556</v>
      </c>
      <c r="E65" s="2600" t="s">
        <v>2557</v>
      </c>
      <c r="F65" s="2600" t="s">
        <v>2558</v>
      </c>
      <c r="G65" s="2600" t="s">
        <v>2559</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2299</v>
      </c>
      <c r="C1" s="3570" t="s">
        <v>2300</v>
      </c>
      <c r="D1" s="3571"/>
      <c r="E1" s="3571"/>
      <c r="F1" s="3571"/>
      <c r="G1" s="3571"/>
      <c r="H1" s="3571"/>
      <c r="I1" s="3571"/>
      <c r="J1" s="3571"/>
      <c r="K1" s="3571"/>
      <c r="L1" s="3571"/>
      <c r="M1" s="3571"/>
      <c r="N1" s="3571"/>
      <c r="O1" s="3571"/>
      <c r="P1" s="3571"/>
      <c r="Q1" s="3571"/>
      <c r="R1" s="3571"/>
      <c r="S1" s="3572"/>
      <c r="T1" s="2236" t="s">
        <v>2301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2303</v>
      </c>
      <c r="B17" s="2280" t="s">
        <v>2304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567" t="s">
        <v>20</v>
      </c>
      <c r="D22" s="3568"/>
      <c r="E22" s="3568"/>
      <c r="F22" s="3568"/>
      <c r="G22" s="3568"/>
      <c r="H22" s="3568"/>
      <c r="I22" s="3568"/>
      <c r="J22" s="3568"/>
      <c r="K22" s="3568"/>
      <c r="L22" s="3568"/>
      <c r="M22" s="3568"/>
      <c r="N22" s="3568"/>
      <c r="O22" s="3568"/>
      <c r="P22" s="3568"/>
      <c r="Q22" s="3569"/>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2783</v>
      </c>
      <c r="C1" s="3006">
        <f>项目基本情况!D3</f>
        <v>43424</v>
      </c>
      <c r="H1" s="2940">
        <f>IF(C1&gt;C13,0,MATCH(C1,C$13:C$100,-1))+IF(SUMIF(C13:C100,C1,D13:D100)=0,13,12)</f>
        <v>13</v>
      </c>
      <c r="I1" s="2940">
        <f ca="1">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2814</v>
      </c>
      <c r="C2" s="3007">
        <f>'数据-取费表'!B22</f>
        <v>3</v>
      </c>
      <c r="D2" s="3002" t="s">
        <v>2784</v>
      </c>
      <c r="E2" s="3005">
        <f ca="1">INDIRECT("I"&amp;$I$1)/100</f>
        <v>4.7500000000000001E-2</v>
      </c>
      <c r="G2" s="2942"/>
      <c r="H2" s="2942"/>
      <c r="I2" s="2942" t="s">
        <v>2785</v>
      </c>
      <c r="K2" s="2942"/>
      <c r="L2" s="2942"/>
      <c r="M2" s="2942"/>
      <c r="N2" s="2942" t="s">
        <v>2786</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2816</v>
      </c>
      <c r="C3" s="3004">
        <f>'数据-取费表'!B19</f>
        <v>0</v>
      </c>
      <c r="D3" s="3002" t="s">
        <v>2784</v>
      </c>
      <c r="E3" s="3005">
        <f ca="1">INDIRECT("J"&amp;$J$1)/100</f>
        <v>0</v>
      </c>
      <c r="G3" s="2944" t="s">
        <v>2787</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2815</v>
      </c>
      <c r="C4" s="3005">
        <f ca="1">N4/100</f>
        <v>1.4999999999999999E-2</v>
      </c>
      <c r="G4" s="2950" t="s">
        <v>2788</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2789</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2790</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2791</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2792</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2793</v>
      </c>
      <c r="C10" s="2969"/>
      <c r="D10" s="2969"/>
      <c r="E10" s="2969"/>
      <c r="F10" s="2969"/>
      <c r="G10" s="2969"/>
      <c r="H10" s="2969"/>
      <c r="I10" s="2943"/>
      <c r="J10" s="2943"/>
      <c r="K10" s="2969"/>
      <c r="L10" s="2970" t="s">
        <v>2794</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2795</v>
      </c>
      <c r="C11" s="2974" t="s">
        <v>2796</v>
      </c>
      <c r="D11" s="2975" t="s">
        <v>2797</v>
      </c>
      <c r="E11" s="2976"/>
      <c r="F11" s="2975" t="s">
        <v>2798</v>
      </c>
      <c r="G11" s="2977"/>
      <c r="H11" s="2976"/>
      <c r="I11" s="2975" t="s">
        <v>2799</v>
      </c>
      <c r="J11" s="2976"/>
      <c r="K11" s="2972"/>
      <c r="L11" s="2973" t="s">
        <v>2795</v>
      </c>
      <c r="M11" s="2974" t="s">
        <v>2796</v>
      </c>
      <c r="N11" s="2973" t="s">
        <v>2800</v>
      </c>
      <c r="O11" s="2975" t="s">
        <v>2801</v>
      </c>
      <c r="P11" s="2977"/>
      <c r="Q11" s="2977"/>
      <c r="R11" s="2977"/>
      <c r="S11" s="2977"/>
      <c r="T11" s="2976"/>
      <c r="U11" s="2975" t="s">
        <v>2802</v>
      </c>
      <c r="V11" s="2977"/>
      <c r="W11" s="2976"/>
      <c r="X11" s="2973" t="s">
        <v>2803</v>
      </c>
      <c r="Y11" s="2973" t="s">
        <v>2804</v>
      </c>
      <c r="Z11" s="2973" t="s">
        <v>2805</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2806</v>
      </c>
      <c r="E12" s="2982" t="s">
        <v>2807</v>
      </c>
      <c r="F12" s="2982" t="s">
        <v>2808</v>
      </c>
      <c r="G12" s="2982" t="s">
        <v>2809</v>
      </c>
      <c r="H12" s="2982" t="s">
        <v>2791</v>
      </c>
      <c r="I12" s="2983" t="s">
        <v>2810</v>
      </c>
      <c r="J12" s="2983" t="s">
        <v>2810</v>
      </c>
      <c r="K12" s="2979"/>
      <c r="L12" s="2980"/>
      <c r="M12" s="2981"/>
      <c r="N12" s="2980"/>
      <c r="O12" s="2983" t="s">
        <v>2811</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2812</v>
      </c>
      <c r="C13" s="2987">
        <v>42301</v>
      </c>
      <c r="D13" s="2988">
        <v>4.3499999999999996</v>
      </c>
      <c r="E13" s="2988">
        <v>4.3499999999999996</v>
      </c>
      <c r="F13" s="2988">
        <v>4.75</v>
      </c>
      <c r="G13" s="2988">
        <v>4.75</v>
      </c>
      <c r="H13" s="2988">
        <v>4.9000000000000004</v>
      </c>
      <c r="I13" s="2988">
        <v>2.75</v>
      </c>
      <c r="J13" s="2988">
        <v>3.25</v>
      </c>
      <c r="K13" s="2985"/>
      <c r="L13" s="2986" t="s">
        <v>2812</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2813</v>
      </c>
      <c r="Y42" s="2992" t="s">
        <v>2813</v>
      </c>
      <c r="Z42" s="2992" t="s">
        <v>2813</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2813</v>
      </c>
      <c r="Y43" s="2992" t="s">
        <v>2813</v>
      </c>
      <c r="Z43" s="2992" t="s">
        <v>2813</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2813</v>
      </c>
      <c r="Y44" s="2992" t="s">
        <v>2813</v>
      </c>
      <c r="Z44" s="2992" t="s">
        <v>2813</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2813</v>
      </c>
      <c r="Y45" s="2992" t="s">
        <v>2813</v>
      </c>
      <c r="Z45" s="2992" t="s">
        <v>2813</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2813</v>
      </c>
      <c r="Y46" s="2992" t="s">
        <v>2813</v>
      </c>
      <c r="Z46" s="2992" t="s">
        <v>2813</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2813</v>
      </c>
      <c r="Y47" s="2992" t="s">
        <v>2813</v>
      </c>
      <c r="Z47" s="2992" t="s">
        <v>2813</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2813</v>
      </c>
      <c r="Y48" s="2992" t="s">
        <v>2813</v>
      </c>
      <c r="Z48" s="2992" t="s">
        <v>2813</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2813</v>
      </c>
      <c r="Y49" s="2992" t="s">
        <v>2813</v>
      </c>
      <c r="Z49" s="2992" t="s">
        <v>2813</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2813</v>
      </c>
      <c r="Y50" s="2992" t="s">
        <v>2813</v>
      </c>
      <c r="Z50" s="2992" t="s">
        <v>2813</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2813</v>
      </c>
      <c r="V51" s="2992" t="s">
        <v>2813</v>
      </c>
      <c r="W51" s="2992" t="s">
        <v>2813</v>
      </c>
      <c r="X51" s="2992" t="s">
        <v>2813</v>
      </c>
      <c r="Y51" s="2992" t="s">
        <v>2813</v>
      </c>
      <c r="Z51" s="2992" t="s">
        <v>2813</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2813</v>
      </c>
      <c r="J55" s="2992" t="s">
        <v>2813</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E13" activeCellId="1" sqref="E7:E9 E13"/>
    </sheetView>
  </sheetViews>
  <sheetFormatPr defaultRowHeight="13.5"/>
  <cols>
    <col min="1" max="3" width="9" style="3207"/>
    <col min="4" max="4" width="14.625" style="3207" customWidth="1"/>
    <col min="5" max="16384" width="9" style="3207"/>
  </cols>
  <sheetData>
    <row r="1" spans="1:5">
      <c r="B1" s="3208" t="s">
        <v>3050</v>
      </c>
      <c r="C1" s="3208" t="s">
        <v>3051</v>
      </c>
    </row>
    <row r="2" spans="1:5">
      <c r="A2" s="3208" t="s">
        <v>3052</v>
      </c>
      <c r="B2" s="3207">
        <f>E14+E11*0.3</f>
        <v>50371.5</v>
      </c>
      <c r="C2" s="3207">
        <v>15300</v>
      </c>
      <c r="D2" s="3207">
        <f>B2*C2</f>
        <v>770683950</v>
      </c>
    </row>
    <row r="3" spans="1:5">
      <c r="A3" s="3208" t="s">
        <v>3053</v>
      </c>
      <c r="B3" s="3207">
        <f>E7+E8+E9+E13</f>
        <v>292155</v>
      </c>
      <c r="C3" s="3207">
        <v>8900</v>
      </c>
      <c r="D3" s="3207">
        <f>B3*C3</f>
        <v>2600179500</v>
      </c>
    </row>
    <row r="4" spans="1:5">
      <c r="B4" s="3209">
        <f>B2+B3</f>
        <v>342526.5</v>
      </c>
      <c r="C4" s="3207">
        <f>D4/B4</f>
        <v>9841.1756462638659</v>
      </c>
      <c r="D4" s="3209">
        <f>D2+D3</f>
        <v>3370863450</v>
      </c>
    </row>
    <row r="6" spans="1:5">
      <c r="A6" s="3210" t="s">
        <v>3054</v>
      </c>
      <c r="B6" s="3210" t="s">
        <v>3055</v>
      </c>
      <c r="C6" s="3210" t="s">
        <v>3056</v>
      </c>
      <c r="D6" s="3210" t="s">
        <v>3057</v>
      </c>
      <c r="E6" s="3210" t="s">
        <v>3058</v>
      </c>
    </row>
    <row r="7" spans="1:5">
      <c r="A7" s="3211">
        <v>6076</v>
      </c>
      <c r="B7" s="3210" t="s">
        <v>3059</v>
      </c>
      <c r="C7" s="3211">
        <v>42064</v>
      </c>
      <c r="D7" s="3211">
        <v>2.2999999999999998</v>
      </c>
      <c r="E7" s="3211">
        <v>96747</v>
      </c>
    </row>
    <row r="8" spans="1:5">
      <c r="A8" s="3211">
        <v>6077</v>
      </c>
      <c r="B8" s="3210" t="s">
        <v>3059</v>
      </c>
      <c r="C8" s="3211">
        <v>36139.5</v>
      </c>
      <c r="D8" s="3211">
        <v>2.2999999999999998</v>
      </c>
      <c r="E8" s="3211">
        <v>83121</v>
      </c>
    </row>
    <row r="9" spans="1:5">
      <c r="A9" s="3211">
        <v>6078</v>
      </c>
      <c r="B9" s="3210" t="s">
        <v>3059</v>
      </c>
      <c r="C9" s="3211">
        <v>26471.29</v>
      </c>
      <c r="D9" s="3211">
        <v>2.2999999999999998</v>
      </c>
      <c r="E9" s="3211">
        <v>60884</v>
      </c>
    </row>
    <row r="10" spans="1:5">
      <c r="A10" s="3211">
        <v>6080</v>
      </c>
      <c r="B10" s="3210" t="s">
        <v>3060</v>
      </c>
      <c r="C10" s="3211"/>
      <c r="D10" s="3211"/>
      <c r="E10" s="3211"/>
    </row>
    <row r="11" spans="1:5">
      <c r="A11" s="3212">
        <v>6081</v>
      </c>
      <c r="B11" s="3213" t="s">
        <v>3061</v>
      </c>
      <c r="C11" s="3211">
        <v>9183.9</v>
      </c>
      <c r="D11" s="3211">
        <v>2.8</v>
      </c>
      <c r="E11" s="3211">
        <v>25715</v>
      </c>
    </row>
    <row r="12" spans="1:5">
      <c r="A12" s="3211">
        <v>6083</v>
      </c>
      <c r="B12" s="3210" t="s">
        <v>3062</v>
      </c>
      <c r="C12" s="3211"/>
      <c r="D12" s="3211"/>
      <c r="E12" s="3211"/>
    </row>
    <row r="13" spans="1:5">
      <c r="A13" s="3211">
        <v>6084</v>
      </c>
      <c r="B13" s="3210" t="s">
        <v>3059</v>
      </c>
      <c r="C13" s="3211">
        <v>23364.85</v>
      </c>
      <c r="D13" s="3211">
        <v>2.2000000000000002</v>
      </c>
      <c r="E13" s="3211">
        <v>51403</v>
      </c>
    </row>
    <row r="14" spans="1:5">
      <c r="A14" s="3212">
        <v>6085</v>
      </c>
      <c r="B14" s="3213" t="s">
        <v>3063</v>
      </c>
      <c r="C14" s="3211">
        <v>19389.439999999999</v>
      </c>
      <c r="D14" s="3211">
        <v>2.2000000000000002</v>
      </c>
      <c r="E14" s="3211">
        <v>42657</v>
      </c>
    </row>
    <row r="15" spans="1:5">
      <c r="A15" s="3212">
        <v>6086</v>
      </c>
      <c r="B15" s="3213" t="s">
        <v>3064</v>
      </c>
      <c r="C15" s="3211">
        <v>14364.09</v>
      </c>
      <c r="D15" s="3211">
        <v>3</v>
      </c>
      <c r="E15" s="3211">
        <v>43092</v>
      </c>
    </row>
    <row r="16" spans="1:5">
      <c r="A16" s="3211"/>
      <c r="B16" s="3211"/>
      <c r="C16" s="3210">
        <f>C7+C8+C9+C11+C13+C14+C15</f>
        <v>170977.07</v>
      </c>
      <c r="D16" s="3211">
        <f>E16/C16</f>
        <v>2.3606615787719369</v>
      </c>
      <c r="E16" s="3210">
        <f>E7+E8+E9+E11+E13+E14+E15</f>
        <v>403619</v>
      </c>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G2" sqref="G2"/>
    </sheetView>
  </sheetViews>
  <sheetFormatPr defaultRowHeight="18.75"/>
  <cols>
    <col min="1" max="1" width="34.125" style="3203" customWidth="1"/>
    <col min="2" max="3" width="17.75" style="3203" customWidth="1"/>
    <col min="4" max="4" width="17.75" style="2" customWidth="1"/>
    <col min="5" max="5" width="11.625" style="2" customWidth="1"/>
    <col min="6" max="16384" width="9" style="2"/>
  </cols>
  <sheetData>
    <row r="1" spans="1:5" ht="30.75" customHeight="1">
      <c r="A1" s="3573" t="s">
        <v>3008</v>
      </c>
      <c r="B1" s="3573"/>
      <c r="C1" s="3573"/>
      <c r="D1" s="3573"/>
    </row>
    <row r="2" spans="1:5" ht="33.75" customHeight="1">
      <c r="A2" s="3193"/>
      <c r="B2" s="3193" t="s">
        <v>3009</v>
      </c>
      <c r="C2" s="3193" t="s">
        <v>3010</v>
      </c>
      <c r="D2" s="3193" t="s">
        <v>3011</v>
      </c>
      <c r="E2" s="3194" t="s">
        <v>3012</v>
      </c>
    </row>
    <row r="3" spans="1:5" ht="26.25" customHeight="1">
      <c r="A3" s="3193" t="s">
        <v>3013</v>
      </c>
      <c r="B3" s="3193">
        <v>3000</v>
      </c>
      <c r="C3" s="3193">
        <v>70000</v>
      </c>
      <c r="D3" s="3193">
        <f>ROUND(B3*C3/10000,2)</f>
        <v>21000</v>
      </c>
    </row>
    <row r="4" spans="1:5" ht="26.25" customHeight="1">
      <c r="A4" s="3193" t="s">
        <v>3014</v>
      </c>
      <c r="B4" s="3193">
        <v>3500</v>
      </c>
      <c r="C4" s="3193">
        <v>30000</v>
      </c>
      <c r="D4" s="3193">
        <f t="shared" ref="D4:D5" si="0">ROUND(B4*C4/10000,2)</f>
        <v>10500</v>
      </c>
    </row>
    <row r="5" spans="1:5" ht="26.25" customHeight="1">
      <c r="A5" s="3193" t="s">
        <v>3015</v>
      </c>
      <c r="B5" s="3193">
        <v>3400</v>
      </c>
      <c r="C5" s="3193" t="s">
        <v>3016</v>
      </c>
      <c r="D5" s="3193" t="e">
        <f t="shared" si="0"/>
        <v>#VALUE!</v>
      </c>
    </row>
    <row r="6" spans="1:5" s="3196" customFormat="1" ht="26.25" customHeight="1">
      <c r="A6" s="3195" t="s">
        <v>3017</v>
      </c>
      <c r="B6" s="3195" t="s">
        <v>3018</v>
      </c>
      <c r="C6" s="3195" t="s">
        <v>3018</v>
      </c>
      <c r="D6" s="3195" t="s">
        <v>3018</v>
      </c>
    </row>
    <row r="7" spans="1:5" ht="26.25" customHeight="1">
      <c r="A7" s="3193" t="s">
        <v>3019</v>
      </c>
      <c r="B7" s="3193"/>
      <c r="C7" s="3193"/>
      <c r="D7" s="3193" t="e">
        <f>SUM(D3:D5)</f>
        <v>#VALUE!</v>
      </c>
    </row>
    <row r="8" spans="1:5" ht="26.25" customHeight="1">
      <c r="A8" s="3197"/>
      <c r="B8" s="3197"/>
      <c r="C8" s="3197"/>
      <c r="D8" s="3198"/>
    </row>
    <row r="9" spans="1:5" ht="33.75" customHeight="1">
      <c r="A9" s="3193"/>
      <c r="B9" s="3193" t="s">
        <v>3009</v>
      </c>
      <c r="C9" s="3193" t="s">
        <v>3010</v>
      </c>
      <c r="D9" s="3193" t="s">
        <v>3011</v>
      </c>
    </row>
    <row r="10" spans="1:5" ht="26.25" customHeight="1">
      <c r="A10" s="3193" t="s">
        <v>3020</v>
      </c>
      <c r="B10" s="3193">
        <f>ROUND(B3/4,0)</f>
        <v>750</v>
      </c>
      <c r="C10" s="3193">
        <f>C3</f>
        <v>70000</v>
      </c>
      <c r="D10" s="3193">
        <f t="shared" ref="D10:D12" si="1">ROUND(B10*C10/10000,2)</f>
        <v>5250</v>
      </c>
    </row>
    <row r="11" spans="1:5" ht="26.25" customHeight="1">
      <c r="A11" s="3193" t="s">
        <v>3021</v>
      </c>
      <c r="B11" s="3193">
        <f t="shared" ref="B11:B12" si="2">ROUND(B4/4,0)</f>
        <v>875</v>
      </c>
      <c r="C11" s="3193">
        <f>C4</f>
        <v>30000</v>
      </c>
      <c r="D11" s="3193">
        <f t="shared" si="1"/>
        <v>2625</v>
      </c>
    </row>
    <row r="12" spans="1:5" ht="26.25" customHeight="1">
      <c r="A12" s="3193" t="s">
        <v>3022</v>
      </c>
      <c r="B12" s="3193">
        <f t="shared" si="2"/>
        <v>850</v>
      </c>
      <c r="C12" s="3193" t="str">
        <f>C5</f>
        <v>-</v>
      </c>
      <c r="D12" s="3193" t="e">
        <f t="shared" si="1"/>
        <v>#VALUE!</v>
      </c>
    </row>
    <row r="13" spans="1:5" s="3196" customFormat="1" ht="26.25" customHeight="1">
      <c r="A13" s="3195" t="s">
        <v>3023</v>
      </c>
      <c r="B13" s="3195" t="s">
        <v>3018</v>
      </c>
      <c r="C13" s="3195" t="s">
        <v>3018</v>
      </c>
      <c r="D13" s="3195" t="s">
        <v>3018</v>
      </c>
    </row>
    <row r="14" spans="1:5" ht="26.25" customHeight="1">
      <c r="A14" s="3193" t="s">
        <v>3024</v>
      </c>
      <c r="B14" s="3193"/>
      <c r="C14" s="3193"/>
      <c r="D14" s="3193" t="e">
        <f>SUM(D10:D12)</f>
        <v>#VALUE!</v>
      </c>
    </row>
    <row r="15" spans="1:5" ht="38.25" customHeight="1">
      <c r="A15" s="3574" t="s">
        <v>3025</v>
      </c>
      <c r="B15" s="3575"/>
      <c r="C15" s="3575"/>
      <c r="D15" s="3575"/>
    </row>
    <row r="16" spans="1:5" ht="38.25" customHeight="1">
      <c r="A16" s="3576" t="s">
        <v>3026</v>
      </c>
      <c r="B16" s="3577"/>
      <c r="C16" s="3577"/>
      <c r="D16" s="3577"/>
    </row>
    <row r="17" spans="1:4" ht="14.25">
      <c r="A17" s="3199"/>
      <c r="B17" s="3200"/>
      <c r="C17" s="3200"/>
      <c r="D17" s="3200"/>
    </row>
    <row r="18" spans="1:4">
      <c r="A18" s="3578" t="s">
        <v>3027</v>
      </c>
      <c r="B18" s="3578"/>
      <c r="C18" s="3578"/>
      <c r="D18" s="3578"/>
    </row>
    <row r="19" spans="1:4" ht="13.5">
      <c r="A19" s="3579" t="s">
        <v>3028</v>
      </c>
      <c r="B19" s="3579"/>
      <c r="C19" s="3579"/>
      <c r="D19" s="3579"/>
    </row>
    <row r="20" spans="1:4" ht="13.5">
      <c r="A20" s="3579"/>
      <c r="B20" s="3579"/>
      <c r="C20" s="3579"/>
      <c r="D20" s="3579"/>
    </row>
    <row r="21" spans="1:4" ht="13.5">
      <c r="A21" s="3579"/>
      <c r="B21" s="3579"/>
      <c r="C21" s="3579"/>
      <c r="D21" s="3579"/>
    </row>
    <row r="22" spans="1:4" ht="13.5">
      <c r="A22" s="3579"/>
      <c r="B22" s="3579"/>
      <c r="C22" s="3579"/>
      <c r="D22" s="3579"/>
    </row>
    <row r="23" spans="1:4" ht="13.5">
      <c r="A23" s="3579"/>
      <c r="B23" s="3579"/>
      <c r="C23" s="3579"/>
      <c r="D23" s="3579"/>
    </row>
    <row r="24" spans="1:4" ht="13.5">
      <c r="A24" s="3579"/>
      <c r="B24" s="3579"/>
      <c r="C24" s="3579"/>
      <c r="D24" s="3579"/>
    </row>
    <row r="25" spans="1:4" ht="13.5">
      <c r="A25" s="3579"/>
      <c r="B25" s="3579"/>
      <c r="C25" s="3579"/>
      <c r="D25" s="3579"/>
    </row>
    <row r="26" spans="1:4">
      <c r="A26" s="3201"/>
      <c r="B26" s="3201"/>
      <c r="C26" s="3201"/>
      <c r="D26" s="3202"/>
    </row>
    <row r="27" spans="1:4">
      <c r="A27" s="3201"/>
      <c r="B27" s="3201"/>
      <c r="C27" s="3201"/>
      <c r="D27" s="3202"/>
    </row>
  </sheetData>
  <mergeCells count="5">
    <mergeCell ref="A1:D1"/>
    <mergeCell ref="A15:D15"/>
    <mergeCell ref="A16:D16"/>
    <mergeCell ref="A18:D18"/>
    <mergeCell ref="A19:D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5" t="s">
        <v>2034</v>
      </c>
      <c r="B1" s="3275"/>
      <c r="C1" s="3275"/>
      <c r="D1" s="3275"/>
      <c r="E1" s="3275"/>
      <c r="F1" s="3275"/>
      <c r="G1" s="3275"/>
      <c r="H1" s="3275"/>
      <c r="I1" s="3275"/>
      <c r="J1" s="3275"/>
      <c r="K1" s="3275"/>
      <c r="L1" s="3275"/>
      <c r="M1" s="3275"/>
      <c r="N1" s="3275"/>
      <c r="O1" s="3275"/>
      <c r="P1" s="3275"/>
      <c r="Q1" s="3275"/>
      <c r="R1" s="3275"/>
    </row>
    <row r="2" spans="1:18">
      <c r="A2" s="1809" t="s">
        <v>2036</v>
      </c>
      <c r="B2" s="1809"/>
      <c r="C2" s="1809"/>
      <c r="D2" s="1809"/>
      <c r="E2" s="1809"/>
      <c r="F2" s="1809"/>
      <c r="G2" s="1809"/>
      <c r="H2" s="1809"/>
      <c r="I2" s="1810"/>
      <c r="J2" s="1810"/>
      <c r="K2" s="1811" t="str">
        <f>"估价期日："&amp;TEXT(项目基本情况!D3,"yyyy年m月d日;;")</f>
        <v>估价期日：2018年11月20日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76" t="s">
        <v>2025</v>
      </c>
      <c r="B3" s="3276" t="s">
        <v>2727</v>
      </c>
      <c r="C3" s="3277" t="s">
        <v>2026</v>
      </c>
      <c r="D3" s="3276" t="s">
        <v>2731</v>
      </c>
      <c r="E3" s="3279" t="s">
        <v>2027</v>
      </c>
      <c r="F3" s="3279"/>
      <c r="G3" s="3279"/>
      <c r="H3" s="3279" t="s">
        <v>2028</v>
      </c>
      <c r="I3" s="3279"/>
      <c r="J3" s="3279"/>
      <c r="K3" s="3277" t="s">
        <v>2029</v>
      </c>
      <c r="L3" s="3277" t="s">
        <v>2030</v>
      </c>
      <c r="M3" s="3276" t="s">
        <v>2728</v>
      </c>
      <c r="N3" s="3278" t="str">
        <f>"（分摊）"&amp;项目基本情况!B16&amp;"国有建设用地使用权面积/㎡"</f>
        <v>（分摊）出让国有建设用地使用权面积/㎡</v>
      </c>
      <c r="O3" s="3276" t="s">
        <v>2059</v>
      </c>
      <c r="P3" s="3277" t="s">
        <v>2039</v>
      </c>
      <c r="Q3" s="3277" t="s">
        <v>2060</v>
      </c>
      <c r="R3" s="3277" t="s">
        <v>2031</v>
      </c>
    </row>
    <row r="4" spans="1:18" ht="36.75" customHeight="1">
      <c r="A4" s="3276"/>
      <c r="B4" s="3276"/>
      <c r="C4" s="3277"/>
      <c r="D4" s="3276"/>
      <c r="E4" s="2651" t="s">
        <v>2038</v>
      </c>
      <c r="F4" s="2651" t="s">
        <v>2740</v>
      </c>
      <c r="G4" s="2651" t="s">
        <v>2032</v>
      </c>
      <c r="H4" s="2651" t="s">
        <v>2033</v>
      </c>
      <c r="I4" s="2651" t="s">
        <v>2741</v>
      </c>
      <c r="J4" s="2651" t="s">
        <v>2032</v>
      </c>
      <c r="K4" s="3277"/>
      <c r="L4" s="3277"/>
      <c r="M4" s="3276"/>
      <c r="N4" s="3278"/>
      <c r="O4" s="3276"/>
      <c r="P4" s="3277"/>
      <c r="Q4" s="3277"/>
      <c r="R4" s="3277"/>
    </row>
    <row r="5" spans="1:18" ht="135" customHeight="1">
      <c r="A5" s="1945" t="s">
        <v>2651</v>
      </c>
      <c r="B5" s="2869" t="s">
        <v>2649</v>
      </c>
      <c r="C5" s="2650">
        <v>22</v>
      </c>
      <c r="D5" s="2649" t="s">
        <v>2650</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128587.91</v>
      </c>
      <c r="O5" s="1812">
        <f>项目基本情况!C21</f>
        <v>292155</v>
      </c>
      <c r="P5" s="1812">
        <f ca="1">结果表!E42</f>
        <v>19799</v>
      </c>
      <c r="Q5" s="1812">
        <f ca="1">结果表!D42</f>
        <v>8714</v>
      </c>
      <c r="R5" s="1813">
        <f ca="1">结果表!C42</f>
        <v>254587</v>
      </c>
    </row>
    <row r="6" spans="1:18">
      <c r="A6" s="3272" t="str">
        <f>IF(项目基本情况!B9="市场价格","——","抵押价格")</f>
        <v>——</v>
      </c>
      <c r="B6" s="3273"/>
      <c r="C6" s="3273"/>
      <c r="D6" s="3273"/>
      <c r="E6" s="3273"/>
      <c r="F6" s="3273"/>
      <c r="G6" s="3273"/>
      <c r="H6" s="3273"/>
      <c r="I6" s="3273"/>
      <c r="J6" s="3273"/>
      <c r="K6" s="3273"/>
      <c r="L6" s="3273"/>
      <c r="M6" s="3273"/>
      <c r="N6" s="3273"/>
      <c r="O6" s="3273"/>
      <c r="P6" s="3273"/>
      <c r="Q6" s="3274"/>
      <c r="R6" s="1814" t="str">
        <f>结果表!O39</f>
        <v>——</v>
      </c>
    </row>
    <row r="7" spans="1:18">
      <c r="A7" s="3272" t="str">
        <f>IF(项目基本情况!B9="市场价格","——",IF(项目基本情况!E8="已注销及未注销","抵押担保权已注销时的抵押价格","——"))</f>
        <v>——</v>
      </c>
      <c r="B7" s="3273"/>
      <c r="C7" s="3273"/>
      <c r="D7" s="3273"/>
      <c r="E7" s="3273"/>
      <c r="F7" s="3273"/>
      <c r="G7" s="3273"/>
      <c r="H7" s="3273"/>
      <c r="I7" s="3273"/>
      <c r="J7" s="3273"/>
      <c r="K7" s="3273"/>
      <c r="L7" s="3273"/>
      <c r="M7" s="3273"/>
      <c r="N7" s="3273"/>
      <c r="O7" s="3273"/>
      <c r="P7" s="3273"/>
      <c r="Q7" s="3274"/>
      <c r="R7" s="1814" t="str">
        <f>结果表!O40</f>
        <v>——</v>
      </c>
    </row>
    <row r="8" spans="1:18">
      <c r="A8" s="3272" t="str">
        <f>IF(项目基本情况!B9="市场价格","——",项目基本情况!E9)</f>
        <v>——</v>
      </c>
      <c r="B8" s="3273"/>
      <c r="C8" s="3273"/>
      <c r="D8" s="3273"/>
      <c r="E8" s="3273"/>
      <c r="F8" s="3273"/>
      <c r="G8" s="3273"/>
      <c r="H8" s="3273"/>
      <c r="I8" s="3273"/>
      <c r="J8" s="3273"/>
      <c r="K8" s="3273"/>
      <c r="L8" s="3273"/>
      <c r="M8" s="3273"/>
      <c r="N8" s="3273"/>
      <c r="O8" s="3273"/>
      <c r="P8" s="3273"/>
      <c r="Q8" s="3274"/>
      <c r="R8" s="1814" t="str">
        <f>结果表!O41</f>
        <v>——</v>
      </c>
    </row>
    <row r="9" spans="1:18">
      <c r="A9" s="1815" t="s">
        <v>2037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81" t="s">
        <v>2061</v>
      </c>
      <c r="B1" s="3281"/>
      <c r="C1" s="3281"/>
      <c r="D1" s="3281"/>
    </row>
    <row r="2" spans="1:4" ht="47.25" customHeight="1">
      <c r="A2" s="3282" t="str">
        <f>"1.权利限制："&amp;项目基本情况!L24&amp;"未设定租赁等其他他项权利。"</f>
        <v>1.权利限制：根据估价对象《不动产权证书》原件、《国有土地使用权》复印件，截至估价期日，估价对象抵押权未见登记。未设定租赁等其他他项权利。</v>
      </c>
      <c r="B2" s="3282"/>
      <c r="C2" s="3282"/>
      <c r="D2" s="3282"/>
    </row>
    <row r="3" spans="1:4" ht="48" customHeight="1">
      <c r="A3" s="32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1"/>
      <c r="C3" s="3281"/>
      <c r="D3" s="3281"/>
    </row>
    <row r="4" spans="1:4" ht="36.75" customHeight="1">
      <c r="A4" s="3281" t="str">
        <f>"3.估价规划限制条件：详见"&amp;项目基本情况!E21&amp;"。"</f>
        <v>3.估价规划限制条件：详见《建设工程规划许可证》[]、《出让合同》[]。</v>
      </c>
      <c r="B4" s="3281"/>
      <c r="C4" s="3281"/>
      <c r="D4" s="3281"/>
    </row>
    <row r="5" spans="1:4">
      <c r="A5" s="3280" t="s">
        <v>2062</v>
      </c>
      <c r="B5" s="3280"/>
      <c r="C5" s="3280"/>
      <c r="D5" s="3280"/>
    </row>
    <row r="6" spans="1:4">
      <c r="A6" s="3281" t="s">
        <v>2040</v>
      </c>
      <c r="B6" s="3281"/>
      <c r="C6" s="3281"/>
      <c r="D6" s="3281"/>
    </row>
    <row r="7" spans="1:4" ht="33" customHeight="1">
      <c r="A7" s="3281" t="s">
        <v>2571</v>
      </c>
      <c r="B7" s="3281"/>
      <c r="C7" s="3281"/>
      <c r="D7" s="3281"/>
    </row>
    <row r="8" spans="1:4" ht="32.25" customHeight="1">
      <c r="A8" s="32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1"/>
      <c r="C8" s="3281"/>
      <c r="D8" s="3281"/>
    </row>
    <row r="9" spans="1:4" ht="33.75" customHeight="1">
      <c r="A9" s="3281" t="str">
        <f>IF(项目基本情况!B8="抵押","3.抵押双方在办理抵押登记手续时，应使用本公司出具的正式《土地估价报告》，特提请报告使用者注意。","——")</f>
        <v>——</v>
      </c>
      <c r="B9" s="3281"/>
      <c r="C9" s="3281"/>
      <c r="D9" s="3281"/>
    </row>
    <row r="10" spans="1:4">
      <c r="A10" s="3281" t="str">
        <f>IF(项目基本情况!B8="抵押","4.估价师所知悉的法定优先受偿款情况为：","——")</f>
        <v>——</v>
      </c>
      <c r="B10" s="3281"/>
      <c r="C10" s="3281"/>
      <c r="D10" s="3281"/>
    </row>
    <row r="11" spans="1:4" ht="37.5" customHeight="1">
      <c r="A11" s="3283" t="str">
        <f>IF(项目基本情况!B8="抵押","（1）"&amp;CONCATENATE(项目基本情况!L24,项目基本情况!L25,项目基本情况!L26),"——")</f>
        <v>——</v>
      </c>
      <c r="B11" s="3283"/>
      <c r="C11" s="3283"/>
      <c r="D11" s="3283"/>
    </row>
    <row r="12" spans="1:4" ht="168" customHeight="1">
      <c r="A12" s="3280" t="s">
        <v>2064</v>
      </c>
      <c r="B12" s="3280"/>
      <c r="C12" s="3280"/>
      <c r="D12" s="3280"/>
    </row>
    <row r="13" spans="1:4">
      <c r="A13" s="3284" t="s">
        <v>2742</v>
      </c>
      <c r="B13" s="3284"/>
      <c r="C13" s="3284"/>
      <c r="D13" s="3284"/>
    </row>
    <row r="14" spans="1:4">
      <c r="A14" s="3283" t="str">
        <f>IF(项目基本情况!B8="抵押","综上，"&amp;结果表!K47,"——")</f>
        <v>——</v>
      </c>
      <c r="B14" s="3283"/>
      <c r="C14" s="3283"/>
      <c r="D14" s="3283"/>
    </row>
    <row r="15" spans="1:4" ht="58.5" customHeight="1">
      <c r="A15" s="32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1"/>
      <c r="C15" s="3281"/>
      <c r="D15" s="3281"/>
    </row>
    <row r="16" spans="1:4" ht="70.5" customHeight="1">
      <c r="A16" s="32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1"/>
      <c r="C16" s="3281"/>
      <c r="D16" s="3281"/>
    </row>
    <row r="17" spans="1:4">
      <c r="A17" s="3281" t="s">
        <v>2698</v>
      </c>
      <c r="B17" s="3281"/>
      <c r="C17" s="3281"/>
      <c r="D17" s="3281"/>
    </row>
    <row r="18" spans="1:4">
      <c r="A18" s="3281" t="s">
        <v>2690</v>
      </c>
      <c r="B18" s="3281"/>
      <c r="C18" s="3281"/>
      <c r="D18" s="3281"/>
    </row>
    <row r="19" spans="1:4">
      <c r="A19" s="2870" t="s">
        <v>2691</v>
      </c>
      <c r="B19" s="2870" t="s">
        <v>2692</v>
      </c>
      <c r="C19" s="2870" t="s">
        <v>2693</v>
      </c>
      <c r="D19" s="2870" t="s">
        <v>2694</v>
      </c>
    </row>
    <row r="20" spans="1:4">
      <c r="A20" s="2870" t="str">
        <f>项目基本情况!B4</f>
        <v>陈颖</v>
      </c>
      <c r="B20" s="2870">
        <f ca="1">项目基本情况!C4</f>
        <v>2004110096</v>
      </c>
      <c r="C20" s="2872"/>
      <c r="D20" s="1802" t="s">
        <v>2699</v>
      </c>
    </row>
    <row r="21" spans="1:4">
      <c r="A21" s="2870" t="str">
        <f>项目基本情况!D4</f>
        <v>叶凌</v>
      </c>
      <c r="B21" s="2870">
        <f ca="1">项目基本情况!E4</f>
        <v>94010078</v>
      </c>
      <c r="C21" s="2872"/>
      <c r="D21" s="1802" t="s">
        <v>2700</v>
      </c>
    </row>
    <row r="23" spans="1:4">
      <c r="A23" s="3281" t="s">
        <v>2695</v>
      </c>
      <c r="B23" s="3281"/>
      <c r="C23" s="3281"/>
      <c r="D23" s="3281"/>
    </row>
    <row r="24" spans="1:4">
      <c r="A24" s="2870" t="s">
        <v>2691</v>
      </c>
      <c r="B24" s="2870" t="s">
        <v>2696</v>
      </c>
      <c r="C24" s="2870" t="s">
        <v>2693</v>
      </c>
      <c r="D24" s="2870" t="s">
        <v>2694</v>
      </c>
    </row>
    <row r="25" spans="1:4">
      <c r="A25" s="2873" t="s">
        <v>2697</v>
      </c>
      <c r="B25" s="2870" t="s">
        <v>949</v>
      </c>
      <c r="C25" s="2872"/>
      <c r="D25" s="1802" t="s">
        <v>2700</v>
      </c>
    </row>
    <row r="29" spans="1:4">
      <c r="D29" s="2871" t="s">
        <v>2035</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292" t="s">
        <v>53</v>
      </c>
      <c r="B15" s="3293" t="s">
        <v>843</v>
      </c>
      <c r="C15" s="3289"/>
    </row>
    <row r="16" spans="1:7" ht="14.25">
      <c r="A16" s="3292"/>
      <c r="B16" s="3290" t="s">
        <v>54</v>
      </c>
      <c r="C16" s="1172" t="s">
        <v>53</v>
      </c>
    </row>
    <row r="17" spans="1:3" ht="14.25">
      <c r="A17" s="3292"/>
      <c r="B17" s="3290"/>
      <c r="C17" s="1172" t="s">
        <v>55</v>
      </c>
    </row>
    <row r="18" spans="1:3" ht="14.25">
      <c r="A18" s="3292"/>
      <c r="B18" s="3290"/>
      <c r="C18" s="1172" t="s">
        <v>56</v>
      </c>
    </row>
    <row r="19" spans="1:3" ht="14.25">
      <c r="A19" s="3292"/>
      <c r="B19" s="3288" t="s">
        <v>57</v>
      </c>
      <c r="C19" s="3289"/>
    </row>
    <row r="20" spans="1:3" ht="14.25">
      <c r="A20" s="1173" t="s">
        <v>58</v>
      </c>
      <c r="B20" s="1174"/>
      <c r="C20" s="1175"/>
    </row>
    <row r="21" spans="1:3" ht="14.25">
      <c r="A21" s="3291" t="s">
        <v>59</v>
      </c>
      <c r="B21" s="3288" t="s">
        <v>60</v>
      </c>
      <c r="C21" s="3289"/>
    </row>
    <row r="22" spans="1:3" ht="14.25">
      <c r="A22" s="3291"/>
      <c r="B22" s="3288" t="s">
        <v>61</v>
      </c>
      <c r="C22" s="3289"/>
    </row>
    <row r="23" spans="1:3" ht="14.25">
      <c r="A23" s="3291"/>
      <c r="B23" s="3288" t="s">
        <v>62</v>
      </c>
      <c r="C23" s="3289"/>
    </row>
    <row r="24" spans="1:3" ht="14.25">
      <c r="A24" s="3291"/>
      <c r="B24" s="3294" t="s">
        <v>63</v>
      </c>
      <c r="C24" s="1176" t="s">
        <v>834</v>
      </c>
    </row>
    <row r="25" spans="1:3" ht="14.25">
      <c r="A25" s="3291"/>
      <c r="B25" s="3295"/>
      <c r="C25" s="1176" t="s">
        <v>835</v>
      </c>
    </row>
    <row r="26" spans="1:3" ht="14.25">
      <c r="A26" s="3291"/>
      <c r="B26" s="3295"/>
      <c r="C26" s="1176" t="s">
        <v>836</v>
      </c>
    </row>
    <row r="27" spans="1:3" ht="14.25">
      <c r="A27" s="3291"/>
      <c r="B27" s="3295"/>
      <c r="C27" s="1176" t="s">
        <v>837</v>
      </c>
    </row>
    <row r="28" spans="1:3" ht="14.25">
      <c r="A28" s="3291"/>
      <c r="B28" s="3295"/>
      <c r="C28" s="1176" t="s">
        <v>838</v>
      </c>
    </row>
    <row r="29" spans="1:3" ht="14.25">
      <c r="A29" s="3291"/>
      <c r="B29" s="3295"/>
      <c r="C29" s="1176" t="s">
        <v>839</v>
      </c>
    </row>
    <row r="30" spans="1:3" ht="14.25">
      <c r="A30" s="3291"/>
      <c r="B30" s="3295"/>
      <c r="C30" s="1176" t="s">
        <v>840</v>
      </c>
    </row>
    <row r="31" spans="1:3" ht="14.25">
      <c r="A31" s="3291"/>
      <c r="B31" s="3295"/>
      <c r="C31" s="1176" t="s">
        <v>841</v>
      </c>
    </row>
    <row r="32" spans="1:3" ht="14.25">
      <c r="A32" s="3291"/>
      <c r="B32" s="3295"/>
      <c r="C32" s="1176" t="s">
        <v>1643</v>
      </c>
    </row>
    <row r="33" spans="1:3" ht="14.25">
      <c r="A33" s="3291"/>
      <c r="B33" s="3285" t="s">
        <v>1649</v>
      </c>
      <c r="C33" s="1176" t="s">
        <v>1644</v>
      </c>
    </row>
    <row r="34" spans="1:3" ht="14.25">
      <c r="A34" s="3291"/>
      <c r="B34" s="3286"/>
      <c r="C34" s="1181" t="s">
        <v>1645</v>
      </c>
    </row>
    <row r="35" spans="1:3" ht="14.25">
      <c r="A35" s="3291"/>
      <c r="B35" s="3286"/>
      <c r="C35" s="1182" t="s">
        <v>1646</v>
      </c>
    </row>
    <row r="36" spans="1:3" ht="14.25">
      <c r="A36" s="3291"/>
      <c r="B36" s="3286"/>
      <c r="C36" s="1182" t="s">
        <v>1647</v>
      </c>
    </row>
    <row r="37" spans="1:3" ht="14.25">
      <c r="A37" s="3291"/>
      <c r="B37" s="3287"/>
      <c r="C37" s="1183" t="s">
        <v>1648</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1901</v>
      </c>
      <c r="B2" s="1658">
        <f ca="1">TODAY()</f>
        <v>43457</v>
      </c>
      <c r="C2" s="2341" t="s">
        <v>1902</v>
      </c>
      <c r="D2" s="2342"/>
    </row>
    <row r="3" spans="1:6" ht="20.25" customHeight="1">
      <c r="A3" s="2344" t="s">
        <v>1903</v>
      </c>
      <c r="B3" s="2345" t="s">
        <v>1904</v>
      </c>
      <c r="C3" s="2345" t="s">
        <v>1905</v>
      </c>
      <c r="D3" s="2346" t="s">
        <v>1906</v>
      </c>
      <c r="E3" s="2345" t="s">
        <v>1907</v>
      </c>
      <c r="F3" s="2345" t="s">
        <v>1905</v>
      </c>
    </row>
    <row r="4" spans="1:6" ht="20.25" customHeight="1">
      <c r="A4" s="2345" t="s">
        <v>1908</v>
      </c>
      <c r="B4" s="2345">
        <f ca="1">IF(C4&lt;B2,"已过期",1119970066)</f>
        <v>1119970066</v>
      </c>
      <c r="C4" s="3008">
        <v>43849</v>
      </c>
      <c r="D4" s="2345" t="s">
        <v>1908</v>
      </c>
      <c r="E4" s="2345">
        <f ca="1">IF(F4&lt;B2,"已过期",96010014)</f>
        <v>96010014</v>
      </c>
      <c r="F4" s="3009">
        <v>47118</v>
      </c>
    </row>
    <row r="5" spans="1:6" ht="20.25" customHeight="1">
      <c r="A5" s="2345" t="s">
        <v>1909</v>
      </c>
      <c r="B5" s="2345">
        <f ca="1">IF(C5&lt;B2,"已过期",1119970074)</f>
        <v>1119970074</v>
      </c>
      <c r="C5" s="3008">
        <v>43849</v>
      </c>
      <c r="D5" s="2345" t="s">
        <v>1909</v>
      </c>
      <c r="E5" s="2345">
        <f ca="1">IF(F5&lt;B2,"已过期",2002110027)</f>
        <v>2002110027</v>
      </c>
      <c r="F5" s="3009">
        <v>46752</v>
      </c>
    </row>
    <row r="6" spans="1:6" ht="20.25" customHeight="1">
      <c r="A6" s="2345" t="s">
        <v>1910</v>
      </c>
      <c r="B6" s="2345">
        <f ca="1">IF(C6&lt;B2,"已过期",1119970111)</f>
        <v>1119970111</v>
      </c>
      <c r="C6" s="3008">
        <v>43849</v>
      </c>
      <c r="D6" s="2345" t="s">
        <v>1910</v>
      </c>
      <c r="E6" s="2345">
        <f ca="1">IF(F6&lt;B2,"已过期",94010078)</f>
        <v>94010078</v>
      </c>
      <c r="F6" s="3009">
        <v>46387</v>
      </c>
    </row>
    <row r="7" spans="1:6" ht="20.25" customHeight="1">
      <c r="A7" s="2345" t="s">
        <v>1911</v>
      </c>
      <c r="B7" s="2345">
        <f ca="1">IF(C7&lt;B2,"已过期",1120050019)</f>
        <v>1120050019</v>
      </c>
      <c r="C7" s="3008">
        <v>44395</v>
      </c>
      <c r="D7" s="2345" t="s">
        <v>1911</v>
      </c>
      <c r="E7" s="2345">
        <f ca="1">IF(F7&lt;B2,"已过期",2002110030)</f>
        <v>2002110030</v>
      </c>
      <c r="F7" s="3009">
        <v>46387</v>
      </c>
    </row>
    <row r="8" spans="1:6" ht="20.25" customHeight="1">
      <c r="A8" s="2345" t="s">
        <v>1912</v>
      </c>
      <c r="B8" s="2345">
        <f ca="1">IF(C8&lt;B2,"已过期",1120000080)</f>
        <v>1120000080</v>
      </c>
      <c r="C8" s="3008">
        <v>43849</v>
      </c>
      <c r="D8" s="2345" t="s">
        <v>1912</v>
      </c>
      <c r="E8" s="2345">
        <f ca="1">IF(F8&lt;B2,"已过期",2000110082)</f>
        <v>2000110082</v>
      </c>
      <c r="F8" s="3009">
        <v>46387</v>
      </c>
    </row>
    <row r="9" spans="1:6" ht="20.25" customHeight="1">
      <c r="A9" s="2345" t="s">
        <v>1913</v>
      </c>
      <c r="B9" s="2345">
        <f ca="1">IF(C9&lt;B2,"已过期",1419970001)</f>
        <v>1419970001</v>
      </c>
      <c r="C9" s="3008">
        <v>43867</v>
      </c>
      <c r="D9" s="2345" t="s">
        <v>1913</v>
      </c>
      <c r="E9" s="2345">
        <f ca="1">IF(F9&lt;B2,"已过期",2002110125)</f>
        <v>2002110125</v>
      </c>
      <c r="F9" s="3009">
        <v>47118</v>
      </c>
    </row>
    <row r="10" spans="1:6" ht="20.25" customHeight="1">
      <c r="A10" s="2345" t="s">
        <v>1914</v>
      </c>
      <c r="B10" s="2345">
        <f ca="1">IF(C10&lt;B2,"已过期",1120060040)</f>
        <v>1120060040</v>
      </c>
      <c r="C10" s="3008">
        <v>43483</v>
      </c>
      <c r="D10" s="2345" t="s">
        <v>1914</v>
      </c>
      <c r="E10" s="2345">
        <f ca="1">IF(F10&lt;B2,"已过期",2004110096)</f>
        <v>2004110096</v>
      </c>
      <c r="F10" s="3009">
        <v>47118</v>
      </c>
    </row>
    <row r="11" spans="1:6" ht="20.25" customHeight="1">
      <c r="A11" s="2345" t="s">
        <v>1915</v>
      </c>
      <c r="B11" s="2345">
        <f ca="1">IF(C11&lt;B2,"已过期",1120100036)</f>
        <v>1120100036</v>
      </c>
      <c r="C11" s="3008">
        <v>43622</v>
      </c>
      <c r="D11" s="2345" t="s">
        <v>1915</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1916</v>
      </c>
      <c r="B13" s="2345">
        <f ca="1">IF(C13&lt;B2,"已过期",1120070131)</f>
        <v>1120070131</v>
      </c>
      <c r="C13" s="3008">
        <v>43814</v>
      </c>
      <c r="D13" s="2345" t="s">
        <v>1916</v>
      </c>
      <c r="E13" s="2345">
        <v>2014110011</v>
      </c>
      <c r="F13" s="3009">
        <v>49302</v>
      </c>
    </row>
    <row r="14" spans="1:6" ht="20.25" customHeight="1">
      <c r="A14" s="2345" t="s">
        <v>1917</v>
      </c>
      <c r="B14" s="2345">
        <f ca="1">IF(C14&lt;B2,"已过期",1120130020)</f>
        <v>1120130020</v>
      </c>
      <c r="C14" s="3008">
        <v>43622</v>
      </c>
      <c r="D14" s="2345"/>
      <c r="E14" s="2345"/>
      <c r="F14" s="2345"/>
    </row>
    <row r="15" spans="1:6" ht="20.25" customHeight="1">
      <c r="A15" s="2345" t="s">
        <v>2570</v>
      </c>
      <c r="B15" s="2345">
        <v>1120070085</v>
      </c>
      <c r="C15" s="3008">
        <v>43814</v>
      </c>
      <c r="D15" s="2345" t="s">
        <v>2570</v>
      </c>
      <c r="E15" s="2345">
        <v>2004110128</v>
      </c>
      <c r="F15" s="3009">
        <v>47118</v>
      </c>
    </row>
    <row r="16" spans="1:6" ht="20.25" customHeight="1">
      <c r="A16" s="2345" t="s">
        <v>1918</v>
      </c>
      <c r="B16" s="2345">
        <f ca="1">IF(C16&lt;B2,"已过期",1120140022)</f>
        <v>1120140022</v>
      </c>
      <c r="C16" s="3008">
        <v>44029</v>
      </c>
      <c r="D16" s="2345" t="s">
        <v>1918</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1919</v>
      </c>
      <c r="E21" s="2345">
        <f ca="1">IF(F21&lt;B2,"已过期",2011110090)</f>
        <v>2011110090</v>
      </c>
      <c r="F21" s="3009">
        <v>48302</v>
      </c>
    </row>
    <row r="22" spans="1:7" ht="20.25" customHeight="1">
      <c r="A22" s="2345" t="s">
        <v>1920</v>
      </c>
      <c r="B22" s="2345">
        <f ca="1">IF(C22&lt;B2,"已过期",1120020033)</f>
        <v>1120020033</v>
      </c>
      <c r="C22" s="3008">
        <v>44339</v>
      </c>
      <c r="D22" s="2345" t="s">
        <v>1920</v>
      </c>
      <c r="E22" s="2345">
        <f ca="1">IF(F22&lt;B2,"已过期",2000110137)</f>
        <v>2000110137</v>
      </c>
      <c r="F22" s="3009">
        <v>46387</v>
      </c>
    </row>
    <row r="23" spans="1:7" ht="20.25" customHeight="1">
      <c r="A23" s="2345" t="s">
        <v>1921</v>
      </c>
      <c r="B23" s="2345">
        <f ca="1">IF(C23&lt;B2,"已过期",1120130048)</f>
        <v>1120130048</v>
      </c>
      <c r="C23" s="3008">
        <v>43686</v>
      </c>
      <c r="D23" s="2345"/>
      <c r="E23" s="2345"/>
      <c r="F23" s="2345"/>
    </row>
    <row r="24" spans="1:7" s="2349" customFormat="1" ht="20.25" customHeight="1">
      <c r="A24" s="2347" t="s">
        <v>2049</v>
      </c>
      <c r="B24" s="2347" t="s">
        <v>2049</v>
      </c>
      <c r="C24" s="3008"/>
      <c r="D24" s="3010" t="s">
        <v>2049</v>
      </c>
      <c r="E24" s="2347" t="s">
        <v>2049</v>
      </c>
      <c r="F24" s="2348"/>
    </row>
    <row r="25" spans="1:7" ht="20.25" customHeight="1">
      <c r="A25" s="3296" t="s">
        <v>1922</v>
      </c>
      <c r="B25" s="3296"/>
      <c r="C25" s="3296"/>
      <c r="D25" s="3296"/>
      <c r="E25" s="3296"/>
      <c r="F25" s="3296"/>
      <c r="G25" s="3296"/>
    </row>
    <row r="26" spans="1:7" ht="20.25" customHeight="1">
      <c r="A26" s="3297" t="s">
        <v>1923</v>
      </c>
      <c r="B26" s="3297"/>
      <c r="C26" s="3297"/>
      <c r="D26" s="3297" t="s">
        <v>1924</v>
      </c>
      <c r="E26" s="3297"/>
      <c r="F26" s="3297"/>
    </row>
    <row r="27" spans="1:7" s="2353" customFormat="1" ht="20.25" customHeight="1">
      <c r="A27" s="2350" t="s">
        <v>1925</v>
      </c>
      <c r="B27" s="2351" t="s">
        <v>1926</v>
      </c>
      <c r="C27" s="2351" t="s">
        <v>1927</v>
      </c>
      <c r="D27" s="2352" t="s">
        <v>1925</v>
      </c>
      <c r="E27" s="2351" t="s">
        <v>1926</v>
      </c>
      <c r="F27" s="2351" t="s">
        <v>1927</v>
      </c>
    </row>
    <row r="28" spans="1:7" s="2353" customFormat="1" ht="20.25" customHeight="1">
      <c r="A28" s="2354" t="s">
        <v>1928</v>
      </c>
      <c r="B28" s="2354" t="s">
        <v>1929</v>
      </c>
      <c r="C28" s="2355">
        <v>43725</v>
      </c>
      <c r="D28" s="2354" t="s">
        <v>1930</v>
      </c>
      <c r="E28" s="2354" t="s">
        <v>1931</v>
      </c>
      <c r="F28" s="2356">
        <v>44377</v>
      </c>
    </row>
    <row r="29" spans="1:7" s="2353" customFormat="1" ht="20.25" customHeight="1">
      <c r="A29" s="2354"/>
      <c r="B29" s="2354"/>
      <c r="C29" s="2357"/>
      <c r="D29" s="2354" t="s">
        <v>1932</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1702</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2541</v>
      </c>
      <c r="R1" s="2584" t="s">
        <v>2535</v>
      </c>
      <c r="S1" s="6" t="s">
        <v>145</v>
      </c>
      <c r="T1" s="7" t="s">
        <v>146</v>
      </c>
      <c r="U1" s="6" t="s">
        <v>147</v>
      </c>
      <c r="V1" s="6" t="s">
        <v>148</v>
      </c>
      <c r="W1" s="1004" t="s">
        <v>871</v>
      </c>
    </row>
    <row r="2" spans="1:23">
      <c r="A2" s="8" t="s">
        <v>73</v>
      </c>
      <c r="B2" s="8" t="s">
        <v>149</v>
      </c>
      <c r="C2" s="1552" t="s">
        <v>1703</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150</v>
      </c>
      <c r="C3" s="1553" t="s">
        <v>1704</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151</v>
      </c>
      <c r="C4" s="1552" t="s">
        <v>1705</v>
      </c>
      <c r="D4" s="9" t="s">
        <v>1990</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152</v>
      </c>
      <c r="C5" s="1552" t="s">
        <v>1706</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2996</v>
      </c>
      <c r="C6" s="1554" t="s">
        <v>1707</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1708</v>
      </c>
      <c r="F7" s="9" t="s">
        <v>153</v>
      </c>
      <c r="H7" s="9" t="s">
        <v>104</v>
      </c>
      <c r="I7" s="9" t="s">
        <v>105</v>
      </c>
    </row>
    <row r="8" spans="1:23">
      <c r="A8" s="8" t="s">
        <v>106</v>
      </c>
      <c r="B8" s="1149" t="s">
        <v>2999</v>
      </c>
      <c r="C8" s="1552" t="s">
        <v>1709</v>
      </c>
      <c r="F8" s="9" t="s">
        <v>154</v>
      </c>
      <c r="H8" s="9"/>
      <c r="I8" s="9" t="s">
        <v>107</v>
      </c>
    </row>
    <row r="9" spans="1:23">
      <c r="A9" s="8" t="s">
        <v>108</v>
      </c>
      <c r="B9" s="8" t="s">
        <v>155</v>
      </c>
      <c r="C9" s="1552" t="s">
        <v>1710</v>
      </c>
      <c r="F9" s="9" t="s">
        <v>109</v>
      </c>
      <c r="H9" s="9"/>
    </row>
    <row r="10" spans="1:23">
      <c r="A10" s="8" t="s">
        <v>110</v>
      </c>
      <c r="B10" s="8" t="s">
        <v>156</v>
      </c>
      <c r="C10" s="1552" t="s">
        <v>1711</v>
      </c>
      <c r="F10" s="9" t="s">
        <v>6</v>
      </c>
    </row>
    <row r="11" spans="1:23">
      <c r="A11" s="8" t="s">
        <v>111</v>
      </c>
      <c r="B11" s="8" t="s">
        <v>157</v>
      </c>
      <c r="C11" s="1552" t="s">
        <v>1712</v>
      </c>
    </row>
    <row r="12" spans="1:23">
      <c r="A12" s="8" t="s">
        <v>112</v>
      </c>
      <c r="B12" s="8" t="s">
        <v>158</v>
      </c>
      <c r="C12" s="1552" t="s">
        <v>1713</v>
      </c>
    </row>
    <row r="13" spans="1:23">
      <c r="A13" s="8" t="s">
        <v>113</v>
      </c>
      <c r="B13" s="1936" t="s">
        <v>2990</v>
      </c>
      <c r="C13" s="1552" t="s">
        <v>1714</v>
      </c>
    </row>
    <row r="14" spans="1:23">
      <c r="A14" s="8" t="s">
        <v>114</v>
      </c>
      <c r="B14" s="1936" t="s">
        <v>2991</v>
      </c>
      <c r="C14" s="1555" t="s">
        <v>1890</v>
      </c>
    </row>
    <row r="15" spans="1:23">
      <c r="A15" s="8" t="s">
        <v>115</v>
      </c>
      <c r="B15" s="1936" t="s">
        <v>2992</v>
      </c>
      <c r="C15" s="1555"/>
    </row>
    <row r="16" spans="1:23">
      <c r="A16" s="8" t="s">
        <v>116</v>
      </c>
      <c r="B16" s="1936" t="s">
        <v>2993</v>
      </c>
      <c r="C16" s="1555"/>
    </row>
    <row r="17" spans="1:3">
      <c r="A17" s="8" t="s">
        <v>117</v>
      </c>
      <c r="B17" s="1936" t="s">
        <v>2994</v>
      </c>
      <c r="C17" s="1555"/>
    </row>
    <row r="18" spans="1:3">
      <c r="A18" s="8" t="s">
        <v>118</v>
      </c>
      <c r="B18" s="1936" t="s">
        <v>2952</v>
      </c>
      <c r="C18" s="1555"/>
    </row>
    <row r="19" spans="1:3">
      <c r="A19" s="8" t="s">
        <v>119</v>
      </c>
      <c r="B19" s="1936" t="s">
        <v>2960</v>
      </c>
      <c r="C19" s="1555"/>
    </row>
    <row r="20" spans="1:3">
      <c r="A20" s="8" t="s">
        <v>120</v>
      </c>
      <c r="B20" s="1936" t="s">
        <v>2987</v>
      </c>
      <c r="C20" s="1555"/>
    </row>
    <row r="21" spans="1:3">
      <c r="A21" s="8" t="s">
        <v>121</v>
      </c>
      <c r="B21" s="1936" t="s">
        <v>2988</v>
      </c>
      <c r="C21" s="1555"/>
    </row>
    <row r="22" spans="1:3">
      <c r="A22" s="8" t="s">
        <v>122</v>
      </c>
      <c r="B22" s="1936" t="s">
        <v>2989</v>
      </c>
      <c r="C22" s="1555"/>
    </row>
    <row r="23" spans="1:3">
      <c r="A23" s="8" t="s">
        <v>123</v>
      </c>
      <c r="B23" s="1936" t="s">
        <v>2997</v>
      </c>
      <c r="C23" s="1555"/>
    </row>
    <row r="24" spans="1:3">
      <c r="A24" s="8" t="s">
        <v>12</v>
      </c>
      <c r="B24" s="1936" t="s">
        <v>2998</v>
      </c>
      <c r="C24" s="1555"/>
    </row>
    <row r="25" spans="1:3">
      <c r="A25" s="8" t="s">
        <v>124</v>
      </c>
      <c r="B25" s="3115" t="s">
        <v>3000</v>
      </c>
      <c r="C25" s="1555"/>
    </row>
    <row r="26" spans="1:3">
      <c r="A26" s="8" t="s">
        <v>125</v>
      </c>
      <c r="B26" s="8" t="s">
        <v>1638</v>
      </c>
      <c r="C26" s="1555"/>
    </row>
    <row r="27" spans="1:3">
      <c r="A27" s="8" t="s">
        <v>1638</v>
      </c>
      <c r="B27" s="8" t="s">
        <v>1638</v>
      </c>
      <c r="C27" s="1555"/>
    </row>
    <row r="28" spans="1:3">
      <c r="A28" s="8" t="s">
        <v>1638</v>
      </c>
      <c r="B28" s="8" t="s">
        <v>1638</v>
      </c>
      <c r="C28" s="1555"/>
    </row>
    <row r="29" spans="1:3">
      <c r="A29" s="8" t="s">
        <v>1638</v>
      </c>
      <c r="B29" s="8" t="s">
        <v>1638</v>
      </c>
      <c r="C29" s="1555"/>
    </row>
    <row r="30" spans="1:3">
      <c r="A30" s="8" t="s">
        <v>1638</v>
      </c>
      <c r="B30" s="8" t="s">
        <v>1638</v>
      </c>
      <c r="C30" s="1555"/>
    </row>
    <row r="31" spans="1:3">
      <c r="A31" s="8" t="s">
        <v>1638</v>
      </c>
      <c r="B31" s="8" t="s">
        <v>1638</v>
      </c>
      <c r="C31" s="1555"/>
    </row>
    <row r="32" spans="1:3">
      <c r="A32" s="8" t="s">
        <v>1638</v>
      </c>
      <c r="B32" s="8" t="s">
        <v>1638</v>
      </c>
      <c r="C32" s="1555"/>
    </row>
    <row r="33" spans="1:3">
      <c r="A33" s="8" t="s">
        <v>1638</v>
      </c>
      <c r="B33" s="8" t="s">
        <v>1638</v>
      </c>
      <c r="C33" s="1555"/>
    </row>
    <row r="34" spans="1:3">
      <c r="A34" s="8" t="s">
        <v>1638</v>
      </c>
      <c r="B34" s="8" t="s">
        <v>1638</v>
      </c>
      <c r="C34" s="1555"/>
    </row>
    <row r="35" spans="1:3">
      <c r="A35" s="8" t="s">
        <v>1638</v>
      </c>
      <c r="B35" s="8" t="s">
        <v>1638</v>
      </c>
      <c r="C35" s="1555"/>
    </row>
    <row r="36" spans="1:3">
      <c r="A36" s="8" t="s">
        <v>1638</v>
      </c>
      <c r="B36" s="8" t="s">
        <v>1638</v>
      </c>
      <c r="C36" s="1555"/>
    </row>
    <row r="37" spans="1:3">
      <c r="A37" s="8" t="s">
        <v>1638</v>
      </c>
      <c r="B37" s="8" t="s">
        <v>1638</v>
      </c>
      <c r="C37" s="1555"/>
    </row>
    <row r="38" spans="1:3">
      <c r="A38" s="8" t="s">
        <v>1638</v>
      </c>
      <c r="B38" s="8" t="s">
        <v>1638</v>
      </c>
      <c r="C38" s="1555"/>
    </row>
    <row r="39" spans="1:3">
      <c r="A39" s="8" t="s">
        <v>1638</v>
      </c>
      <c r="B39" s="8" t="s">
        <v>1638</v>
      </c>
      <c r="C39" s="1555"/>
    </row>
    <row r="40" spans="1:3">
      <c r="A40" s="8" t="s">
        <v>1638</v>
      </c>
      <c r="B40" s="8" t="s">
        <v>1638</v>
      </c>
      <c r="C40" s="1555"/>
    </row>
    <row r="41" spans="1:3">
      <c r="A41" s="8" t="s">
        <v>1638</v>
      </c>
      <c r="B41" s="8" t="s">
        <v>1638</v>
      </c>
      <c r="C41" s="1555"/>
    </row>
    <row r="42" spans="1:3">
      <c r="A42" s="8" t="s">
        <v>1638</v>
      </c>
      <c r="B42" s="8" t="s">
        <v>1638</v>
      </c>
      <c r="C42" s="1555"/>
    </row>
    <row r="43" spans="1:3">
      <c r="A43" s="8" t="s">
        <v>1638</v>
      </c>
      <c r="B43" s="8" t="s">
        <v>1638</v>
      </c>
      <c r="C43" s="1555"/>
    </row>
    <row r="44" spans="1:3">
      <c r="A44" s="8" t="s">
        <v>1638</v>
      </c>
      <c r="B44" s="8" t="s">
        <v>1638</v>
      </c>
      <c r="C44" s="1555"/>
    </row>
    <row r="45" spans="1:3">
      <c r="A45" s="8" t="s">
        <v>1638</v>
      </c>
      <c r="B45" s="8" t="s">
        <v>1638</v>
      </c>
      <c r="C45" s="1555"/>
    </row>
    <row r="46" spans="1:3">
      <c r="A46" s="8" t="s">
        <v>1638</v>
      </c>
      <c r="B46" s="8" t="s">
        <v>1638</v>
      </c>
      <c r="C46" s="1555"/>
    </row>
    <row r="47" spans="1:3">
      <c r="A47" s="8" t="s">
        <v>1638</v>
      </c>
      <c r="B47" s="8" t="s">
        <v>1638</v>
      </c>
      <c r="C47" s="1555"/>
    </row>
    <row r="48" spans="1:3">
      <c r="A48" s="8" t="s">
        <v>1638</v>
      </c>
      <c r="B48" s="8" t="s">
        <v>1638</v>
      </c>
      <c r="C48" s="1555"/>
    </row>
    <row r="49" spans="1:5">
      <c r="A49" s="8" t="s">
        <v>1638</v>
      </c>
      <c r="B49" s="8" t="s">
        <v>1638</v>
      </c>
      <c r="C49" s="1555"/>
    </row>
    <row r="50" spans="1:5">
      <c r="A50" s="8" t="s">
        <v>1638</v>
      </c>
      <c r="B50" s="8" t="s">
        <v>1638</v>
      </c>
      <c r="C50" s="1555"/>
    </row>
    <row r="51" spans="1:5">
      <c r="A51" s="1767" t="s">
        <v>1938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邢家坞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1982</v>
      </c>
      <c r="B52" s="1770" t="s">
        <v>1983</v>
      </c>
      <c r="C52" s="1768" t="s">
        <v>1984</v>
      </c>
      <c r="D52" s="1768" t="s">
        <v>1985</v>
      </c>
      <c r="E52" s="1769"/>
    </row>
    <row r="53" spans="1:5">
      <c r="A53" s="3298" t="s">
        <v>1986</v>
      </c>
      <c r="B53" s="1768" t="s">
        <v>1992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c r="D53" s="1769"/>
      <c r="E53" s="1769"/>
    </row>
    <row r="54" spans="1:5">
      <c r="A54" s="3298"/>
      <c r="B54" s="1768" t="s">
        <v>1993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98"/>
      <c r="B55" s="1768" t="s">
        <v>1987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98"/>
      <c r="B56" s="1768" t="s">
        <v>1988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98"/>
      <c r="B57" s="1768" t="s">
        <v>1989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2045</v>
      </c>
      <c r="B58" s="1768" t="s">
        <v>2046</v>
      </c>
      <c r="C58" s="11" t="s">
        <v>2047</v>
      </c>
      <c r="D58" s="131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133</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建安取值</vt:lpstr>
      <vt:lpstr>结果表汇总</vt:lpstr>
      <vt:lpstr>剩余法住宅</vt:lpstr>
      <vt:lpstr>剩余法-现房</vt:lpstr>
      <vt:lpstr>比较法-住宅、综合</vt:lpstr>
      <vt:lpstr>比较法-工业</vt:lpstr>
      <vt:lpstr>基准地价住宅</vt:lpstr>
      <vt:lpstr>修正</vt:lpstr>
      <vt:lpstr>区片价</vt:lpstr>
      <vt:lpstr>容积率修正</vt:lpstr>
      <vt:lpstr>因素修正幅度</vt:lpstr>
      <vt:lpstr>基准地价（汇总）</vt:lpstr>
      <vt:lpstr>基准地价商业</vt:lpstr>
      <vt:lpstr>基准地价办公</vt:lpstr>
      <vt:lpstr>不动产比较法-办公</vt:lpstr>
      <vt:lpstr>不动产收益法办公</vt:lpstr>
      <vt:lpstr>收益还原法</vt:lpstr>
      <vt:lpstr>不动产比较法-商业</vt:lpstr>
      <vt:lpstr>不动产收益法商业</vt:lpstr>
      <vt:lpstr>地价</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估价结果汇总表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2018-12-23T10:45:14Z</dcterms:modified>
</cp:coreProperties>
</file>