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建安取值" sheetId="74" r:id="rId18"/>
    <sheet name="结果表汇总" sheetId="73" r:id="rId19"/>
    <sheet name="剩余法住宅"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基准地价商业" sheetId="68" state="hidden" r:id="rId30"/>
    <sheet name="基准地价办公" sheetId="69" state="hidden" r:id="rId31"/>
    <sheet name="不动产比较法-办公" sheetId="34" state="hidden" r:id="rId32"/>
    <sheet name="不动产收益法办公" sheetId="70" state="hidden" r:id="rId33"/>
    <sheet name="收益还原法" sheetId="44" state="hidden" r:id="rId34"/>
    <sheet name="不动产比较法-商业" sheetId="33" state="hidden" r:id="rId35"/>
    <sheet name="不动产收益法商业" sheetId="15" state="hidden" r:id="rId36"/>
    <sheet name="地价" sheetId="59"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2" r:id="rId46"/>
    <sheet name="估价结果汇总表" sheetId="7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21" hidden="1">'比较法-住宅、综合'!$A$1:$L$50</definedName>
    <definedName name="_xlnm._FilterDatabase" localSheetId="31"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5">'[1]不动产比较法-办公'!$B$119:$M$119</definedName>
    <definedName name="办公层高" localSheetId="18">'[2]不动产比较法-办公'!$B$119:$M$119</definedName>
    <definedName name="办公层高">'不动产比较法-办公'!$B$119:$M$119</definedName>
    <definedName name="办公朝向" localSheetId="45">'[1]不动产比较法-办公'!$B$91:$M$91</definedName>
    <definedName name="办公朝向" localSheetId="18">'[2]不动产比较法-办公'!$B$91:$M$91</definedName>
    <definedName name="办公朝向">'不动产比较法-办公'!$B$91:$M$91</definedName>
    <definedName name="办公道路级别" localSheetId="45">'[1]不动产比较法-办公'!$B$87:$M$87</definedName>
    <definedName name="办公道路级别" localSheetId="18">'[2]不动产比较法-办公'!$B$87:$M$87</definedName>
    <definedName name="办公道路级别">'不动产比较法-办公'!$B$87:$M$87</definedName>
    <definedName name="办公公共部分装修" localSheetId="45">'[1]不动产比较法-办公'!$B$108:$M$108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45">'[1]不动产比较法-办公'!$B$117:$M$117</definedName>
    <definedName name="办公基础设施水平" localSheetId="18">'[2]不动产比较法-办公'!$B$117:$M$117</definedName>
    <definedName name="办公基础设施水平">'不动产比较法-办公'!$B$117:$M$117</definedName>
    <definedName name="办公集聚程度" localSheetId="45">[1]定义!$M$1:$M$6</definedName>
    <definedName name="办公集聚程度" localSheetId="18">[2]定义!$M$1:$M$6</definedName>
    <definedName name="办公集聚程度">定义!$M$1:$M$6</definedName>
    <definedName name="办公建筑结构" localSheetId="45">'[1]不动产比较法-办公'!$B$106:$M$106</definedName>
    <definedName name="办公建筑结构" localSheetId="18">'[2]不动产比较法-办公'!$B$106:$M$106</definedName>
    <definedName name="办公建筑结构">'不动产比较法-办公'!$B$106:$M$106</definedName>
    <definedName name="办公建筑类型" localSheetId="45">'[1]不动产比较法-办公'!$B$101:$M$101</definedName>
    <definedName name="办公建筑类型" localSheetId="18">'[2]不动产比较法-办公'!$B$101:$M$101</definedName>
    <definedName name="办公建筑类型">'不动产比较法-办公'!$B$101:$M$101</definedName>
    <definedName name="办公交易情况" localSheetId="45">'[1]不动产比较法-办公'!$A$62:$M$62</definedName>
    <definedName name="办公交易情况" localSheetId="18">'[2]不动产比较法-办公'!$A$62:$M$62</definedName>
    <definedName name="办公交易情况">'不动产比较法-办公'!$A$62:$M$62</definedName>
    <definedName name="办公楼层" localSheetId="45">'[1]不动产比较法-办公'!$B$89:$M$89</definedName>
    <definedName name="办公楼层" localSheetId="18">'[2]不动产比较法-办公'!$B$89:$M$89</definedName>
    <definedName name="办公楼层">'不动产比较法-办公'!$B$89:$M$89</definedName>
    <definedName name="办公内部装修" localSheetId="45">'[1]不动产比较法-办公'!$B$123:$M$123</definedName>
    <definedName name="办公内部装修" localSheetId="18">'[2]不动产比较法-办公'!$B$123:$M$123</definedName>
    <definedName name="办公内部装修">'不动产比较法-办公'!$B$123:$M$123</definedName>
    <definedName name="办公物业管理" localSheetId="45">'[1]不动产比较法-办公'!$B$115:$M$115</definedName>
    <definedName name="办公物业管理" localSheetId="18">'[2]不动产比较法-办公'!$B$115:$M$115</definedName>
    <definedName name="办公物业管理">'不动产比较法-办公'!$B$115:$M$115</definedName>
    <definedName name="办公用途" localSheetId="45">'[1]不动产比较法-办公'!$B$64:$M$64</definedName>
    <definedName name="办公用途" localSheetId="18">'[2]不动产比较法-办公'!$B$64:$M$64</definedName>
    <definedName name="办公用途">'不动产比较法-办公'!$B$64:$M$64</definedName>
    <definedName name="仓储公共部分装修" localSheetId="45">'[1]不动产比较法-仓储'!$B$77:$M$77</definedName>
    <definedName name="仓储公共部分装修" localSheetId="18">'[2]不动产比较法-仓储'!$B$77:$M$77</definedName>
    <definedName name="仓储公共部分装修">'不动产比较法-仓储'!$B$77:$M$77</definedName>
    <definedName name="仓储交易情况" localSheetId="45">'[1]不动产比较法-仓储'!$A$49:$M$49</definedName>
    <definedName name="仓储交易情况" localSheetId="18">'[2]不动产比较法-仓储'!$A$49:$M$49</definedName>
    <definedName name="仓储交易情况">'不动产比较法-仓储'!$A$49:$M$49</definedName>
    <definedName name="仓储楼层" localSheetId="45">'[1]不动产比较法-仓储'!$B$69:$M$69</definedName>
    <definedName name="仓储楼层" localSheetId="18">'[2]不动产比较法-仓储'!$B$69:$M$69</definedName>
    <definedName name="仓储楼层">'不动产比较法-仓储'!$B$69:$M$69</definedName>
    <definedName name="仓储物业等级" localSheetId="45">'[1]不动产比较法-仓储'!$B$82:$M$82</definedName>
    <definedName name="仓储物业等级" localSheetId="18">'[2]不动产比较法-仓储'!$B$82:$M$82</definedName>
    <definedName name="仓储物业等级">'不动产比较法-仓储'!$B$82:$M$82</definedName>
    <definedName name="仓储用途" localSheetId="45">'[1]不动产比较法-仓储'!$B$51:$M$51</definedName>
    <definedName name="仓储用途" localSheetId="18">'[2]不动产比较法-仓储'!$B$51:$M$51</definedName>
    <definedName name="仓储用途">'不动产比较法-仓储'!$B$51:$M$51</definedName>
    <definedName name="产业集聚程度" localSheetId="45">[1]定义!$N$1:$N$6</definedName>
    <definedName name="产业集聚程度" localSheetId="18">[2]定义!$N$1:$N$6</definedName>
    <definedName name="产业集聚程度">定义!$N$1:$N$6</definedName>
    <definedName name="车位公共部分装修" localSheetId="45">'[1]不动产比较法-车位'!$B$83:$M$83</definedName>
    <definedName name="车位公共部分装修" localSheetId="18">'[2]不动产比较法-车位'!$B$83:$M$83</definedName>
    <definedName name="车位公共部分装修">'不动产比较法-车位'!$B$83:$M$83</definedName>
    <definedName name="车位交易情况" localSheetId="45">'[1]不动产比较法-车位'!$A$51:$M$51</definedName>
    <definedName name="车位交易情况" localSheetId="18">'[2]不动产比较法-车位'!$A$51:$M$51</definedName>
    <definedName name="车位交易情况">'不动产比较法-车位'!$A$51:$M$51</definedName>
    <definedName name="车位类型" localSheetId="45">'[1]不动产比较法-车位'!$B$93:$M$93</definedName>
    <definedName name="车位类型" localSheetId="18">'[2]不动产比较法-车位'!$B$93:$M$93</definedName>
    <definedName name="车位类型">'不动产比较法-车位'!$B$93:$M$93</definedName>
    <definedName name="车位楼层" localSheetId="45">'[1]不动产比较法-车位'!$B$71:$M$71</definedName>
    <definedName name="车位楼层" localSheetId="18">'[2]不动产比较法-车位'!$B$71:$M$71</definedName>
    <definedName name="车位楼层">'不动产比较法-车位'!$B$71:$M$71</definedName>
    <definedName name="车位配套类型" localSheetId="45">'[1]不动产比较法-车位'!$B$79:$M$79</definedName>
    <definedName name="车位配套类型" localSheetId="18">'[2]不动产比较法-车位'!$B$79:$M$79</definedName>
    <definedName name="车位配套类型">'不动产比较法-车位'!$B$79:$M$79</definedName>
    <definedName name="车位物业等级" localSheetId="45">'[1]不动产比较法-车位'!$B$88:$M$88</definedName>
    <definedName name="车位物业等级" localSheetId="18">'[2]不动产比较法-车位'!$B$88:$M$88</definedName>
    <definedName name="车位物业等级">'不动产比较法-车位'!$B$88:$M$88</definedName>
    <definedName name="车位用途" localSheetId="45">'[1]不动产比较法-车位'!$B$53:$M$53</definedName>
    <definedName name="车位用途" localSheetId="18">'[2]不动产比较法-车位'!$B$53:$M$53</definedName>
    <definedName name="车位用途">'不动产比较法-车位'!$B$53:$M$53</definedName>
    <definedName name="城镇土地纳税等级分级范围" localSheetId="45">'[1]数据-取费表'!$A$53:$A$63</definedName>
    <definedName name="城镇土地纳税等级分级范围" localSheetId="18">'[2]数据-取费表'!$A$53:$A$63</definedName>
    <definedName name="城镇土地纳税等级分级范围">'数据-取费表'!$A$53:$A$63</definedName>
    <definedName name="单价内涵" localSheetId="45">[1]定义!$V$1:$V$3</definedName>
    <definedName name="单价内涵" localSheetId="18">[2]定义!$V$1:$V$3</definedName>
    <definedName name="单价内涵">定义!$V$1:$V$3</definedName>
    <definedName name="地类判定" localSheetId="45">[1]定义!$H$1:$H$9</definedName>
    <definedName name="地类判定" localSheetId="18">[2]定义!$H$1:$H$9</definedName>
    <definedName name="地类判定">定义!$H$1:$H$9</definedName>
    <definedName name="二级">区片价!$J$1:$J$20</definedName>
    <definedName name="二级分类" localSheetId="45">[1]修正!$C$17:$C$39</definedName>
    <definedName name="二级分类" localSheetId="18">[2]修正!$C$17:$C$39</definedName>
    <definedName name="二级分类">修正!$C$17:$C$39</definedName>
    <definedName name="法定最高年限" localSheetId="45">[1]定义!$G$2:$G$4</definedName>
    <definedName name="法定最高年限" localSheetId="18">[2]定义!$G$2:$G$4</definedName>
    <definedName name="法定最高年限">定义!$G$2:$G$4</definedName>
    <definedName name="工业公共部分装修" localSheetId="45">'[1]不动产比较法-工业'!$B$95:$M$95</definedName>
    <definedName name="工业公共部分装修" localSheetId="18">'[2]不动产比较法-工业'!$B$95:$M$95</definedName>
    <definedName name="工业公共部分装修">'不动产比较法-工业'!$B$95:$M$95</definedName>
    <definedName name="工业基础设施水平" localSheetId="45">'[1]不动产比较法-工业'!$B$102:$M$102</definedName>
    <definedName name="工业基础设施水平" localSheetId="18">'[2]不动产比较法-工业'!$B$102:$M$102</definedName>
    <definedName name="工业基础设施水平">'不动产比较法-工业'!$B$102:$M$102</definedName>
    <definedName name="工业建筑结构" localSheetId="45">'[1]不动产比较法-工业'!$B$93:$M$93</definedName>
    <definedName name="工业建筑结构" localSheetId="18">'[2]不动产比较法-工业'!$B$93:$M$93</definedName>
    <definedName name="工业建筑结构">'不动产比较法-工业'!$B$93:$M$93</definedName>
    <definedName name="工业建筑类型" localSheetId="45">'[1]不动产比较法-工业'!$B$88:$M$88</definedName>
    <definedName name="工业建筑类型" localSheetId="18">'[2]不动产比较法-工业'!$B$88:$M$88</definedName>
    <definedName name="工业建筑类型">'不动产比较法-工业'!$B$88:$M$88</definedName>
    <definedName name="工业交易情况" localSheetId="45">'[1]不动产比较法-工业'!$A$55:$M$55</definedName>
    <definedName name="工业交易情况" localSheetId="18">'[2]不动产比较法-工业'!$A$55:$M$55</definedName>
    <definedName name="工业交易情况">'不动产比较法-工业'!$A$55:$M$55</definedName>
    <definedName name="工业内部装修" localSheetId="45">'[1]不动产比较法-工业'!$B$104:$M$104</definedName>
    <definedName name="工业内部装修" localSheetId="18">'[2]不动产比较法-工业'!$B$104:$M$104</definedName>
    <definedName name="工业内部装修">'不动产比较法-工业'!$B$104:$M$104</definedName>
    <definedName name="工业物业管理" localSheetId="45">'[1]不动产比较法-工业'!$B$100:$M$100</definedName>
    <definedName name="工业物业管理" localSheetId="18">'[2]不动产比较法-工业'!$B$100:$M$100</definedName>
    <definedName name="工业物业管理">'不动产比较法-工业'!$B$100:$M$100</definedName>
    <definedName name="工业用途" localSheetId="45">'[1]不动产比较法-工业'!$B$57:$M$57</definedName>
    <definedName name="工业用途" localSheetId="18">'[2]不动产比较法-工业'!$B$57:$M$57</definedName>
    <definedName name="工业用途">'不动产比较法-工业'!$B$57:$M$57</definedName>
    <definedName name="公共配套设施" localSheetId="45">[1]定义!$Q$1:$Q$6</definedName>
    <definedName name="公共配套设施" localSheetId="18">[2]定义!$Q$1:$Q$6</definedName>
    <definedName name="公共配套设施">定义!$Q$1:$Q$6</definedName>
    <definedName name="估价方法" localSheetId="45">[1]定义!$B$1:$B$50</definedName>
    <definedName name="估价方法" localSheetId="18">[2]定义!$B$1:$B$50</definedName>
    <definedName name="估价方法">定义!$B$1:$B$50</definedName>
    <definedName name="环境" localSheetId="45">[1]定义!$S$1:$S$6</definedName>
    <definedName name="环境" localSheetId="18">[2]定义!$S$1:$S$6</definedName>
    <definedName name="环境">定义!$S$1:$S$6</definedName>
    <definedName name="基础设施水平" localSheetId="45">[1]定义!$R$1:$R$6</definedName>
    <definedName name="基础设施水平" localSheetId="18">[2]定义!$R$1:$R$6</definedName>
    <definedName name="基础设施水平">定义!$R$1:$R$6</definedName>
    <definedName name="季度" localSheetId="30">基准地价办公!$N$19:$AG$19</definedName>
    <definedName name="季度" localSheetId="29">基准地价商业!$N$19:$AG$19</definedName>
    <definedName name="季度">基准地价住宅!$N$19:$AG$19</definedName>
    <definedName name="季度2014">地价!$A$2:$A$24</definedName>
    <definedName name="价值类型2" localSheetId="45">[1]定义!$B$54:$B$56</definedName>
    <definedName name="价值类型2" localSheetId="18">[2]定义!$B$54:$B$56</definedName>
    <definedName name="价值类型2">定义!$B$54:$B$56</definedName>
    <definedName name="交通便捷度" localSheetId="45">[1]定义!$O$1:$O$6</definedName>
    <definedName name="交通便捷度" localSheetId="18">[2]定义!$O$1:$O$6</definedName>
    <definedName name="交通便捷度">定义!$O$1:$O$6</definedName>
    <definedName name="九级">区片价!$Q$1:$Q$46</definedName>
    <definedName name="居住社区成熟度" localSheetId="45">[1]定义!$K$1:$K$6</definedName>
    <definedName name="居住社区成熟度" localSheetId="18">[2]定义!$K$1:$K$6</definedName>
    <definedName name="居住社区成熟度">定义!$K$1:$K$6</definedName>
    <definedName name="类别" localSheetId="45">[1]定义!$J$1:$J$3</definedName>
    <definedName name="类别" localSheetId="18">[2]定义!$J$1:$J$3</definedName>
    <definedName name="类别">定义!$J$1:$J$3</definedName>
    <definedName name="临街状况" localSheetId="45">[1]定义!$T$1:$T$5</definedName>
    <definedName name="临街状况" localSheetId="18">[2]定义!$T$1:$T$5</definedName>
    <definedName name="临街状况">定义!$T$1:$T$5</definedName>
    <definedName name="六级">区片价!$N$1:$N$49</definedName>
    <definedName name="内部装修维护情况" localSheetId="45">[1]定义!$U$1:$U$6</definedName>
    <definedName name="内部装修维护情况" localSheetId="18">[2]定义!$U$1:$U$6</definedName>
    <definedName name="内部装修维护情况">定义!$U$1:$U$6</definedName>
    <definedName name="判定" localSheetId="45">[1]定义!$D$1:$D$4</definedName>
    <definedName name="判定" localSheetId="18">[2]定义!$D$1:$D$4</definedName>
    <definedName name="判定">定义!$D$1:$D$4</definedName>
    <definedName name="七级">区片价!$O$1:$O$49</definedName>
    <definedName name="七通一平" localSheetId="45">[1]修正!$A$6:$A$14</definedName>
    <definedName name="七通一平" localSheetId="18">[2]修正!$A$6:$A$14</definedName>
    <definedName name="七通一平">修正!$A$6:$A$14</definedName>
    <definedName name="区域土地利用方向" localSheetId="45">[1]定义!$P$1:$P$6</definedName>
    <definedName name="区域土地利用方向" localSheetId="18">[2]定义!$P$1:$P$6</definedName>
    <definedName name="区域土地利用方向">定义!$P$1:$P$6</definedName>
    <definedName name="三级">区片价!$K$1:$K$21</definedName>
    <definedName name="商业层高" localSheetId="45">'[1]不动产比较法-商业'!$B$116:$M$116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18">[2]定义!$L$1:$L$6</definedName>
    <definedName name="商业繁华度">定义!$L$1:$L$6</definedName>
    <definedName name="商业公共部分装修" localSheetId="45">'[1]不动产比较法-商业'!$B$107:$M$107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18">'[2]不动产比较法-商业'!$B$112:$M$112</definedName>
    <definedName name="商业基础设施水平">'不动产比较法-商业'!$B$112:$M$112</definedName>
    <definedName name="商业建筑结构" localSheetId="45">'[1]不动产比较法-商业'!$B$105:$M$105</definedName>
    <definedName name="商业建筑结构" localSheetId="18">'[2]不动产比较法-商业'!$B$105:$M$105</definedName>
    <definedName name="商业建筑结构">'不动产比较法-商业'!$B$105:$M$105</definedName>
    <definedName name="商业交易情况" localSheetId="45">'[1]不动产比较法-商业'!$A$61:$M$61</definedName>
    <definedName name="商业交易情况" localSheetId="18">'[2]不动产比较法-商业'!$A$61:$M$61</definedName>
    <definedName name="商业交易情况">'不动产比较法-商业'!$A$61:$M$61</definedName>
    <definedName name="商业街名称" localSheetId="45">[1]修正!$C$59:$C$119</definedName>
    <definedName name="商业街名称" localSheetId="18">[2]修正!$C$59:$C$119</definedName>
    <definedName name="商业街名称">修正!$C$59:$C$119</definedName>
    <definedName name="商业进深比" localSheetId="45">'[1]不动产比较法-商业'!$B$120:$M$120</definedName>
    <definedName name="商业进深比" localSheetId="18">'[2]不动产比较法-商业'!$B$120:$M$120</definedName>
    <definedName name="商业进深比">'不动产比较法-商业'!$B$120:$M$120</definedName>
    <definedName name="商业类型" localSheetId="45">'[1]不动产比较法-商业'!$B$100:$M$100</definedName>
    <definedName name="商业类型" localSheetId="18">'[2]不动产比较法-商业'!$B$100:$M$100</definedName>
    <definedName name="商业类型">'不动产比较法-商业'!$B$100:$M$100</definedName>
    <definedName name="商业临街状况" localSheetId="45">'[1]不动产比较法-商业'!$B$86:$M$86</definedName>
    <definedName name="商业临街状况" localSheetId="18">'[2]不动产比较法-商业'!$B$86:$M$86</definedName>
    <definedName name="商业临街状况">'不动产比较法-商业'!$B$86:$M$86</definedName>
    <definedName name="商业楼层" localSheetId="45">'[1]不动产比较法-商业'!$B$92:$M$92</definedName>
    <definedName name="商业楼层" localSheetId="18">'[2]不动产比较法-商业'!$B$92:$M$92</definedName>
    <definedName name="商业楼层">'不动产比较法-商业'!$B$92:$M$92</definedName>
    <definedName name="商业内部装修" localSheetId="45">'[1]不动产比较法-商业'!$B$122:$M$122</definedName>
    <definedName name="商业内部装修" localSheetId="18">'[2]不动产比较法-商业'!$B$122:$M$122</definedName>
    <definedName name="商业内部装修">'不动产比较法-商业'!$B$122:$M$122</definedName>
    <definedName name="商业人流量" localSheetId="45">'[1]不动产比较法-商业'!$B$90:$M$90</definedName>
    <definedName name="商业人流量" localSheetId="18">'[2]不动产比较法-商业'!$B$90:$M$90</definedName>
    <definedName name="商业人流量">'不动产比较法-商业'!$B$90:$M$90</definedName>
    <definedName name="商业业态" localSheetId="45">'[1]不动产比较法-商业'!$B$114:$M$114</definedName>
    <definedName name="商业业态" localSheetId="18">'[2]不动产比较法-商业'!$B$114:$M$114</definedName>
    <definedName name="商业业态">'不动产比较法-商业'!$B$114:$M$114</definedName>
    <definedName name="商业用途" localSheetId="45">'[1]不动产比较法-商业'!$B$63:$M$63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18">'[2]不动产比较法-仓储'!$B$89:$M$89</definedName>
    <definedName name="是否封闭">'不动产比较法-仓储'!$B$89:$M$89</definedName>
    <definedName name="是否直接入户" localSheetId="45">'[1]不动产比较法-车位'!$B$95:$M$95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18">'[2]比较法-工业'!$B$116:$M$116</definedName>
    <definedName name="套工工程地质条件">'比较法-工业'!$B$116:$M$116</definedName>
    <definedName name="套工交易情况" localSheetId="45">'[1]比较法-住宅、综合'!$A$75:$M$75</definedName>
    <definedName name="套工交易情况" localSheetId="18">'[2]比较法-住宅、综合'!$A$75:$M$75</definedName>
    <definedName name="套工交易情况">'比较法-住宅、综合'!$A$75:$M$75</definedName>
    <definedName name="套工开发程度" localSheetId="45">'[1]比较法-工业'!$B$114:$M$114</definedName>
    <definedName name="套工开发程度" localSheetId="18">'[2]比较法-工业'!$B$114:$M$114</definedName>
    <definedName name="套工开发程度">'比较法-工业'!$B$114:$M$114</definedName>
    <definedName name="套工临街等级" localSheetId="45">'[1]比较法-工业'!$B$99:$M$99</definedName>
    <definedName name="套工临街等级" localSheetId="18">'[2]比较法-工业'!$B$99:$M$99</definedName>
    <definedName name="套工临街等级">'比较法-工业'!$B$99:$M$99</definedName>
    <definedName name="套工土地级别" localSheetId="45">'[1]比较法-工业'!$B$101:$M$101</definedName>
    <definedName name="套工土地级别" localSheetId="18">'[2]比较法-工业'!$B$101:$M$101</definedName>
    <definedName name="套工土地级别">'比较法-工业'!$B$101:$M$101</definedName>
    <definedName name="套工用途" localSheetId="45">'[1]比较法-工业'!$B$72:$M$72</definedName>
    <definedName name="套工用途" localSheetId="18">'[2]比较法-工业'!$B$72:$M$72</definedName>
    <definedName name="套工用途">'比较法-工业'!$B$72:$M$72</definedName>
    <definedName name="套工宗地形状" localSheetId="45">'[1]比较法-工业'!$B$112:$M$112</definedName>
    <definedName name="套工宗地形状" localSheetId="18">'[2]比较法-工业'!$B$112:$M$112</definedName>
    <definedName name="套工宗地形状">'比较法-工业'!$B$112:$M$112</definedName>
    <definedName name="套综道路等级" localSheetId="45">'[1]比较法-住宅、综合'!$B$108:$M$108</definedName>
    <definedName name="套综道路等级" localSheetId="18">'[2]比较法-住宅、综合'!$B$108:$M$108</definedName>
    <definedName name="套综道路等级">'比较法-住宅、综合'!$B$108:$M$108</definedName>
    <definedName name="套综工程地质条件" localSheetId="45">'[1]比较法-住宅、综合'!$B$127:$M$127</definedName>
    <definedName name="套综工程地质条件" localSheetId="18">'[2]比较法-住宅、综合'!$B$127:$M$127</definedName>
    <definedName name="套综工程地质条件">'比较法-住宅、综合'!$B$127:$M$127</definedName>
    <definedName name="套综交易情况" localSheetId="45">'[1]比较法-住宅、综合'!$A$75:$M$75</definedName>
    <definedName name="套综交易情况" localSheetId="18">'[2]比较法-住宅、综合'!$A$75:$M$75</definedName>
    <definedName name="套综交易情况">'比较法-住宅、综合'!$A$75:$M$75</definedName>
    <definedName name="套综临街宽度及深度" localSheetId="45">'[1]比较法-住宅、综合'!$B$123:$M$123</definedName>
    <definedName name="套综临街宽度及深度" localSheetId="18">'[2]比较法-住宅、综合'!$B$123:$M$123</definedName>
    <definedName name="套综临街宽度及深度">'比较法-住宅、综合'!$B$123:$M$123</definedName>
    <definedName name="套综土地级别" localSheetId="45">'[1]比较法-住宅、综合'!$B$110:$M$110</definedName>
    <definedName name="套综土地级别" localSheetId="18">'[2]比较法-住宅、综合'!$B$110:$M$110</definedName>
    <definedName name="套综土地级别">'比较法-住宅、综合'!$B$110:$M$110</definedName>
    <definedName name="套综用途" localSheetId="45">'[1]比较法-住宅、综合'!$B$77:$M$77</definedName>
    <definedName name="套综用途" localSheetId="18">'[2]比较法-住宅、综合'!$B$77:$M$77</definedName>
    <definedName name="套综用途">'比较法-住宅、综合'!$B$77:$M$77</definedName>
    <definedName name="套综宗地内开发程度" localSheetId="45">'[1]比较法-住宅、综合'!$B$125:$M$125</definedName>
    <definedName name="套综宗地内开发程度" localSheetId="18">'[2]比较法-住宅、综合'!$B$125:$M$125</definedName>
    <definedName name="套综宗地内开发程度">'比较法-住宅、综合'!$B$125:$M$125</definedName>
    <definedName name="套综宗地形状" localSheetId="45">'[1]比较法-住宅、综合'!$B$121:$M$121</definedName>
    <definedName name="套综宗地形状" localSheetId="18">'[2]比较法-住宅、综合'!$B$121:$M$121</definedName>
    <definedName name="套综宗地形状">'比较法-住宅、综合'!$B$121:$M$121</definedName>
    <definedName name="土地估价师" localSheetId="45">[1]估价师及机构信息!$D$3:$D$24</definedName>
    <definedName name="土地估价师" localSheetId="18">[2]估价师及机构信息!$D$3:$D$24</definedName>
    <definedName name="土地估价师">估价师及机构信息!$D$3:$D$24</definedName>
    <definedName name="土地级别" localSheetId="45">[1]定义!$C$1:$C$14</definedName>
    <definedName name="土地级别" localSheetId="18">[2]定义!$C$1:$C$14</definedName>
    <definedName name="土地级别">定义!$C$1:$C$14</definedName>
    <definedName name="土地利用方向">定义!$P$1:$P$6</definedName>
    <definedName name="土地年限区间" localSheetId="45">[1]定义!$I$1:$I$8</definedName>
    <definedName name="土地年限区间" localSheetId="18">[2]定义!$I$1:$I$8</definedName>
    <definedName name="土地年限区间">定义!$I$1:$I$8</definedName>
    <definedName name="位置" localSheetId="45">[1]定义!$E$2:$E$4</definedName>
    <definedName name="位置" localSheetId="18">[2]定义!$E$2:$E$4</definedName>
    <definedName name="位置">定义!$E$2:$E$4</definedName>
    <definedName name="五等判定" localSheetId="45">[1]定义!$W$1:$W$6</definedName>
    <definedName name="五等判定" localSheetId="18">[2]定义!$W$1:$W$6</definedName>
    <definedName name="五等判定">定义!$W$1:$W$6</definedName>
    <definedName name="五级">区片价!$M$1:$M$35</definedName>
    <definedName name="项目类型" localSheetId="45">'[1]数据-汇总表'!$C$17:$C$26</definedName>
    <definedName name="项目类型" localSheetId="18">'[2]数据-汇总表'!$C$17:$C$26</definedName>
    <definedName name="项目类型">'数据-汇总表'!$C$17:$C$26</definedName>
    <definedName name="写字楼等级" localSheetId="45">'[1]不动产比较法-办公'!$B$113:$M$113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 localSheetId="18">[2]典型户型修正!$5:$5</definedName>
    <definedName name="一修多修正项2">典型户型修正!$5:$5</definedName>
    <definedName name="一修多修正项3" localSheetId="45">[1]典型户型修正!$7:$7</definedName>
    <definedName name="一修多修正项3" localSheetId="18">[2]典型户型修正!$7:$7</definedName>
    <definedName name="一修多修正项3">典型户型修正!$7:$7</definedName>
    <definedName name="一修多修正项4" localSheetId="45">[1]典型户型修正!$9:$9</definedName>
    <definedName name="一修多修正项4" localSheetId="18">[2]典型户型修正!$9:$9</definedName>
    <definedName name="一修多修正项4">典型户型修正!$9:$9</definedName>
    <definedName name="一修多修正项5" localSheetId="45">[1]典型户型修正!$11:$11</definedName>
    <definedName name="一修多修正项5" localSheetId="18">[2]典型户型修正!$11:$11</definedName>
    <definedName name="一修多修正项5">典型户型修正!$11:$11</definedName>
    <definedName name="一修多修正项6" localSheetId="45">[1]典型户型修正!$13:$13</definedName>
    <definedName name="一修多修正项6" localSheetId="18">[2]典型户型修正!$13:$13</definedName>
    <definedName name="一修多修正项6">典型户型修正!$13:$13</definedName>
    <definedName name="一修多修正项7" localSheetId="45">[1]典型户型修正!$15:$15</definedName>
    <definedName name="一修多修正项7" localSheetId="18">[2]典型户型修正!$15:$15</definedName>
    <definedName name="一修多修正项7">典型户型修正!$15:$15</definedName>
    <definedName name="一修多修正项8" localSheetId="45">[1]典型户型修正!$17:$17</definedName>
    <definedName name="一修多修正项8" localSheetId="18">[2]典型户型修正!$17:$17</definedName>
    <definedName name="一修多修正项8">典型户型修正!$17:$17</definedName>
    <definedName name="用途类型" localSheetId="45">[1]定义!$A$1:$A$50</definedName>
    <definedName name="用途类型" localSheetId="18">[2]定义!$A$1:$A$50</definedName>
    <definedName name="用途类型">定义!$A$1:$A$50</definedName>
    <definedName name="有无电梯" localSheetId="45">'[1]不动产比较法-仓储'!$B$84:$M$84</definedName>
    <definedName name="有无电梯" localSheetId="18">'[2]不动产比较法-仓储'!$B$84:$M$84</definedName>
    <definedName name="有无电梯">'不动产比较法-仓储'!$B$84:$M$84</definedName>
    <definedName name="主用途" localSheetId="45">[1]定义!$F$1:$F$10</definedName>
    <definedName name="主用途" localSheetId="18">[2]定义!$F$1:$F$10</definedName>
    <definedName name="主用途">定义!$F$1:$F$10</definedName>
    <definedName name="住宅朝向" localSheetId="45">'[1]不动产比较法-住宅'!$B$88:$M$88</definedName>
    <definedName name="住宅朝向" localSheetId="18">'[2]不动产比较法-住宅'!$B$88:$M$88</definedName>
    <definedName name="住宅朝向">'不动产比较法-住宅'!$B$88:$M$88</definedName>
    <definedName name="住宅房型" localSheetId="45">'[1]不动产比较法-住宅'!$B$118:$M$118</definedName>
    <definedName name="住宅房型" localSheetId="18">'[2]不动产比较法-住宅'!$B$118:$M$118</definedName>
    <definedName name="住宅房型">'不动产比较法-住宅'!$B$118:$M$118</definedName>
    <definedName name="住宅公共部分装修" localSheetId="45">'[1]不动产比较法-住宅'!$B$109:$M$109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18">'[2]不动产比较法-住宅'!$B$116:$M$116</definedName>
    <definedName name="住宅基础设施水平">'不动产比较法-住宅'!$B$116:$M$116</definedName>
    <definedName name="住宅建筑结构" localSheetId="45">'[1]不动产比较法-住宅'!$B$105:$M$105</definedName>
    <definedName name="住宅建筑结构" localSheetId="18">'[2]不动产比较法-住宅'!$B$105:$M$105</definedName>
    <definedName name="住宅建筑结构">'不动产比较法-住宅'!$B$105:$M$105</definedName>
    <definedName name="住宅建筑类型" localSheetId="45">'[1]不动产比较法-住宅'!$B$100:$M$100</definedName>
    <definedName name="住宅建筑类型" localSheetId="18">'[2]不动产比较法-住宅'!$B$100:$M$100</definedName>
    <definedName name="住宅建筑类型">'不动产比较法-住宅'!$B$100:$M$100</definedName>
    <definedName name="住宅建筑品质" localSheetId="45">'[1]不动产比较法-住宅'!$B$107:$M$107</definedName>
    <definedName name="住宅建筑品质" localSheetId="18">'[2]不动产比较法-住宅'!$B$107:$M$107</definedName>
    <definedName name="住宅建筑品质">'不动产比较法-住宅'!$B$107:$M$107</definedName>
    <definedName name="住宅交易情况" localSheetId="45">'[1]不动产比较法-住宅'!$A$61:$M$61</definedName>
    <definedName name="住宅交易情况" localSheetId="18">'[2]不动产比较法-住宅'!$A$61:$M$61</definedName>
    <definedName name="住宅交易情况">'不动产比较法-住宅'!$A$61:$M$61</definedName>
    <definedName name="住宅楼层" localSheetId="45">'[1]不动产比较法-住宅'!$B$86:$M$86</definedName>
    <definedName name="住宅楼层" localSheetId="18">'[2]不动产比较法-住宅'!$B$86:$M$86</definedName>
    <definedName name="住宅楼层">'不动产比较法-住宅'!$B$86:$M$86</definedName>
    <definedName name="住宅内部装修" localSheetId="45">'[1]不动产比较法-住宅'!$B$122:$M$122</definedName>
    <definedName name="住宅内部装修" localSheetId="18">'[2]不动产比较法-住宅'!$B$122:$M$122</definedName>
    <definedName name="住宅内部装修">'不动产比较法-住宅'!$B$122:$M$122</definedName>
    <definedName name="住宅物业管理" localSheetId="45">'[1]不动产比较法-住宅'!$B$114:$M$114</definedName>
    <definedName name="住宅物业管理" localSheetId="18">'[2]不动产比较法-住宅'!$B$114:$M$114</definedName>
    <definedName name="住宅物业管理">'不动产比较法-住宅'!$B$114:$M$114</definedName>
    <definedName name="住宅用途" localSheetId="45">'[1]不动产比较法-住宅'!$B$63:$M$63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6" l="1"/>
  <c r="B14" i="66"/>
  <c r="B1" i="66"/>
  <c r="B2" i="66"/>
  <c r="H7" i="73" l="1"/>
  <c r="H8" i="73" l="1"/>
  <c r="F11" i="74" l="1"/>
  <c r="F12" i="74"/>
  <c r="N15" i="73" l="1"/>
  <c r="I15" i="73"/>
  <c r="I14" i="73"/>
  <c r="K12" i="73"/>
  <c r="K14" i="73"/>
  <c r="K15" i="73" s="1"/>
  <c r="N8" i="73"/>
  <c r="N7" i="73"/>
  <c r="N14" i="73" s="1"/>
  <c r="C8" i="12" l="1"/>
  <c r="D10" i="73" l="1"/>
  <c r="D17" i="73" s="1"/>
  <c r="D8" i="73"/>
  <c r="D15" i="73" s="1"/>
  <c r="D9" i="73"/>
  <c r="D16" i="73" s="1"/>
  <c r="B20" i="1"/>
  <c r="Q6" i="1"/>
  <c r="L6" i="1"/>
  <c r="K6" i="73"/>
  <c r="K13" i="73" s="1"/>
  <c r="F7" i="74"/>
  <c r="F10" i="74" s="1"/>
  <c r="I13" i="73" l="1"/>
  <c r="E7" i="74" l="1"/>
  <c r="E10" i="74" s="1"/>
  <c r="I12" i="73" l="1"/>
  <c r="D5" i="9"/>
  <c r="H15" i="73" l="1"/>
  <c r="J15" i="73" l="1"/>
  <c r="J32" i="73" l="1"/>
  <c r="H32" i="73"/>
  <c r="O32" i="73" l="1"/>
  <c r="O15" i="73"/>
  <c r="G70" i="46" l="1"/>
  <c r="G71" i="46"/>
  <c r="G72" i="46"/>
  <c r="G73" i="46"/>
  <c r="G74" i="46"/>
  <c r="G75" i="46"/>
  <c r="G76" i="46"/>
  <c r="G77" i="46"/>
  <c r="G69" i="46"/>
  <c r="E16" i="72" l="1"/>
  <c r="D16" i="72" s="1"/>
  <c r="C16" i="72"/>
  <c r="D3" i="72"/>
  <c r="B3" i="72"/>
  <c r="D2" i="72"/>
  <c r="D4" i="72" s="1"/>
  <c r="B2" i="72"/>
  <c r="B4" i="72" s="1"/>
  <c r="C4" i="72" l="1"/>
  <c r="B3" i="4"/>
  <c r="B11" i="71"/>
  <c r="C11" i="71"/>
  <c r="D11" i="71"/>
  <c r="B12" i="71"/>
  <c r="C12" i="71"/>
  <c r="D12" i="71"/>
  <c r="B10" i="71"/>
  <c r="C10" i="71"/>
  <c r="D10" i="71"/>
  <c r="D4" i="71"/>
  <c r="D5" i="71"/>
  <c r="D3" i="71"/>
  <c r="D14" i="71"/>
  <c r="D7" i="71"/>
  <c r="A6" i="1"/>
  <c r="A7" i="1"/>
  <c r="A8" i="1"/>
  <c r="A9" i="1"/>
  <c r="G1" i="70"/>
  <c r="K9" i="1"/>
  <c r="C1" i="65"/>
  <c r="N1" i="65"/>
  <c r="B43" i="1"/>
  <c r="B41" i="1"/>
  <c r="F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s="1"/>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s="1"/>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s="1"/>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A20" i="3" s="1"/>
  <c r="BA5" i="3" s="1"/>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s="1"/>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8" i="6"/>
  <c r="E58" i="39" s="1"/>
  <c r="E20" i="6"/>
  <c r="BA13" i="3"/>
  <c r="BA14" i="3"/>
  <c r="BA15" i="3"/>
  <c r="BA16" i="3"/>
  <c r="BA17"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s="1"/>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I4" i="6" s="1"/>
  <c r="G3" i="69" s="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s="1"/>
  <c r="G19" i="69"/>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69"/>
  <c r="M19" i="69"/>
  <c r="N9" i="59"/>
  <c r="N16" i="59"/>
  <c r="N20" i="59"/>
  <c r="X3" i="59"/>
  <c r="O9" i="59"/>
  <c r="O16" i="59"/>
  <c r="O20" i="59"/>
  <c r="Y3" i="59"/>
  <c r="Z3" i="59"/>
  <c r="P9" i="59"/>
  <c r="P16" i="59"/>
  <c r="P20" i="59"/>
  <c r="AA3" i="59"/>
  <c r="Q9" i="59"/>
  <c r="Q16" i="59"/>
  <c r="Q20" i="59"/>
  <c r="AB3" i="59"/>
  <c r="N24" i="59"/>
  <c r="X5" i="59"/>
  <c r="O24" i="59"/>
  <c r="Y5" i="59"/>
  <c r="Z5" i="59"/>
  <c r="P24" i="59"/>
  <c r="AA5" i="59"/>
  <c r="Q2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69"/>
  <c r="J20" i="69"/>
  <c r="F19" i="4"/>
  <c r="F8" i="1"/>
  <c r="I20" i="69"/>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69"/>
  <c r="P24" i="69"/>
  <c r="P23" i="69"/>
  <c r="P22" i="69"/>
  <c r="P21" i="6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3" i="68"/>
  <c r="B113" i="68" s="1"/>
  <c r="G2" i="68"/>
  <c r="H113" i="68"/>
  <c r="F113" i="68"/>
  <c r="N99" i="68"/>
  <c r="N108" i="68"/>
  <c r="N101" i="68"/>
  <c r="N109" i="68" s="1"/>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J20" i="68"/>
  <c r="E19" i="4"/>
  <c r="F7" i="1"/>
  <c r="I20" i="68"/>
  <c r="C24" i="68"/>
  <c r="F39" i="68"/>
  <c r="H39" i="68"/>
  <c r="F38" i="68"/>
  <c r="H38" i="68"/>
  <c r="F37" i="68"/>
  <c r="H37" i="68"/>
  <c r="D5" i="68"/>
  <c r="F36" i="68"/>
  <c r="H36" i="68"/>
  <c r="F35" i="68"/>
  <c r="H35" i="68"/>
  <c r="F34" i="68"/>
  <c r="H34" i="68"/>
  <c r="F33" i="68"/>
  <c r="H33" i="68"/>
  <c r="C18" i="68"/>
  <c r="P25" i="68"/>
  <c r="P24" i="68"/>
  <c r="P23" i="68"/>
  <c r="P22" i="68"/>
  <c r="P21"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s="1"/>
  <c r="O7" i="1" s="1"/>
  <c r="K8" i="1"/>
  <c r="M8" i="1" s="1"/>
  <c r="O8" i="1" s="1"/>
  <c r="K10" i="1"/>
  <c r="M10" i="1" s="1"/>
  <c r="O10" i="1" s="1"/>
  <c r="K11" i="1"/>
  <c r="M11" i="1" s="1"/>
  <c r="O11" i="1" s="1"/>
  <c r="K12" i="1"/>
  <c r="M12" i="1" s="1"/>
  <c r="O12" i="1" s="1"/>
  <c r="K13" i="1"/>
  <c r="M13" i="1" s="1"/>
  <c r="O13" i="1" s="1"/>
  <c r="P13" i="1" s="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s="1"/>
  <c r="BM17" i="3"/>
  <c r="BN17" i="3"/>
  <c r="BO17" i="3"/>
  <c r="BP17" i="3"/>
  <c r="BM18" i="3"/>
  <c r="BN18" i="3"/>
  <c r="BO18" i="3"/>
  <c r="BP18" i="3"/>
  <c r="BL18" i="3"/>
  <c r="AZ18" i="3"/>
  <c r="BM19" i="3"/>
  <c r="BN19" i="3"/>
  <c r="BO19" i="3"/>
  <c r="BP19" i="3"/>
  <c r="BL19" i="3"/>
  <c r="AZ19" i="3"/>
  <c r="BM20" i="3"/>
  <c r="BN20" i="3"/>
  <c r="BO20" i="3"/>
  <c r="BP20" i="3"/>
  <c r="BM21" i="3"/>
  <c r="BN21" i="3"/>
  <c r="BL21" i="3" s="1"/>
  <c r="AZ21" i="3" s="1"/>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I20" i="46"/>
  <c r="J20" i="46"/>
  <c r="P7" i="1"/>
  <c r="O9" i="1"/>
  <c r="P9" i="1" s="1"/>
  <c r="P10" i="1"/>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s="1"/>
  <c r="H14" i="3"/>
  <c r="G14" i="3" s="1"/>
  <c r="H15" i="3"/>
  <c r="G15" i="3" s="1"/>
  <c r="H16" i="3"/>
  <c r="G16" i="3"/>
  <c r="H17" i="3"/>
  <c r="G17" i="3"/>
  <c r="H18" i="3"/>
  <c r="G18" i="3"/>
  <c r="H19" i="3"/>
  <c r="G19" i="3" s="1"/>
  <c r="H20" i="3"/>
  <c r="G20" i="3" s="1"/>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C25" i="12"/>
  <c r="G19" i="46"/>
  <c r="M20" i="46"/>
  <c r="M19" i="46"/>
  <c r="C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s="1"/>
  <c r="K99" i="46"/>
  <c r="K108" i="46"/>
  <c r="K100" i="46"/>
  <c r="E22" i="46"/>
  <c r="F33" i="46"/>
  <c r="C10" i="46"/>
  <c r="C11" i="46" s="1"/>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s="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s="1"/>
  <c r="J74" i="46"/>
  <c r="M73" i="46"/>
  <c r="K73" i="46"/>
  <c r="J73" i="46" s="1"/>
  <c r="M72" i="46"/>
  <c r="N72" i="46" s="1"/>
  <c r="K72" i="46"/>
  <c r="D72" i="46" s="1"/>
  <c r="M71" i="46"/>
  <c r="N71" i="46" s="1"/>
  <c r="K71" i="46"/>
  <c r="J71" i="46" s="1"/>
  <c r="M70" i="46"/>
  <c r="D70" i="46" s="1"/>
  <c r="K70" i="46"/>
  <c r="J70" i="46" s="1"/>
  <c r="M69" i="46"/>
  <c r="N69" i="46" s="1"/>
  <c r="D69" i="46" s="1"/>
  <c r="K69" i="46"/>
  <c r="J69" i="46" s="1"/>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s="1"/>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F10" i="1"/>
  <c r="AP10" i="1" s="1"/>
  <c r="D10" i="1"/>
  <c r="R12" i="1"/>
  <c r="B13" i="1"/>
  <c r="E13" i="1" s="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E22" i="52" s="1"/>
  <c r="N12" i="46"/>
  <c r="A7" i="46"/>
  <c r="F41" i="4"/>
  <c r="J52" i="40"/>
  <c r="H61" i="49"/>
  <c r="D38" i="4"/>
  <c r="C39" i="4"/>
  <c r="C35" i="4"/>
  <c r="C43" i="9"/>
  <c r="K47" i="9"/>
  <c r="B65" i="63"/>
  <c r="I73" i="9"/>
  <c r="F73" i="9"/>
  <c r="P73" i="9"/>
  <c r="D107" i="9"/>
  <c r="C107" i="9"/>
  <c r="C105" i="9"/>
  <c r="C110" i="9"/>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Z7" i="46"/>
  <c r="H101" i="46"/>
  <c r="H104" i="46" s="1"/>
  <c r="M101" i="46"/>
  <c r="M107" i="46" s="1"/>
  <c r="L101" i="46"/>
  <c r="L106" i="46" s="1"/>
  <c r="I101" i="46"/>
  <c r="I102"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66" i="36"/>
  <c r="J18" i="36"/>
  <c r="AE8" i="1"/>
  <c r="AE7" i="1"/>
  <c r="AE6" i="1"/>
  <c r="H7" i="37"/>
  <c r="J7" i="37"/>
  <c r="F7" i="37"/>
  <c r="AA7" i="37"/>
  <c r="R42" i="37"/>
  <c r="E42" i="37"/>
  <c r="G103" i="46"/>
  <c r="I103" i="46"/>
  <c r="M105" i="46"/>
  <c r="U7" i="35"/>
  <c r="AC7" i="36"/>
  <c r="V36" i="36"/>
  <c r="I36" i="36"/>
  <c r="I40" i="36"/>
  <c r="J40" i="36"/>
  <c r="W18" i="36"/>
  <c r="AC18" i="36"/>
  <c r="U7" i="36"/>
  <c r="G41" i="36"/>
  <c r="H41" i="36"/>
  <c r="W7" i="35"/>
  <c r="S7" i="37"/>
  <c r="U7" i="34"/>
  <c r="E48" i="33"/>
  <c r="E52" i="33"/>
  <c r="F52" i="33"/>
  <c r="D12" i="11"/>
  <c r="C12" i="11" s="1"/>
  <c r="L20" i="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J22" i="46"/>
  <c r="E41" i="36"/>
  <c r="F41" i="36"/>
  <c r="I47" i="37"/>
  <c r="J47" i="37"/>
  <c r="G47" i="37"/>
  <c r="H47" i="37"/>
  <c r="E53" i="33"/>
  <c r="F53" i="33"/>
  <c r="I53" i="33"/>
  <c r="J53" i="33"/>
  <c r="E38" i="35"/>
  <c r="I43" i="35"/>
  <c r="J43" i="35"/>
  <c r="I41" i="36"/>
  <c r="J41" i="36"/>
  <c r="R37" i="36"/>
  <c r="R43" i="37"/>
  <c r="R50" i="34"/>
  <c r="C50" i="34"/>
  <c r="B3" i="34"/>
  <c r="B2" i="34"/>
  <c r="E49" i="34"/>
  <c r="C39" i="35"/>
  <c r="B3" i="35"/>
  <c r="AC7" i="21"/>
  <c r="V48" i="21"/>
  <c r="I48" i="21"/>
  <c r="W7" i="21"/>
  <c r="U7" i="21"/>
  <c r="AB7" i="21"/>
  <c r="T48" i="21"/>
  <c r="G48" i="21"/>
  <c r="S7" i="21"/>
  <c r="AA7" i="21"/>
  <c r="R48" i="21"/>
  <c r="F72" i="39"/>
  <c r="G70" i="39"/>
  <c r="F67" i="40"/>
  <c r="G65" i="40"/>
  <c r="G46" i="37"/>
  <c r="H46" i="37"/>
  <c r="E47" i="37"/>
  <c r="F47" i="37"/>
  <c r="E43" i="35"/>
  <c r="F43" i="35"/>
  <c r="E42" i="35"/>
  <c r="F42" i="35"/>
  <c r="C37" i="36"/>
  <c r="B3" i="36"/>
  <c r="C36" i="36"/>
  <c r="C43" i="37"/>
  <c r="B3" i="37"/>
  <c r="B2" i="37"/>
  <c r="C42" i="37"/>
  <c r="C49" i="34"/>
  <c r="E54" i="34"/>
  <c r="F54" i="34"/>
  <c r="I54" i="34"/>
  <c r="J54" i="34"/>
  <c r="E53" i="34"/>
  <c r="F53" i="34"/>
  <c r="I52" i="21"/>
  <c r="J52" i="21"/>
  <c r="E48" i="21"/>
  <c r="R49" i="21"/>
  <c r="G52" i="21"/>
  <c r="H52" i="21"/>
  <c r="G53" i="21"/>
  <c r="H53" i="21"/>
  <c r="G67" i="40"/>
  <c r="H65" i="40"/>
  <c r="G72" i="39"/>
  <c r="H70" i="39"/>
  <c r="E53" i="21"/>
  <c r="F53" i="21"/>
  <c r="E52" i="21"/>
  <c r="F52" i="21"/>
  <c r="C48" i="21"/>
  <c r="C49" i="21"/>
  <c r="B3" i="21"/>
  <c r="I53" i="21"/>
  <c r="J53" i="21"/>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R49" i="39"/>
  <c r="R50" i="39" s="1"/>
  <c r="W9" i="39"/>
  <c r="AC9" i="39"/>
  <c r="V49" i="39"/>
  <c r="I49" i="39" s="1"/>
  <c r="AA9" i="40"/>
  <c r="R44" i="40"/>
  <c r="R45" i="40" s="1"/>
  <c r="S9" i="40"/>
  <c r="U9" i="39"/>
  <c r="AB9" i="39"/>
  <c r="T49" i="39"/>
  <c r="G49" i="39" s="1"/>
  <c r="AB9" i="40"/>
  <c r="T44" i="40"/>
  <c r="G44" i="40" s="1"/>
  <c r="U9" i="40"/>
  <c r="AC9" i="40"/>
  <c r="V44" i="40"/>
  <c r="I44" i="40" s="1"/>
  <c r="W9" i="40"/>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106" i="46" l="1"/>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s="1"/>
  <c r="B2" i="35"/>
  <c r="BN5" i="3"/>
  <c r="G29" i="6" s="1"/>
  <c r="E29" i="6" s="1"/>
  <c r="BR5" i="3"/>
  <c r="BS5" i="3"/>
  <c r="BQ5" i="3"/>
  <c r="BJ5" i="3"/>
  <c r="BI5" i="3"/>
  <c r="BH5" i="3"/>
  <c r="BT5" i="3"/>
  <c r="G28" i="6" s="1"/>
  <c r="G30" i="6" s="1"/>
  <c r="G31" i="6" s="1"/>
  <c r="BL20" i="3"/>
  <c r="E9" i="52"/>
  <c r="B6" i="52"/>
  <c r="B10" i="52"/>
  <c r="B23" i="52"/>
  <c r="B4" i="52"/>
  <c r="E11" i="52"/>
  <c r="C18" i="9"/>
  <c r="D18" i="9" s="1"/>
  <c r="M44" i="9" s="1"/>
  <c r="A30" i="51"/>
  <c r="B22" i="63" s="1"/>
  <c r="C16" i="46"/>
  <c r="E5" i="52"/>
  <c r="B16" i="52"/>
  <c r="E10" i="52"/>
  <c r="C4" i="4" s="1"/>
  <c r="B20" i="55" s="1"/>
  <c r="B70" i="63" s="1"/>
  <c r="B8" i="52"/>
  <c r="B9" i="52"/>
  <c r="B7" i="52"/>
  <c r="N70" i="46"/>
  <c r="J72" i="46"/>
  <c r="C5" i="46"/>
  <c r="E69" i="46"/>
  <c r="B67" i="46" s="1"/>
  <c r="C24" i="46" s="1"/>
  <c r="K15" i="1"/>
  <c r="AZ20" i="3"/>
  <c r="BL5" i="3"/>
  <c r="E14" i="6"/>
  <c r="E66" i="39" s="1"/>
  <c r="E13" i="6"/>
  <c r="E65" i="39" s="1"/>
  <c r="E11" i="6"/>
  <c r="D101" i="46"/>
  <c r="D102" i="46" s="1"/>
  <c r="F101" i="46"/>
  <c r="F102" i="46" s="1"/>
  <c r="E9" i="46"/>
  <c r="E11" i="46"/>
  <c r="E8" i="46"/>
  <c r="E10" i="46"/>
  <c r="E49" i="39"/>
  <c r="E53" i="39" s="1"/>
  <c r="F53" i="39" s="1"/>
  <c r="F105" i="46"/>
  <c r="B113" i="46"/>
  <c r="B118" i="46" s="1"/>
  <c r="C118" i="46" s="1"/>
  <c r="E101" i="46"/>
  <c r="E102" i="46" s="1"/>
  <c r="F22" i="46"/>
  <c r="K109" i="46"/>
  <c r="K107" i="46"/>
  <c r="K103" i="46"/>
  <c r="K104" i="46"/>
  <c r="K105" i="46"/>
  <c r="K102" i="46"/>
  <c r="K106" i="46"/>
  <c r="I118" i="46"/>
  <c r="J118" i="46" s="1"/>
  <c r="K118" i="46" s="1"/>
  <c r="L118" i="46" s="1"/>
  <c r="M118" i="46" s="1"/>
  <c r="C101" i="46"/>
  <c r="C107" i="46" s="1"/>
  <c r="F107" i="46"/>
  <c r="G22" i="46"/>
  <c r="C23" i="46"/>
  <c r="N105" i="68"/>
  <c r="F101" i="68"/>
  <c r="F104" i="68" s="1"/>
  <c r="N103" i="68"/>
  <c r="F105" i="68"/>
  <c r="N107" i="68"/>
  <c r="J101" i="68"/>
  <c r="J105" i="68" s="1"/>
  <c r="E61" i="40"/>
  <c r="H107" i="46"/>
  <c r="L105" i="46"/>
  <c r="N102" i="46"/>
  <c r="E105" i="46"/>
  <c r="I48" i="40"/>
  <c r="J48" i="40" s="1"/>
  <c r="G48" i="40"/>
  <c r="H48" i="40" s="1"/>
  <c r="G49" i="40"/>
  <c r="H49" i="40" s="1"/>
  <c r="F106" i="46"/>
  <c r="E109" i="46"/>
  <c r="E103" i="46"/>
  <c r="E44" i="40"/>
  <c r="I49" i="40" s="1"/>
  <c r="J49" i="40" s="1"/>
  <c r="H103" i="46"/>
  <c r="H102" i="46"/>
  <c r="L104" i="46"/>
  <c r="L102" i="46"/>
  <c r="N107" i="46"/>
  <c r="N105" i="46"/>
  <c r="P12" i="1"/>
  <c r="AZ5" i="3"/>
  <c r="E3" i="6" s="1"/>
  <c r="Z7" i="68"/>
  <c r="F22" i="68"/>
  <c r="N102" i="68"/>
  <c r="N104" i="68"/>
  <c r="N106" i="68"/>
  <c r="D101" i="68"/>
  <c r="D109" i="68" s="1"/>
  <c r="H101" i="68"/>
  <c r="H109" i="68" s="1"/>
  <c r="L101" i="68"/>
  <c r="L109" i="68" s="1"/>
  <c r="I53" i="39"/>
  <c r="J53" i="39" s="1"/>
  <c r="H109" i="46"/>
  <c r="H106" i="46"/>
  <c r="H105" i="46"/>
  <c r="L103" i="46"/>
  <c r="L109" i="46"/>
  <c r="L107" i="46"/>
  <c r="N106" i="46"/>
  <c r="N104" i="46"/>
  <c r="N103" i="46"/>
  <c r="D107" i="46"/>
  <c r="P11" i="1"/>
  <c r="P8" i="1"/>
  <c r="Y11" i="68"/>
  <c r="Y13" i="68" s="1"/>
  <c r="J22" i="68"/>
  <c r="E22" i="68"/>
  <c r="H102" i="68"/>
  <c r="C101" i="68"/>
  <c r="C109" i="68" s="1"/>
  <c r="E101" i="68"/>
  <c r="E109" i="68" s="1"/>
  <c r="G101" i="68"/>
  <c r="G109" i="68" s="1"/>
  <c r="I101" i="68"/>
  <c r="I109" i="68" s="1"/>
  <c r="K101" i="68"/>
  <c r="K109" i="68" s="1"/>
  <c r="M101" i="68"/>
  <c r="M109" i="68" s="1"/>
  <c r="G53" i="39"/>
  <c r="H53" i="39" s="1"/>
  <c r="G54" i="39"/>
  <c r="H54" i="39" s="1"/>
  <c r="E54" i="39"/>
  <c r="F54" i="39" s="1"/>
  <c r="C45" i="40"/>
  <c r="C44" i="40"/>
  <c r="C50" i="39"/>
  <c r="C49" i="39"/>
  <c r="G5" i="3"/>
  <c r="B3" i="3" s="1"/>
  <c r="D106" i="46"/>
  <c r="E104" i="46"/>
  <c r="H5" i="3"/>
  <c r="I118" i="68"/>
  <c r="J118" i="68" s="1"/>
  <c r="K118" i="68" s="1"/>
  <c r="L118" i="68" s="1"/>
  <c r="M118" i="68" s="1"/>
  <c r="B118" i="68"/>
  <c r="C118" i="68" s="1"/>
  <c r="I117" i="68"/>
  <c r="J117" i="68" s="1"/>
  <c r="K117" i="68" s="1"/>
  <c r="L117" i="68" s="1"/>
  <c r="M117" i="68" s="1"/>
  <c r="B117" i="68"/>
  <c r="C117" i="68" s="1"/>
  <c r="I116" i="68"/>
  <c r="J116" i="68" s="1"/>
  <c r="K116" i="68" s="1"/>
  <c r="L116" i="68" s="1"/>
  <c r="M116" i="68" s="1"/>
  <c r="B116" i="68"/>
  <c r="C116" i="68" s="1"/>
  <c r="I115" i="68"/>
  <c r="J115" i="68" s="1"/>
  <c r="K115" i="68" s="1"/>
  <c r="L115" i="68" s="1"/>
  <c r="M115" i="68" s="1"/>
  <c r="B115" i="68"/>
  <c r="G118" i="68"/>
  <c r="H118" i="68" s="1"/>
  <c r="D118" i="68"/>
  <c r="E118" i="68" s="1"/>
  <c r="F118" i="68" s="1"/>
  <c r="D117" i="68"/>
  <c r="E117" i="68" s="1"/>
  <c r="F117" i="68" s="1"/>
  <c r="G117" i="68" s="1"/>
  <c r="H117" i="68" s="1"/>
  <c r="D116" i="68"/>
  <c r="E116" i="68" s="1"/>
  <c r="F116" i="68" s="1"/>
  <c r="G116" i="68" s="1"/>
  <c r="H116" i="68" s="1"/>
  <c r="D115" i="68"/>
  <c r="E115" i="68" s="1"/>
  <c r="F115" i="68" s="1"/>
  <c r="G115" i="68" s="1"/>
  <c r="H115" i="68" s="1"/>
  <c r="B113" i="69"/>
  <c r="E22" i="69"/>
  <c r="F22" i="69"/>
  <c r="M101" i="69"/>
  <c r="K101" i="69"/>
  <c r="I101" i="69"/>
  <c r="G101" i="69"/>
  <c r="E101" i="69"/>
  <c r="C101" i="69"/>
  <c r="G22" i="69"/>
  <c r="AJ11" i="69"/>
  <c r="AJ13" i="69" s="1"/>
  <c r="AI11" i="69"/>
  <c r="AI13" i="69" s="1"/>
  <c r="AH11" i="69"/>
  <c r="AH13" i="69" s="1"/>
  <c r="AG11" i="69"/>
  <c r="AG13" i="69" s="1"/>
  <c r="AF11" i="69"/>
  <c r="AF13" i="69" s="1"/>
  <c r="AE11" i="69"/>
  <c r="AE13" i="69" s="1"/>
  <c r="AD11" i="69"/>
  <c r="AD13" i="69" s="1"/>
  <c r="AC11" i="69"/>
  <c r="AC13" i="69" s="1"/>
  <c r="AB11" i="69"/>
  <c r="AB13" i="69" s="1"/>
  <c r="AA11" i="69"/>
  <c r="AA13" i="69" s="1"/>
  <c r="Z11" i="69"/>
  <c r="Z13" i="69" s="1"/>
  <c r="N101" i="69"/>
  <c r="L101" i="69"/>
  <c r="J101" i="69"/>
  <c r="H101" i="69"/>
  <c r="F101" i="69"/>
  <c r="D101" i="69"/>
  <c r="H22" i="69"/>
  <c r="J22" i="69"/>
  <c r="Y11" i="69"/>
  <c r="Y13" i="69" s="1"/>
  <c r="Z7" i="69"/>
  <c r="Z11" i="68"/>
  <c r="Z13" i="68" s="1"/>
  <c r="AA11" i="68"/>
  <c r="AA13" i="68" s="1"/>
  <c r="AB11" i="68"/>
  <c r="AB13" i="68" s="1"/>
  <c r="AC11" i="68"/>
  <c r="AC13" i="68" s="1"/>
  <c r="AD11" i="68"/>
  <c r="AD13" i="68" s="1"/>
  <c r="AE11" i="68"/>
  <c r="AE13" i="68" s="1"/>
  <c r="AF11" i="68"/>
  <c r="AF13" i="68" s="1"/>
  <c r="AG11" i="68"/>
  <c r="AG13" i="68" s="1"/>
  <c r="AH11" i="68"/>
  <c r="AH13" i="68" s="1"/>
  <c r="AI11" i="68"/>
  <c r="AI13" i="68" s="1"/>
  <c r="AJ11" i="68"/>
  <c r="AJ13" i="68" s="1"/>
  <c r="H22" i="68"/>
  <c r="G22" i="68"/>
  <c r="C23" i="68"/>
  <c r="E102" i="68"/>
  <c r="I103" i="68"/>
  <c r="M104" i="68"/>
  <c r="E106" i="68"/>
  <c r="I107" i="68"/>
  <c r="E4" i="52"/>
  <c r="E16" i="52"/>
  <c r="B11" i="52"/>
  <c r="E8" i="52"/>
  <c r="B5" i="52"/>
  <c r="B13" i="52"/>
  <c r="B22" i="52"/>
  <c r="E21" i="52"/>
  <c r="B14" i="52"/>
  <c r="E6" i="52"/>
  <c r="E4" i="4" s="1"/>
  <c r="B21" i="55" s="1"/>
  <c r="B72" i="63" s="1"/>
  <c r="E7" i="52"/>
  <c r="E13" i="67"/>
  <c r="F36" i="70"/>
  <c r="J17" i="44"/>
  <c r="L47" i="15"/>
  <c r="F13" i="15"/>
  <c r="M9" i="70"/>
  <c r="E12" i="67"/>
  <c r="M31" i="44"/>
  <c r="J7" i="65"/>
  <c r="F41" i="70"/>
  <c r="B12" i="67"/>
  <c r="F7" i="70"/>
  <c r="F38" i="15"/>
  <c r="M24" i="70"/>
  <c r="F40" i="44"/>
  <c r="F46" i="44"/>
  <c r="F7" i="15"/>
  <c r="J36" i="70"/>
  <c r="F6" i="70"/>
  <c r="B13" i="67"/>
  <c r="F13" i="67"/>
  <c r="N5" i="65"/>
  <c r="M6" i="15"/>
  <c r="F26" i="70"/>
  <c r="M28" i="15"/>
  <c r="F15" i="44"/>
  <c r="M11" i="44"/>
  <c r="F45" i="44"/>
  <c r="M26" i="70"/>
  <c r="F33" i="12"/>
  <c r="M24" i="44"/>
  <c r="F38" i="70"/>
  <c r="E8" i="67"/>
  <c r="L47" i="70"/>
  <c r="B7" i="67"/>
  <c r="M30" i="44"/>
  <c r="M25" i="44"/>
  <c r="M8" i="44"/>
  <c r="E9" i="67"/>
  <c r="M27" i="15"/>
  <c r="E11" i="67"/>
  <c r="M24" i="15"/>
  <c r="L49" i="44"/>
  <c r="F16" i="15"/>
  <c r="J6" i="65"/>
  <c r="I4" i="65"/>
  <c r="F6" i="15"/>
  <c r="F8" i="67"/>
  <c r="F9" i="15"/>
  <c r="F39" i="44"/>
  <c r="M9" i="15"/>
  <c r="M23" i="15"/>
  <c r="J4" i="65"/>
  <c r="M27" i="70"/>
  <c r="M8" i="70"/>
  <c r="I7" i="65"/>
  <c r="M29" i="44"/>
  <c r="B11" i="67"/>
  <c r="F36" i="15"/>
  <c r="E7" i="67"/>
  <c r="F9" i="44"/>
  <c r="F43" i="15"/>
  <c r="F40" i="15"/>
  <c r="B9" i="67"/>
  <c r="M29" i="15"/>
  <c r="F14" i="67"/>
  <c r="F16" i="70"/>
  <c r="L48" i="15"/>
  <c r="M22" i="15"/>
  <c r="M28" i="70"/>
  <c r="F11" i="44"/>
  <c r="M26" i="44"/>
  <c r="I5" i="65"/>
  <c r="I3" i="65"/>
  <c r="E10" i="67"/>
  <c r="I6" i="65"/>
  <c r="F37" i="70"/>
  <c r="M26" i="15"/>
  <c r="F8" i="15"/>
  <c r="F42" i="15"/>
  <c r="J15" i="15"/>
  <c r="F37" i="15"/>
  <c r="N4" i="65"/>
  <c r="F13" i="70"/>
  <c r="J36" i="15"/>
  <c r="F26" i="15"/>
  <c r="M10" i="44"/>
  <c r="M28" i="44"/>
  <c r="F8" i="44"/>
  <c r="B14" i="67"/>
  <c r="F42" i="70"/>
  <c r="F10" i="44"/>
  <c r="B10" i="67"/>
  <c r="J15" i="70"/>
  <c r="L48" i="44"/>
  <c r="F43" i="70"/>
  <c r="F28" i="44"/>
  <c r="F38" i="44"/>
  <c r="M29" i="70"/>
  <c r="J5" i="65"/>
  <c r="M23" i="70"/>
  <c r="F41" i="15"/>
  <c r="B8" i="67"/>
  <c r="J3" i="65"/>
  <c r="N3" i="65"/>
  <c r="F43" i="44"/>
  <c r="M6" i="70"/>
  <c r="F18" i="44"/>
  <c r="F11" i="67"/>
  <c r="M22" i="70"/>
  <c r="N7" i="65"/>
  <c r="M8" i="15"/>
  <c r="F40" i="70"/>
  <c r="F10" i="67"/>
  <c r="N6" i="65"/>
  <c r="F8" i="70"/>
  <c r="F7" i="67"/>
  <c r="F12" i="67"/>
  <c r="F9" i="70"/>
  <c r="E14" i="67"/>
  <c r="L48" i="70"/>
  <c r="F9" i="67"/>
  <c r="D104" i="46" l="1"/>
  <c r="D103" i="46"/>
  <c r="D109" i="46"/>
  <c r="H106" i="68"/>
  <c r="I115" i="46"/>
  <c r="J115" i="46" s="1"/>
  <c r="K115" i="46" s="1"/>
  <c r="L115" i="46" s="1"/>
  <c r="M115" i="46" s="1"/>
  <c r="H104" i="68"/>
  <c r="B115" i="46"/>
  <c r="C115" i="46" s="1"/>
  <c r="D105" i="46"/>
  <c r="E12" i="6"/>
  <c r="E59" i="40" s="1"/>
  <c r="F28" i="6"/>
  <c r="E28" i="6" s="1"/>
  <c r="E64" i="39"/>
  <c r="M106" i="68"/>
  <c r="I105" i="68"/>
  <c r="E104" i="68"/>
  <c r="M102" i="68"/>
  <c r="E106" i="46"/>
  <c r="E107" i="46"/>
  <c r="F104" i="46"/>
  <c r="C103" i="46"/>
  <c r="E60" i="40"/>
  <c r="F103" i="46"/>
  <c r="F109" i="46"/>
  <c r="E10" i="6"/>
  <c r="E15" i="6"/>
  <c r="T7" i="73"/>
  <c r="I1" i="65"/>
  <c r="M43" i="9"/>
  <c r="E6" i="6"/>
  <c r="D13" i="11" s="1"/>
  <c r="C13" i="11" s="1"/>
  <c r="F19" i="6"/>
  <c r="D29" i="46"/>
  <c r="D1" i="46" s="1"/>
  <c r="E58" i="40"/>
  <c r="E63" i="39"/>
  <c r="M107" i="68"/>
  <c r="E107" i="68"/>
  <c r="I106" i="68"/>
  <c r="M105" i="68"/>
  <c r="E105" i="68"/>
  <c r="I104" i="68"/>
  <c r="M103" i="68"/>
  <c r="E103" i="68"/>
  <c r="I102" i="68"/>
  <c r="I54" i="39"/>
  <c r="J54" i="39" s="1"/>
  <c r="J107" i="68"/>
  <c r="F106" i="68"/>
  <c r="J103" i="68"/>
  <c r="F102" i="68"/>
  <c r="H107" i="68"/>
  <c r="H105" i="68"/>
  <c r="H103" i="68"/>
  <c r="D117" i="46"/>
  <c r="E117" i="46" s="1"/>
  <c r="F117" i="46" s="1"/>
  <c r="G117" i="46" s="1"/>
  <c r="H117" i="46" s="1"/>
  <c r="B117" i="46"/>
  <c r="C117" i="46" s="1"/>
  <c r="I117" i="46"/>
  <c r="J117" i="46" s="1"/>
  <c r="K117" i="46" s="1"/>
  <c r="L117" i="46" s="1"/>
  <c r="M117" i="46" s="1"/>
  <c r="D22" i="46"/>
  <c r="C21" i="46" s="1"/>
  <c r="L106" i="68"/>
  <c r="D106" i="68"/>
  <c r="L104" i="68"/>
  <c r="D104" i="68"/>
  <c r="L102" i="68"/>
  <c r="D102" i="68"/>
  <c r="D46" i="9"/>
  <c r="C104" i="46"/>
  <c r="C109" i="46"/>
  <c r="D115" i="46"/>
  <c r="E115" i="46" s="1"/>
  <c r="F115" i="46" s="1"/>
  <c r="G115" i="46" s="1"/>
  <c r="H115" i="46" s="1"/>
  <c r="B116" i="46"/>
  <c r="C116" i="46" s="1"/>
  <c r="G118" i="46"/>
  <c r="H118" i="46" s="1"/>
  <c r="D118" i="46"/>
  <c r="E118" i="46" s="1"/>
  <c r="F118" i="46" s="1"/>
  <c r="K107" i="68"/>
  <c r="G107" i="68"/>
  <c r="C107" i="68"/>
  <c r="K106" i="68"/>
  <c r="G106" i="68"/>
  <c r="C106" i="68"/>
  <c r="K105" i="68"/>
  <c r="G105" i="68"/>
  <c r="C105" i="68"/>
  <c r="K104" i="68"/>
  <c r="G104" i="68"/>
  <c r="C104" i="68"/>
  <c r="K103" i="68"/>
  <c r="G103" i="68"/>
  <c r="C103" i="68"/>
  <c r="K102" i="68"/>
  <c r="G102" i="68"/>
  <c r="C102" i="68"/>
  <c r="D22" i="68"/>
  <c r="C21" i="68" s="1"/>
  <c r="D10" i="11"/>
  <c r="D116" i="46"/>
  <c r="E116" i="46" s="1"/>
  <c r="F116" i="46" s="1"/>
  <c r="G116" i="46" s="1"/>
  <c r="H116" i="46" s="1"/>
  <c r="I116" i="46"/>
  <c r="J116" i="46" s="1"/>
  <c r="K116" i="46" s="1"/>
  <c r="L116" i="46" s="1"/>
  <c r="M116" i="46" s="1"/>
  <c r="C106" i="46"/>
  <c r="F109" i="68"/>
  <c r="F107" i="68"/>
  <c r="F103" i="68"/>
  <c r="C102" i="46"/>
  <c r="C105" i="46"/>
  <c r="D45" i="9"/>
  <c r="L38" i="9"/>
  <c r="C6" i="66" s="1"/>
  <c r="J109" i="68"/>
  <c r="J104" i="68"/>
  <c r="J106" i="68"/>
  <c r="J102" i="68"/>
  <c r="L107" i="68"/>
  <c r="D107" i="68"/>
  <c r="L105" i="68"/>
  <c r="D105" i="68"/>
  <c r="L103" i="68"/>
  <c r="D103" i="68"/>
  <c r="D44" i="9"/>
  <c r="C21" i="4"/>
  <c r="O5" i="54" s="1"/>
  <c r="B45" i="63" s="1"/>
  <c r="D16" i="43"/>
  <c r="C16" i="43" s="1"/>
  <c r="E49" i="40"/>
  <c r="F49" i="40" s="1"/>
  <c r="E48" i="40"/>
  <c r="F48" i="40" s="1"/>
  <c r="C7" i="66"/>
  <c r="S8" i="1"/>
  <c r="D109" i="69"/>
  <c r="D107" i="69"/>
  <c r="D106" i="69"/>
  <c r="D105" i="69"/>
  <c r="D104" i="69"/>
  <c r="D103" i="69"/>
  <c r="D102" i="69"/>
  <c r="H109" i="69"/>
  <c r="H107" i="69"/>
  <c r="H106" i="69"/>
  <c r="H105" i="69"/>
  <c r="H104" i="69"/>
  <c r="H103" i="69"/>
  <c r="H102" i="69"/>
  <c r="L109" i="69"/>
  <c r="L107" i="69"/>
  <c r="L106" i="69"/>
  <c r="L105" i="69"/>
  <c r="L104" i="69"/>
  <c r="L103" i="69"/>
  <c r="L102" i="69"/>
  <c r="C109" i="69"/>
  <c r="C107" i="69"/>
  <c r="C106" i="69"/>
  <c r="C105" i="69"/>
  <c r="C104" i="69"/>
  <c r="C103" i="69"/>
  <c r="C102" i="69"/>
  <c r="G109" i="69"/>
  <c r="G107" i="69"/>
  <c r="G106" i="69"/>
  <c r="G105" i="69"/>
  <c r="G104" i="69"/>
  <c r="G103" i="69"/>
  <c r="G102" i="69"/>
  <c r="K109" i="69"/>
  <c r="C23" i="69" s="1"/>
  <c r="K107" i="69"/>
  <c r="K106" i="69"/>
  <c r="K105" i="69"/>
  <c r="K104" i="69"/>
  <c r="K103" i="69"/>
  <c r="K102" i="69"/>
  <c r="S7" i="1"/>
  <c r="S7" i="68"/>
  <c r="S6" i="68"/>
  <c r="S4" i="68"/>
  <c r="S5" i="68"/>
  <c r="S2" i="68"/>
  <c r="F109" i="69"/>
  <c r="F107" i="69"/>
  <c r="F106" i="69"/>
  <c r="F105" i="69"/>
  <c r="F104" i="69"/>
  <c r="F103" i="69"/>
  <c r="F102" i="69"/>
  <c r="J109" i="69"/>
  <c r="J107" i="69"/>
  <c r="J106" i="69"/>
  <c r="J105" i="69"/>
  <c r="J104" i="69"/>
  <c r="J103" i="69"/>
  <c r="J102" i="69"/>
  <c r="N109" i="69"/>
  <c r="N107" i="69"/>
  <c r="N106" i="69"/>
  <c r="N105" i="69"/>
  <c r="N104" i="69"/>
  <c r="N103" i="69"/>
  <c r="N102" i="69"/>
  <c r="E109" i="69"/>
  <c r="E107" i="69"/>
  <c r="E106" i="69"/>
  <c r="E105" i="69"/>
  <c r="E104" i="69"/>
  <c r="E103" i="69"/>
  <c r="E102" i="69"/>
  <c r="I109" i="69"/>
  <c r="I107" i="69"/>
  <c r="I106" i="69"/>
  <c r="I105" i="69"/>
  <c r="I104" i="69"/>
  <c r="I103" i="69"/>
  <c r="I102" i="69"/>
  <c r="M109" i="69"/>
  <c r="M107" i="69"/>
  <c r="M106" i="69"/>
  <c r="M105" i="69"/>
  <c r="M104" i="69"/>
  <c r="M103" i="69"/>
  <c r="M102" i="69"/>
  <c r="D22" i="69"/>
  <c r="C21" i="69" s="1"/>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B64" i="39"/>
  <c r="F64" i="39" s="1"/>
  <c r="B65" i="39"/>
  <c r="F65" i="39" s="1"/>
  <c r="B58" i="39"/>
  <c r="F58" i="39" s="1"/>
  <c r="B62" i="39"/>
  <c r="F62" i="39" s="1"/>
  <c r="B66" i="39"/>
  <c r="F66" i="39" s="1"/>
  <c r="B61" i="39"/>
  <c r="F61" i="39" s="1"/>
  <c r="B59" i="39"/>
  <c r="F59" i="39" s="1"/>
  <c r="B63" i="39"/>
  <c r="F63" i="39" s="1"/>
  <c r="B60" i="39"/>
  <c r="F60" i="39" s="1"/>
  <c r="B67" i="39"/>
  <c r="B61" i="40"/>
  <c r="F61" i="40" s="1"/>
  <c r="B57" i="40"/>
  <c r="F57" i="40" s="1"/>
  <c r="B54" i="40"/>
  <c r="F54" i="40" s="1"/>
  <c r="B53" i="40"/>
  <c r="F53" i="40" s="1"/>
  <c r="B56" i="40"/>
  <c r="F56" i="40" s="1"/>
  <c r="B58" i="40"/>
  <c r="F58" i="40" s="1"/>
  <c r="B55" i="40"/>
  <c r="F55" i="40" s="1"/>
  <c r="B60" i="40"/>
  <c r="F60" i="40" s="1"/>
  <c r="B59" i="40"/>
  <c r="B62" i="40"/>
  <c r="G118" i="69"/>
  <c r="H118" i="69" s="1"/>
  <c r="D118" i="69"/>
  <c r="E118" i="69" s="1"/>
  <c r="F118" i="69" s="1"/>
  <c r="D117" i="69"/>
  <c r="E117" i="69" s="1"/>
  <c r="F117" i="69" s="1"/>
  <c r="G117" i="69" s="1"/>
  <c r="H117" i="69" s="1"/>
  <c r="D116" i="69"/>
  <c r="E116" i="69" s="1"/>
  <c r="F116" i="69" s="1"/>
  <c r="G116" i="69" s="1"/>
  <c r="H116" i="69" s="1"/>
  <c r="D115" i="69"/>
  <c r="E115" i="69" s="1"/>
  <c r="F115" i="69" s="1"/>
  <c r="G115" i="69" s="1"/>
  <c r="H115" i="69" s="1"/>
  <c r="I118" i="69"/>
  <c r="J118" i="69" s="1"/>
  <c r="K118" i="69" s="1"/>
  <c r="L118" i="69" s="1"/>
  <c r="M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C115" i="68"/>
  <c r="D113" i="68" s="1"/>
  <c r="E15" i="3"/>
  <c r="F65" i="70"/>
  <c r="C8" i="44"/>
  <c r="F67" i="15"/>
  <c r="J61" i="44"/>
  <c r="Q50" i="44" s="1"/>
  <c r="I55" i="44"/>
  <c r="L57" i="44"/>
  <c r="J58" i="44"/>
  <c r="J56" i="44" s="1"/>
  <c r="J59" i="44" s="1"/>
  <c r="Q52" i="44" s="1"/>
  <c r="J54" i="44"/>
  <c r="F1" i="44" s="1"/>
  <c r="J60" i="44"/>
  <c r="C6" i="15"/>
  <c r="B2" i="67"/>
  <c r="F70" i="70"/>
  <c r="C34" i="12"/>
  <c r="D33" i="12" s="1"/>
  <c r="M9" i="44"/>
  <c r="J8" i="44" s="1"/>
  <c r="F50" i="15"/>
  <c r="E3" i="67"/>
  <c r="F67" i="70"/>
  <c r="F64" i="15"/>
  <c r="C27" i="15"/>
  <c r="F68" i="70"/>
  <c r="J53" i="70"/>
  <c r="F1" i="70" s="1"/>
  <c r="I54" i="70"/>
  <c r="J57" i="70"/>
  <c r="J55" i="70" s="1"/>
  <c r="J58" i="70" s="1"/>
  <c r="Q51" i="70" s="1"/>
  <c r="L56" i="70"/>
  <c r="C29" i="44"/>
  <c r="C6" i="70"/>
  <c r="F63" i="70"/>
  <c r="L59" i="70"/>
  <c r="Q62" i="70" s="1"/>
  <c r="L58" i="70"/>
  <c r="Q61" i="70" s="1"/>
  <c r="M7" i="70"/>
  <c r="J6" i="70" s="1"/>
  <c r="F49" i="70"/>
  <c r="Q73" i="44"/>
  <c r="L59" i="44"/>
  <c r="Q62" i="44" s="1"/>
  <c r="L60" i="44"/>
  <c r="Q63" i="44" s="1"/>
  <c r="J1" i="65"/>
  <c r="E4" i="67"/>
  <c r="L59" i="15"/>
  <c r="Q62" i="15" s="1"/>
  <c r="L58" i="15"/>
  <c r="Q61" i="15" s="1"/>
  <c r="Q72" i="70"/>
  <c r="F50" i="70"/>
  <c r="F63" i="15"/>
  <c r="E20" i="46"/>
  <c r="O17" i="46" s="1"/>
  <c r="G20" i="46" s="1"/>
  <c r="C20" i="46" s="1"/>
  <c r="E20" i="69"/>
  <c r="N17" i="69" s="1"/>
  <c r="G20" i="69" s="1"/>
  <c r="C20" i="69" s="1"/>
  <c r="E20" i="68"/>
  <c r="O17" i="68" s="1"/>
  <c r="C27" i="70"/>
  <c r="F70" i="15"/>
  <c r="F65" i="15"/>
  <c r="F68" i="15"/>
  <c r="Q72" i="15"/>
  <c r="L56" i="15"/>
  <c r="J57" i="15"/>
  <c r="J55" i="15" s="1"/>
  <c r="J58" i="15" s="1"/>
  <c r="Q51" i="15" s="1"/>
  <c r="I54" i="15"/>
  <c r="J53" i="15"/>
  <c r="F1" i="15" s="1"/>
  <c r="M7" i="15"/>
  <c r="J6" i="15" s="1"/>
  <c r="F49" i="15"/>
  <c r="C4" i="65"/>
  <c r="B39" i="1" s="1"/>
  <c r="F11" i="70" s="1"/>
  <c r="F64" i="70"/>
  <c r="Q54" i="44"/>
  <c r="M17" i="70"/>
  <c r="C16" i="70"/>
  <c r="F33" i="44"/>
  <c r="F58" i="15"/>
  <c r="C18" i="44"/>
  <c r="C17" i="15"/>
  <c r="F31" i="15"/>
  <c r="C17" i="70"/>
  <c r="E2" i="65"/>
  <c r="M19" i="44"/>
  <c r="F58" i="70"/>
  <c r="C16" i="15"/>
  <c r="E3" i="65"/>
  <c r="M17" i="15"/>
  <c r="F31" i="70"/>
  <c r="C19" i="44"/>
  <c r="F59" i="40" l="1"/>
  <c r="E16" i="6"/>
  <c r="F30" i="6"/>
  <c r="K14" i="1"/>
  <c r="M14" i="1" s="1"/>
  <c r="O14" i="1" s="1"/>
  <c r="P14" i="1" s="1"/>
  <c r="E30" i="6"/>
  <c r="E62" i="40"/>
  <c r="F62" i="40" s="1"/>
  <c r="E67" i="39"/>
  <c r="F67" i="39" s="1"/>
  <c r="C8" i="66"/>
  <c r="I32" i="73"/>
  <c r="K32" i="73"/>
  <c r="M32" i="73"/>
  <c r="Q74" i="70"/>
  <c r="C48" i="70"/>
  <c r="B40" i="1"/>
  <c r="F21" i="43" s="1"/>
  <c r="C23" i="43" s="1"/>
  <c r="D21" i="43" s="1"/>
  <c r="Q76" i="44"/>
  <c r="N17" i="46"/>
  <c r="B4" i="67"/>
  <c r="E19" i="6"/>
  <c r="F27" i="6"/>
  <c r="F31" i="6" s="1"/>
  <c r="M11" i="70"/>
  <c r="J10" i="70" s="1"/>
  <c r="J5" i="70" s="1"/>
  <c r="Q74" i="15"/>
  <c r="Q53" i="70"/>
  <c r="M17" i="69"/>
  <c r="Q53" i="15"/>
  <c r="Q75" i="70"/>
  <c r="O17" i="69"/>
  <c r="Q75" i="15"/>
  <c r="P17" i="69"/>
  <c r="Q75" i="44"/>
  <c r="F24" i="70"/>
  <c r="C24" i="70" s="1"/>
  <c r="H6" i="3"/>
  <c r="AC6" i="3"/>
  <c r="D113" i="46"/>
  <c r="S3" i="68"/>
  <c r="M17" i="46"/>
  <c r="F24" i="15"/>
  <c r="C24" i="15" s="1"/>
  <c r="M13" i="44"/>
  <c r="J12" i="44" s="1"/>
  <c r="J7" i="44" s="1"/>
  <c r="J26" i="44" s="1"/>
  <c r="F13" i="44"/>
  <c r="C12" i="44" s="1"/>
  <c r="C7" i="44" s="1"/>
  <c r="C40" i="44" s="1"/>
  <c r="P17" i="68"/>
  <c r="C115" i="69"/>
  <c r="D113" i="69"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E6" i="3"/>
  <c r="B3" i="67"/>
  <c r="M11" i="15"/>
  <c r="J10" i="15" s="1"/>
  <c r="J5" i="15" s="1"/>
  <c r="F11" i="15"/>
  <c r="C52" i="15" s="1"/>
  <c r="M17" i="68"/>
  <c r="G20" i="68" s="1"/>
  <c r="C20" i="68" s="1"/>
  <c r="C35" i="68" s="1"/>
  <c r="C48" i="15"/>
  <c r="F17" i="11"/>
  <c r="C17" i="11" s="1"/>
  <c r="P17" i="46"/>
  <c r="N17" i="68"/>
  <c r="F32" i="43"/>
  <c r="F36" i="12"/>
  <c r="C39" i="46"/>
  <c r="C37" i="46"/>
  <c r="C36"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35" i="46"/>
  <c r="C29" i="46"/>
  <c r="T3" i="46"/>
  <c r="V3" i="46" s="1"/>
  <c r="T4" i="46"/>
  <c r="V4" i="46" s="1"/>
  <c r="C10" i="70"/>
  <c r="C5" i="70" s="1"/>
  <c r="C52" i="70"/>
  <c r="C47" i="70" s="1"/>
  <c r="C36" i="69"/>
  <c r="C35" i="69"/>
  <c r="C39" i="69"/>
  <c r="C38" i="69"/>
  <c r="C37" i="69"/>
  <c r="C29" i="69"/>
  <c r="T13" i="69"/>
  <c r="V13" i="69" s="1"/>
  <c r="T12" i="69"/>
  <c r="V12" i="69" s="1"/>
  <c r="T10" i="69"/>
  <c r="V10" i="69" s="1"/>
  <c r="T6" i="69"/>
  <c r="V6" i="69" s="1"/>
  <c r="T4" i="69"/>
  <c r="V4" i="69" s="1"/>
  <c r="T3" i="69"/>
  <c r="V3" i="69" s="1"/>
  <c r="C34" i="69"/>
  <c r="C33" i="69"/>
  <c r="T16" i="69"/>
  <c r="V16" i="69" s="1"/>
  <c r="T15" i="69"/>
  <c r="V15" i="69" s="1"/>
  <c r="T14" i="69"/>
  <c r="V14" i="69" s="1"/>
  <c r="T11" i="69"/>
  <c r="V11" i="69" s="1"/>
  <c r="T9" i="69"/>
  <c r="V9" i="69" s="1"/>
  <c r="T8" i="69"/>
  <c r="V8" i="69" s="1"/>
  <c r="T7" i="69"/>
  <c r="V7" i="69" s="1"/>
  <c r="T5" i="69"/>
  <c r="V5" i="69" s="1"/>
  <c r="T2" i="69"/>
  <c r="V2" i="69" s="1"/>
  <c r="L52" i="44"/>
  <c r="F26" i="44" l="1"/>
  <c r="C26" i="44" s="1"/>
  <c r="F26" i="12"/>
  <c r="C27" i="12" s="1"/>
  <c r="D26" i="12" s="1"/>
  <c r="C32" i="12" s="1"/>
  <c r="D30" i="12" s="1"/>
  <c r="J18" i="70"/>
  <c r="J26" i="70"/>
  <c r="J29" i="70" s="1"/>
  <c r="C36" i="68"/>
  <c r="G36" i="68" s="1"/>
  <c r="I36" i="68" s="1"/>
  <c r="J24" i="70"/>
  <c r="C10" i="15"/>
  <c r="C5" i="15" s="1"/>
  <c r="C32" i="15" s="1"/>
  <c r="J20" i="44"/>
  <c r="C47" i="15"/>
  <c r="C59" i="15" s="1"/>
  <c r="J28" i="44"/>
  <c r="J31" i="44" s="1"/>
  <c r="Q67" i="44" s="1"/>
  <c r="T11" i="68"/>
  <c r="V11" i="68" s="1"/>
  <c r="T2" i="68"/>
  <c r="V2" i="68" s="1"/>
  <c r="E32" i="6"/>
  <c r="K6" i="1"/>
  <c r="L19" i="6"/>
  <c r="L27" i="6" s="1"/>
  <c r="E27" i="6"/>
  <c r="K19" i="6" s="1"/>
  <c r="C9" i="12"/>
  <c r="C10" i="12" s="1"/>
  <c r="C6" i="12" s="1"/>
  <c r="T6" i="68"/>
  <c r="V6" i="68" s="1"/>
  <c r="C29" i="68"/>
  <c r="C30" i="68" s="1"/>
  <c r="E30" i="68" s="1"/>
  <c r="T13" i="68"/>
  <c r="V13" i="68" s="1"/>
  <c r="T3" i="68"/>
  <c r="V3" i="68" s="1"/>
  <c r="T8" i="68"/>
  <c r="V8" i="68" s="1"/>
  <c r="T15" i="68"/>
  <c r="V15" i="68" s="1"/>
  <c r="C38" i="68"/>
  <c r="E38" i="68" s="1"/>
  <c r="T10" i="68"/>
  <c r="V10" i="68" s="1"/>
  <c r="C34" i="68"/>
  <c r="G34" i="68" s="1"/>
  <c r="I34" i="68" s="1"/>
  <c r="T4" i="68"/>
  <c r="V4" i="68" s="1"/>
  <c r="T7" i="68"/>
  <c r="V7" i="68" s="1"/>
  <c r="T9" i="68"/>
  <c r="V9" i="68" s="1"/>
  <c r="T14" i="68"/>
  <c r="V14" i="68" s="1"/>
  <c r="T16" i="68"/>
  <c r="V16" i="68" s="1"/>
  <c r="C37" i="68"/>
  <c r="E37" i="68" s="1"/>
  <c r="C39" i="68"/>
  <c r="E39" i="68" s="1"/>
  <c r="T5" i="68"/>
  <c r="V5" i="68" s="1"/>
  <c r="T12" i="68"/>
  <c r="V12" i="68" s="1"/>
  <c r="C33" i="68"/>
  <c r="E33" i="68" s="1"/>
  <c r="C34" i="44"/>
  <c r="K38" i="9"/>
  <c r="E63" i="40"/>
  <c r="F63" i="40" s="1"/>
  <c r="B2" i="40" s="1"/>
  <c r="D19" i="6"/>
  <c r="D21" i="6"/>
  <c r="D25" i="6"/>
  <c r="D10" i="6"/>
  <c r="D13" i="6"/>
  <c r="D6" i="6"/>
  <c r="D23" i="6"/>
  <c r="D14" i="6"/>
  <c r="D28" i="6"/>
  <c r="D15" i="6"/>
  <c r="E44" i="9"/>
  <c r="F46" i="9"/>
  <c r="E46" i="9"/>
  <c r="E68" i="39"/>
  <c r="F68" i="39" s="1"/>
  <c r="B2" i="39" s="1"/>
  <c r="C22" i="4"/>
  <c r="D24" i="6"/>
  <c r="D26" i="6"/>
  <c r="D22" i="6"/>
  <c r="D11" i="6"/>
  <c r="D12" i="6"/>
  <c r="D9" i="6"/>
  <c r="D5" i="6"/>
  <c r="D29" i="6"/>
  <c r="D20" i="6"/>
  <c r="D8" i="6"/>
  <c r="E45" i="9"/>
  <c r="F45" i="9"/>
  <c r="F44" i="9"/>
  <c r="J18" i="15"/>
  <c r="J26" i="15"/>
  <c r="J29" i="15" s="1"/>
  <c r="J24" i="15"/>
  <c r="Q69" i="44"/>
  <c r="L58" i="44"/>
  <c r="L61" i="44" s="1"/>
  <c r="L47" i="44" s="1"/>
  <c r="C59" i="70"/>
  <c r="C65" i="70"/>
  <c r="E36" i="68"/>
  <c r="G33" i="69"/>
  <c r="I33" i="69" s="1"/>
  <c r="E33" i="69"/>
  <c r="C30" i="69"/>
  <c r="E30" i="69" s="1"/>
  <c r="E29" i="69"/>
  <c r="G38" i="69"/>
  <c r="I38" i="69" s="1"/>
  <c r="E38" i="69"/>
  <c r="E35" i="69"/>
  <c r="G35" i="69"/>
  <c r="I35" i="69" s="1"/>
  <c r="E29" i="46"/>
  <c r="C30" i="46"/>
  <c r="E30" i="46" s="1"/>
  <c r="G38" i="46"/>
  <c r="I38" i="46" s="1"/>
  <c r="E38" i="46"/>
  <c r="G33" i="46"/>
  <c r="I33" i="46" s="1"/>
  <c r="E33" i="46"/>
  <c r="E36" i="46"/>
  <c r="G36" i="46"/>
  <c r="I36" i="46" s="1"/>
  <c r="G39" i="46"/>
  <c r="I39" i="46" s="1"/>
  <c r="E39" i="46"/>
  <c r="E35" i="68"/>
  <c r="G35" i="68"/>
  <c r="I35" i="68" s="1"/>
  <c r="G34" i="69"/>
  <c r="I34" i="69" s="1"/>
  <c r="E34" i="69"/>
  <c r="G37" i="69"/>
  <c r="I37" i="69" s="1"/>
  <c r="E37" i="69"/>
  <c r="G39" i="69"/>
  <c r="I39" i="69" s="1"/>
  <c r="E39" i="69"/>
  <c r="E36" i="69"/>
  <c r="G36" i="69"/>
  <c r="I36" i="69" s="1"/>
  <c r="C32" i="70"/>
  <c r="C38" i="70"/>
  <c r="G35" i="46"/>
  <c r="I35" i="46" s="1"/>
  <c r="E35" i="46"/>
  <c r="E34" i="46"/>
  <c r="G34" i="46"/>
  <c r="I34" i="46" s="1"/>
  <c r="G37" i="46"/>
  <c r="I37" i="46" s="1"/>
  <c r="E37" i="46"/>
  <c r="D21" i="12"/>
  <c r="C38" i="15" l="1"/>
  <c r="C65" i="15"/>
  <c r="Q49" i="44"/>
  <c r="Q55" i="44" s="1"/>
  <c r="Q58" i="44"/>
  <c r="G39" i="68"/>
  <c r="I39" i="68" s="1"/>
  <c r="E29" i="68"/>
  <c r="G37" i="68"/>
  <c r="I37" i="68" s="1"/>
  <c r="G33" i="68"/>
  <c r="I33" i="68" s="1"/>
  <c r="G38" i="68"/>
  <c r="I38" i="68" s="1"/>
  <c r="C21" i="12"/>
  <c r="S6" i="1"/>
  <c r="M19" i="6"/>
  <c r="C29" i="12"/>
  <c r="C24" i="12"/>
  <c r="E31" i="6"/>
  <c r="K21" i="6"/>
  <c r="M21" i="6" s="1"/>
  <c r="I21" i="6" s="1"/>
  <c r="K20" i="6"/>
  <c r="M20" i="6" s="1"/>
  <c r="I20" i="6" s="1"/>
  <c r="K24" i="6"/>
  <c r="M24" i="6" s="1"/>
  <c r="I24" i="6" s="1"/>
  <c r="K22" i="6"/>
  <c r="M22" i="6" s="1"/>
  <c r="I22" i="6" s="1"/>
  <c r="K23" i="6"/>
  <c r="M23" i="6" s="1"/>
  <c r="I23" i="6" s="1"/>
  <c r="K26" i="6"/>
  <c r="M26" i="6" s="1"/>
  <c r="I26" i="6" s="1"/>
  <c r="K25" i="6"/>
  <c r="M25" i="6" s="1"/>
  <c r="I25" i="6" s="1"/>
  <c r="G16" i="1"/>
  <c r="H16" i="1"/>
  <c r="AP16" i="1"/>
  <c r="F22" i="11" s="1"/>
  <c r="Q16" i="1"/>
  <c r="M6" i="1"/>
  <c r="K16" i="1"/>
  <c r="E34" i="68"/>
  <c r="D16" i="6"/>
  <c r="D30" i="6"/>
  <c r="B4" i="39"/>
  <c r="B3" i="39"/>
  <c r="B5" i="39"/>
  <c r="D6" i="66"/>
  <c r="D8" i="66"/>
  <c r="D7" i="66"/>
  <c r="A6" i="51"/>
  <c r="B7" i="63" s="1"/>
  <c r="A20" i="64"/>
  <c r="A20" i="51"/>
  <c r="B15" i="63" s="1"/>
  <c r="N5" i="54"/>
  <c r="B43" i="63" s="1"/>
  <c r="A6" i="64"/>
  <c r="D27" i="6"/>
  <c r="D31" i="6" s="1"/>
  <c r="B3" i="40"/>
  <c r="B4" i="40"/>
  <c r="B5" i="40"/>
  <c r="C27" i="46"/>
  <c r="C27" i="69"/>
  <c r="C26" i="46"/>
  <c r="B2" i="46" s="1"/>
  <c r="C26" i="69"/>
  <c r="B2" i="69" s="1"/>
  <c r="Q59" i="44"/>
  <c r="Q68" i="44"/>
  <c r="Q77" i="44" s="1"/>
  <c r="D16" i="12"/>
  <c r="D22" i="12"/>
  <c r="Q64" i="44" l="1"/>
  <c r="C26" i="68"/>
  <c r="B2" i="68" s="1"/>
  <c r="D4" i="68" s="1"/>
  <c r="C27" i="68"/>
  <c r="C22" i="12"/>
  <c r="C20" i="12" s="1"/>
  <c r="D19" i="12"/>
  <c r="C19" i="12" s="1"/>
  <c r="C16" i="12"/>
  <c r="O6" i="1"/>
  <c r="O16" i="1" s="1"/>
  <c r="C15" i="43"/>
  <c r="M16" i="1"/>
  <c r="N16" i="1" s="1"/>
  <c r="C29" i="43" s="1"/>
  <c r="J12" i="40"/>
  <c r="J12" i="39"/>
  <c r="F12" i="39"/>
  <c r="H12" i="39"/>
  <c r="F12" i="40"/>
  <c r="H12" i="40"/>
  <c r="S26" i="6"/>
  <c r="H26" i="6"/>
  <c r="R26" i="6" s="1"/>
  <c r="S22" i="6"/>
  <c r="H22" i="6"/>
  <c r="R22" i="6" s="1"/>
  <c r="S20" i="6"/>
  <c r="H20" i="6"/>
  <c r="R20" i="6" s="1"/>
  <c r="R7" i="1" s="1"/>
  <c r="K27" i="6"/>
  <c r="S16" i="1"/>
  <c r="F24" i="43"/>
  <c r="C26" i="43" s="1"/>
  <c r="D24" i="43" s="1"/>
  <c r="F18" i="11"/>
  <c r="C18" i="11" s="1"/>
  <c r="C19" i="11" s="1"/>
  <c r="C20" i="11" s="1"/>
  <c r="C21" i="11" s="1"/>
  <c r="C22" i="11" s="1"/>
  <c r="C23" i="11" s="1"/>
  <c r="B2" i="11" s="1"/>
  <c r="S25" i="6"/>
  <c r="H25" i="6"/>
  <c r="R25" i="6" s="1"/>
  <c r="S23" i="6"/>
  <c r="H23" i="6"/>
  <c r="R23" i="6" s="1"/>
  <c r="S24" i="6"/>
  <c r="H24" i="6"/>
  <c r="R24" i="6" s="1"/>
  <c r="S21" i="6"/>
  <c r="H21" i="6"/>
  <c r="R21" i="6" s="1"/>
  <c r="R8" i="1" s="1"/>
  <c r="M27" i="6"/>
  <c r="I19" i="6"/>
  <c r="I6" i="6"/>
  <c r="I5" i="6"/>
  <c r="B4" i="69"/>
  <c r="D4" i="69"/>
  <c r="B3" i="69"/>
  <c r="D4" i="46"/>
  <c r="B4" i="46"/>
  <c r="B3" i="46"/>
  <c r="M21" i="70"/>
  <c r="F35" i="70"/>
  <c r="M23" i="44"/>
  <c r="F37" i="44"/>
  <c r="F35" i="15"/>
  <c r="M21" i="15"/>
  <c r="B3" i="68" l="1"/>
  <c r="B4" i="68"/>
  <c r="P6" i="1"/>
  <c r="C36" i="44"/>
  <c r="F62" i="15"/>
  <c r="C61" i="15" s="1"/>
  <c r="C34" i="15"/>
  <c r="J22" i="44"/>
  <c r="F62" i="70"/>
  <c r="C61" i="70" s="1"/>
  <c r="C34" i="70"/>
  <c r="J20" i="70"/>
  <c r="J20" i="15"/>
  <c r="T7" i="1"/>
  <c r="T8" i="1"/>
  <c r="T11" i="1"/>
  <c r="T10" i="1"/>
  <c r="T13" i="1"/>
  <c r="T12" i="1"/>
  <c r="T9" i="1"/>
  <c r="AB12" i="40"/>
  <c r="U12" i="40"/>
  <c r="U12" i="39"/>
  <c r="AB12" i="39"/>
  <c r="AC12" i="39"/>
  <c r="W12" i="39"/>
  <c r="I27" i="6"/>
  <c r="S19" i="6"/>
  <c r="S27" i="6" s="1"/>
  <c r="H19" i="6"/>
  <c r="B5" i="11"/>
  <c r="B3" i="11"/>
  <c r="B4" i="11"/>
  <c r="T6" i="1"/>
  <c r="S12" i="40"/>
  <c r="AA12" i="40"/>
  <c r="AA12" i="39"/>
  <c r="S12" i="39"/>
  <c r="AC12" i="40"/>
  <c r="W12" i="40"/>
  <c r="C13" i="43"/>
  <c r="L16" i="1"/>
  <c r="C13" i="12"/>
  <c r="C14" i="15"/>
  <c r="C15" i="12"/>
  <c r="C14" i="70"/>
  <c r="C16" i="44"/>
  <c r="P16" i="1" l="1"/>
  <c r="C20" i="44"/>
  <c r="C17" i="44"/>
  <c r="C18" i="70"/>
  <c r="C15" i="70"/>
  <c r="C15" i="15"/>
  <c r="C18" i="15"/>
  <c r="C14" i="12"/>
  <c r="C17" i="12"/>
  <c r="C14" i="43"/>
  <c r="C17" i="43"/>
  <c r="T16" i="1"/>
  <c r="H27" i="6"/>
  <c r="R19" i="6"/>
  <c r="J59" i="70"/>
  <c r="J60" i="70" s="1"/>
  <c r="J59" i="15"/>
  <c r="J60" i="15" s="1"/>
  <c r="C18" i="43" l="1"/>
  <c r="C19" i="43" s="1"/>
  <c r="C25" i="43" s="1"/>
  <c r="C24" i="43" s="1"/>
  <c r="C21" i="44"/>
  <c r="C22" i="44" s="1"/>
  <c r="C25" i="44" s="1"/>
  <c r="C19" i="15"/>
  <c r="C20" i="15" s="1"/>
  <c r="C23" i="15" s="1"/>
  <c r="C19" i="70"/>
  <c r="C20" i="70" s="1"/>
  <c r="C23" i="70" s="1"/>
  <c r="C18" i="12"/>
  <c r="C23" i="12" s="1"/>
  <c r="C35" i="12" s="1"/>
  <c r="C33" i="12" s="1"/>
  <c r="R27" i="6"/>
  <c r="R6" i="1"/>
  <c r="R16" i="1" s="1"/>
  <c r="Q49" i="15"/>
  <c r="Q49" i="70"/>
  <c r="C26" i="15" l="1"/>
  <c r="C29" i="15" s="1"/>
  <c r="C22" i="43"/>
  <c r="C21" i="43" s="1"/>
  <c r="C28" i="43" s="1"/>
  <c r="C30" i="43" s="1"/>
  <c r="C32" i="43" s="1"/>
  <c r="C33" i="43" s="1"/>
  <c r="B2" i="43" s="1"/>
  <c r="C28" i="44"/>
  <c r="C31" i="44" s="1"/>
  <c r="C28" i="12"/>
  <c r="C26" i="12" s="1"/>
  <c r="C31" i="12" s="1"/>
  <c r="C30" i="12" s="1"/>
  <c r="C36" i="12" s="1"/>
  <c r="B2" i="12" s="1"/>
  <c r="C26" i="70"/>
  <c r="C29" i="70" s="1"/>
  <c r="C19" i="9"/>
  <c r="B5" i="12"/>
  <c r="D19" i="9"/>
  <c r="B3" i="12"/>
  <c r="B4" i="12"/>
  <c r="J12" i="73" l="1"/>
  <c r="H12" i="73"/>
  <c r="L44" i="9"/>
  <c r="L43" i="9"/>
  <c r="D22" i="9"/>
  <c r="G19" i="9"/>
  <c r="C56" i="70"/>
  <c r="J19" i="70"/>
  <c r="J17" i="70" s="1"/>
  <c r="Q50" i="70"/>
  <c r="C33" i="70"/>
  <c r="C31" i="70" s="1"/>
  <c r="J14" i="70"/>
  <c r="C36" i="70"/>
  <c r="C13" i="70"/>
  <c r="B3" i="43"/>
  <c r="B5" i="43"/>
  <c r="B4" i="43"/>
  <c r="J16" i="44"/>
  <c r="Q51" i="44"/>
  <c r="J21" i="44"/>
  <c r="J19" i="44" s="1"/>
  <c r="C38" i="44"/>
  <c r="C35" i="44"/>
  <c r="C33" i="44" s="1"/>
  <c r="C15" i="44"/>
  <c r="C33" i="15"/>
  <c r="C31" i="15" s="1"/>
  <c r="C36" i="15"/>
  <c r="J14" i="15"/>
  <c r="C13" i="15"/>
  <c r="C56" i="15"/>
  <c r="Q50" i="15"/>
  <c r="J19" i="15"/>
  <c r="J17" i="15" s="1"/>
  <c r="C21" i="9"/>
  <c r="D20" i="9"/>
  <c r="C20" i="9"/>
  <c r="D21" i="9"/>
  <c r="J5" i="73" l="1"/>
  <c r="H5" i="73"/>
  <c r="K5" i="73"/>
  <c r="G21" i="9"/>
  <c r="G20" i="9"/>
  <c r="C60" i="15"/>
  <c r="C58" i="15" s="1"/>
  <c r="C63" i="15"/>
  <c r="J13" i="15"/>
  <c r="J23" i="15" s="1"/>
  <c r="J22" i="15"/>
  <c r="J24" i="44"/>
  <c r="J15" i="44"/>
  <c r="J25" i="44" s="1"/>
  <c r="C55" i="70"/>
  <c r="C64" i="70" s="1"/>
  <c r="J35" i="70"/>
  <c r="C37" i="70"/>
  <c r="C30" i="70" s="1"/>
  <c r="C39" i="70" s="1"/>
  <c r="Q71" i="70"/>
  <c r="J22" i="70"/>
  <c r="J13" i="70"/>
  <c r="J23" i="70" s="1"/>
  <c r="C63" i="70"/>
  <c r="C60" i="70"/>
  <c r="C58" i="70" s="1"/>
  <c r="Q71" i="15"/>
  <c r="J35" i="15"/>
  <c r="C55" i="15"/>
  <c r="C64" i="15" s="1"/>
  <c r="C37" i="15"/>
  <c r="C30" i="15" s="1"/>
  <c r="C39" i="15" s="1"/>
  <c r="C39" i="44"/>
  <c r="C32" i="44" s="1"/>
  <c r="C42" i="44" s="1"/>
  <c r="C43" i="44"/>
  <c r="Q72" i="44"/>
  <c r="C32" i="9"/>
  <c r="G22" i="9"/>
  <c r="N43" i="9"/>
  <c r="L51" i="15"/>
  <c r="L51" i="70"/>
  <c r="J16" i="15" l="1"/>
  <c r="J25" i="15" s="1"/>
  <c r="J16" i="70"/>
  <c r="J25" i="70" s="1"/>
  <c r="J18" i="44"/>
  <c r="J27" i="44" s="1"/>
  <c r="Q68" i="70"/>
  <c r="L57" i="70"/>
  <c r="L60" i="70" s="1"/>
  <c r="L57" i="15"/>
  <c r="L60" i="15" s="1"/>
  <c r="Q68" i="15"/>
  <c r="C42" i="9"/>
  <c r="C34" i="9"/>
  <c r="O38" i="9"/>
  <c r="C35" i="9"/>
  <c r="F42" i="9" s="1"/>
  <c r="C33" i="9"/>
  <c r="O43" i="9"/>
  <c r="C40" i="70"/>
  <c r="Q70" i="70"/>
  <c r="Q69" i="70" s="1"/>
  <c r="Q70" i="15"/>
  <c r="Q69" i="15" s="1"/>
  <c r="C40" i="15"/>
  <c r="J39" i="15"/>
  <c r="J40" i="15" s="1"/>
  <c r="C57" i="70"/>
  <c r="C66" i="70" s="1"/>
  <c r="C67" i="70" s="1"/>
  <c r="J39" i="70"/>
  <c r="J40" i="70" s="1"/>
  <c r="C57" i="15"/>
  <c r="C66" i="15" s="1"/>
  <c r="C67" i="15" s="1"/>
  <c r="Q71" i="44"/>
  <c r="Q70" i="44" s="1"/>
  <c r="C44" i="44"/>
  <c r="C45" i="44" s="1"/>
  <c r="B2" i="44" s="1"/>
  <c r="Q66" i="70" l="1"/>
  <c r="J42" i="70"/>
  <c r="J43" i="70" s="1"/>
  <c r="C43" i="70"/>
  <c r="Q57" i="70"/>
  <c r="Q48" i="70"/>
  <c r="Q54" i="70" s="1"/>
  <c r="N38" i="9"/>
  <c r="K28" i="9" s="1"/>
  <c r="D42" i="9"/>
  <c r="Q5" i="54" s="1"/>
  <c r="B47" i="63" s="1"/>
  <c r="K25" i="9"/>
  <c r="K26" i="9"/>
  <c r="D63" i="9"/>
  <c r="R5" i="54"/>
  <c r="B48" i="63" s="1"/>
  <c r="N68" i="9"/>
  <c r="B3" i="44"/>
  <c r="B5" i="44"/>
  <c r="B4" i="44"/>
  <c r="C70" i="15"/>
  <c r="C46" i="15"/>
  <c r="C70" i="70"/>
  <c r="C46" i="70"/>
  <c r="Q57" i="15"/>
  <c r="Q48" i="15"/>
  <c r="Q54" i="15" s="1"/>
  <c r="J42" i="15"/>
  <c r="J43" i="15" s="1"/>
  <c r="C43" i="15"/>
  <c r="Q66" i="15"/>
  <c r="M38" i="9"/>
  <c r="K27" i="9" s="1"/>
  <c r="E42" i="9"/>
  <c r="P5" i="54" s="1"/>
  <c r="B46" i="63" s="1"/>
  <c r="L46" i="70"/>
  <c r="B2" i="70" s="1"/>
  <c r="B3" i="70" s="1"/>
  <c r="Q67" i="70"/>
  <c r="Q58" i="70"/>
  <c r="L46" i="15"/>
  <c r="B2" i="15" s="1"/>
  <c r="B3" i="15" s="1"/>
  <c r="Q67" i="15"/>
  <c r="Q58" i="15"/>
  <c r="Q76" i="15" l="1"/>
  <c r="Q63" i="15"/>
  <c r="Q76" i="70"/>
  <c r="D71" i="9"/>
  <c r="D66" i="9" s="1"/>
  <c r="N72" i="9" s="1"/>
  <c r="D70" i="9"/>
  <c r="C96" i="9"/>
  <c r="C91" i="9" s="1"/>
  <c r="D77" i="9"/>
  <c r="N75" i="9" s="1"/>
  <c r="C103" i="9"/>
  <c r="C90" i="9"/>
  <c r="C111" i="9"/>
  <c r="C104" i="9" s="1"/>
  <c r="C82" i="9"/>
  <c r="C81" i="9" s="1"/>
  <c r="C85" i="9" s="1"/>
  <c r="C86" i="9" s="1"/>
  <c r="D72" i="9" s="1"/>
  <c r="Q63" i="70"/>
  <c r="C97" i="9" l="1"/>
  <c r="C98" i="9" s="1"/>
  <c r="E98" i="9" s="1"/>
  <c r="E99" i="9" s="1"/>
  <c r="C113" i="9"/>
  <c r="C99" i="9" l="1"/>
  <c r="C114" i="9"/>
  <c r="E114" i="9" s="1"/>
  <c r="E115" i="9" s="1"/>
  <c r="C115" i="9" l="1"/>
  <c r="D76" i="9" s="1"/>
  <c r="D74" i="9" s="1"/>
  <c r="N74" i="9" s="1"/>
  <c r="O77" i="9" s="1"/>
  <c r="Q77" i="9" s="1"/>
  <c r="O78" i="9" l="1"/>
  <c r="O79" i="9"/>
  <c r="O80" i="9" s="1"/>
  <c r="O81" i="9" l="1"/>
  <c r="J29" i="73" l="1"/>
  <c r="K29" i="73" s="1"/>
  <c r="K21" i="73" l="1"/>
  <c r="J21" i="73" s="1"/>
  <c r="H29" i="73" l="1"/>
  <c r="O29" i="73" l="1"/>
  <c r="M29" i="73" s="1"/>
  <c r="I29" i="73"/>
  <c r="I21" i="73" l="1"/>
  <c r="H21" i="73" s="1"/>
  <c r="O5" i="73"/>
  <c r="C9" i="73" l="1"/>
  <c r="E9" i="73" s="1"/>
  <c r="O21" i="73"/>
  <c r="M21" i="73" s="1"/>
  <c r="C16" i="73" l="1"/>
  <c r="E16" i="73" s="1"/>
  <c r="H14" i="73" l="1"/>
  <c r="M14" i="73"/>
  <c r="H31" i="73" l="1"/>
  <c r="M7" i="73"/>
  <c r="I31" i="73" l="1"/>
  <c r="I23" i="73"/>
  <c r="H23" i="73" l="1"/>
  <c r="E9" i="74" l="1"/>
  <c r="J14" i="73" l="1"/>
  <c r="J31" i="73" l="1"/>
  <c r="O14" i="73"/>
  <c r="J7" i="73" l="1"/>
  <c r="K31" i="73"/>
  <c r="O31" i="73"/>
  <c r="M31" i="73" s="1"/>
  <c r="K23" i="73" l="1"/>
  <c r="O7" i="73"/>
  <c r="C10" i="73" s="1"/>
  <c r="E10" i="73" l="1"/>
  <c r="C17" i="73"/>
  <c r="E17" i="73" s="1"/>
  <c r="J23" i="73"/>
  <c r="O23" i="73"/>
  <c r="M23" i="73" s="1"/>
  <c r="I24" i="73" l="1"/>
  <c r="M15" i="73"/>
  <c r="M8" i="73"/>
  <c r="H24" i="73" l="1"/>
  <c r="F9" i="74" l="1"/>
  <c r="J8" i="73" l="1"/>
  <c r="K24" i="73" l="1"/>
  <c r="O8" i="73"/>
  <c r="C11" i="73" s="1"/>
  <c r="C18" i="73" s="1"/>
  <c r="J24" i="73" l="1"/>
  <c r="O24" i="73"/>
  <c r="M24" i="73" s="1"/>
  <c r="J13" i="73" l="1"/>
  <c r="J30" i="73" s="1"/>
  <c r="K30" i="73" s="1"/>
  <c r="H13" i="73"/>
  <c r="H6" i="73" l="1"/>
  <c r="O13" i="73"/>
  <c r="H30" i="73"/>
  <c r="J6" i="73" l="1"/>
  <c r="K22" i="73" s="1"/>
  <c r="J22" i="73" s="1"/>
  <c r="O30" i="73"/>
  <c r="M30" i="73" s="1"/>
  <c r="I30" i="73"/>
  <c r="I22" i="73"/>
  <c r="O6" i="73"/>
  <c r="C8" i="73" s="1"/>
  <c r="H22" i="73" l="1"/>
  <c r="O22" i="73"/>
  <c r="M22" i="73" s="1"/>
  <c r="C15" i="73"/>
  <c r="E15" i="73" s="1"/>
  <c r="E19" i="73" s="1"/>
  <c r="E8" i="73"/>
  <c r="O12" i="73" l="1"/>
  <c r="E12" i="73"/>
  <c r="B5" i="66" s="1"/>
  <c r="D14" i="66" s="1"/>
  <c r="F14" i="66" l="1"/>
  <c r="E14"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<sst xmlns="http://schemas.openxmlformats.org/spreadsheetml/2006/main" count="8036" uniqueCount="3127">
  <si>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</si>
  <si>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</si>
  <si>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</si>
  <si>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</si>
  <si>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</si>
  <si>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</si>
  <si>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</si>
  <si>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</si>
  <si>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</si>
  <si>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</si>
  <si>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</si>
  <si>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</si>
  <si>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</si>
  <si>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</si>
  <si>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</si>
  <si>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</si>
  <si>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</si>
  <si>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</si>
  <si>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</si>
  <si>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</si>
  <si>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</si>
  <si>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</si>
  <si>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</si>
  <si>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</si>
  <si>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</si>
  <si>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</si>
  <si>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</si>
  <si>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</si>
  <si>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</si>
  <si>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</si>
  <si>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</si>
  <si>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</si>
  <si>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</si>
  <si>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</si>
  <si>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</si>
  <si>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</si>
  <si>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</si>
  <si>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</si>
  <si>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</si>
  <si>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</si>
  <si>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</si>
  <si>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</si>
  <si>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</si>
  <si>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</si>
  <si>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</si>
  <si>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</si>
  <si>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</si>
  <si>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</si>
  <si>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</si>
  <si>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</si>
  <si>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</si>
  <si>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</si>
  <si>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</si>
  <si>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</si>
  <si>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</si>
  <si>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</si>
  <si>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</si>
  <si>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</si>
  <si>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</si>
  <si>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</si>
  <si>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</si>
  <si>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</si>
  <si>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</si>
  <si>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</si>
  <si>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</si>
  <si>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</si>
  <si>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</si>
  <si>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</si>
  <si>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</si>
  <si>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</si>
  <si>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</si>
  <si>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</si>
  <si>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</si>
  <si>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</si>
  <si>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</si>
  <si>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</si>
  <si>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</si>
  <si>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</si>
  <si>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</si>
  <si>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</si>
  <si>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</si>
  <si>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</si>
  <si>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</si>
  <si>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</si>
  <si>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</si>
  <si>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</si>
  <si>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</si>
  <si>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</si>
  <si>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</si>
  <si>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</si>
  <si>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</si>
  <si>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</si>
  <si>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</si>
  <si>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</si>
  <si>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</si>
  <si>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</si>
  <si>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</si>
  <si>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</si>
  <si>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</si>
  <si>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</si>
  <si>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</si>
  <si>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</si>
  <si>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</si>
  <si>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</si>
  <si>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</si>
  <si>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</si>
  <si>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</si>
  <si>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</si>
  <si>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</si>
  <si>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</si>
  <si>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</si>
  <si>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</si>
  <si>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</si>
  <si>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</si>
  <si>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</si>
  <si>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</si>
  <si>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</si>
  <si>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</si>
  <si>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</si>
  <si>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</si>
  <si>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</si>
  <si>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</si>
  <si>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</si>
  <si>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</si>
  <si>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</si>
  <si>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</si>
  <si>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</si>
  <si>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</si>
  <si>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</si>
  <si>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</si>
  <si>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</si>
  <si>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</si>
  <si>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</si>
  <si>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</si>
  <si>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</si>
  <si>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</si>
  <si>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</si>
  <si>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</si>
  <si>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</si>
  <si>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</si>
  <si>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</si>
  <si>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</si>
  <si>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</si>
  <si>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</si>
  <si>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</si>
  <si>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</si>
  <si>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</si>
  <si>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</si>
  <si>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</si>
  <si>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</si>
  <si>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</si>
  <si>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</si>
  <si>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</si>
  <si>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</si>
  <si>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</si>
  <si>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</si>
  <si>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</si>
  <si>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</si>
  <si>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</si>
  <si>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</si>
  <si>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</si>
  <si>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</si>
  <si>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</si>
  <si>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</si>
  <si>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</si>
  <si>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</si>
  <si>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</si>
  <si>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</si>
  <si>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</si>
  <si>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</si>
  <si>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</si>
  <si>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</si>
  <si>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</si>
  <si>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</si>
  <si>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</si>
  <si>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</si>
  <si>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</si>
  <si>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</si>
  <si>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</si>
  <si>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</si>
  <si>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</si>
  <si>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</si>
  <si>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</si>
  <si>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</si>
  <si>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</si>
  <si>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</si>
  <si>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</si>
  <si>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</si>
  <si>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</si>
  <si>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</si>
  <si>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</si>
  <si>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</si>
  <si>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</si>
  <si>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</si>
  <si>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</si>
  <si>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</si>
  <si>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</si>
  <si>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</si>
  <si>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</si>
  <si>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</si>
  <si>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</si>
  <si>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</si>
  <si>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</si>
  <si>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</si>
  <si>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</si>
  <si>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</si>
  <si>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</si>
  <si>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</si>
  <si>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</si>
  <si>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</si>
  <si>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</si>
  <si>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</si>
  <si>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</si>
  <si>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</si>
  <si>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</si>
  <si>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</si>
  <si>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</si>
  <si>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</si>
  <si>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</si>
  <si>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</si>
  <si>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</si>
  <si>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</si>
  <si>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</si>
  <si>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</si>
  <si>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</si>
  <si>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</si>
  <si>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</si>
  <si>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</si>
  <si>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</si>
  <si>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</si>
  <si>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</si>
  <si>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</si>
  <si>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</si>
  <si>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</si>
  <si>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</si>
  <si>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</si>
  <si>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</si>
  <si>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</si>
  <si>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</si>
  <si>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</si>
  <si>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</si>
  <si>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</si>
  <si>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</si>
  <si>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</si>
  <si>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</si>
  <si>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</si>
  <si>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</si>
  <si>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</si>
  <si>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</si>
  <si>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</si>
  <si>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</si>
  <si>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</si>
  <si>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</si>
  <si>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</si>
  <si>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</si>
  <si>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</si>
  <si>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</si>
  <si>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</si>
  <si>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</si>
  <si>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</si>
  <si>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</si>
  <si>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</si>
  <si>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</si>
  <si>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</si>
  <si>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</si>
  <si>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</si>
  <si>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</si>
  <si>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</si>
  <si>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</si>
  <si>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</si>
  <si>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</si>
  <si>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</si>
  <si>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</si>
  <si>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</si>
  <si>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</si>
  <si>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</si>
  <si>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</si>
  <si>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</si>
  <si>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</si>
  <si>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</si>
  <si>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</si>
  <si>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</si>
  <si>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</si>
  <si>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</si>
  <si>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</si>
  <si>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</si>
  <si>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</si>
  <si>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</si>
  <si>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</si>
  <si>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</si>
  <si>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</si>
  <si>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</si>
  <si>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</si>
  <si>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</si>
  <si>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</si>
  <si>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</si>
  <si>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</si>
  <si>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</si>
  <si>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</si>
  <si>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</si>
  <si>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</si>
  <si>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</si>
  <si>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</si>
  <si>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</si>
  <si>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</si>
  <si>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</si>
  <si>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</si>
  <si>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</si>
  <si>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</si>
  <si>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</si>
  <si>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</si>
  <si>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</si>
  <si>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</si>
  <si>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</si>
  <si>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</si>
  <si>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</si>
  <si>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</si>
  <si>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</si>
  <si>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</si>
  <si>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</si>
  <si>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</si>
  <si>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</si>
  <si>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</si>
  <si>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</si>
  <si>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</si>
  <si>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</si>
  <si>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</si>
  <si>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</si>
  <si>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</si>
  <si>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</si>
  <si>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</si>
  <si>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</si>
  <si>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</si>
  <si>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</si>
  <si>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</si>
  <si>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</si>
  <si>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</si>
  <si>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</si>
  <si>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</si>
  <si>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</si>
  <si>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</si>
  <si>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</si>
  <si>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</si>
  <si>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</si>
  <si>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</si>
  <si>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</si>
  <si>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</si>
  <si>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</si>
  <si>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</si>
  <si>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</si>
  <si>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</si>
  <si>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</si>
  <si>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</si>
  <si>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</si>
  <si>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</si>
  <si>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</si>
  <si>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</si>
  <si>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</si>
  <si>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</si>
  <si>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</si>
  <si>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</si>
  <si>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</si>
  <si>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</si>
  <si>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</si>
  <si>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</si>
  <si>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</si>
  <si>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</si>
  <si>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</si>
  <si>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</si>
  <si>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</si>
  <si>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</si>
  <si>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</si>
  <si>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</si>
  <si>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</si>
  <si>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</si>
  <si>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</si>
  <si>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</si>
  <si>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</si>
  <si>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</si>
  <si>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</si>
  <si>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</si>
  <si>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</si>
  <si>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</si>
  <si>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</si>
  <si>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</si>
  <si>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</si>
  <si>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</si>
  <si>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</si>
  <si>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</si>
  <si>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</si>
  <si>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</si>
  <si>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</si>
  <si>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</si>
  <si>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</si>
  <si>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</si>
  <si>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</si>
  <si>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</si>
  <si>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</si>
  <si>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</si>
  <si>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</si>
  <si>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</si>
  <si>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</si>
  <si>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</si>
  <si>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</si>
  <si>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</si>
  <si>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</si>
  <si>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</si>
  <si>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</si>
  <si>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</si>
  <si>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</si>
  <si>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</si>
  <si>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</si>
  <si>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</si>
  <si>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</si>
  <si>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</si>
  <si>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</si>
  <si>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</si>
  <si>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</si>
  <si>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</si>
  <si>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</si>
  <si>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</si>
  <si>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</si>
  <si>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</si>
  <si>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</si>
  <si>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</si>
  <si>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</si>
  <si>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</si>
  <si>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</si>
  <si>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</si>
  <si>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</si>
  <si>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</si>
  <si>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</si>
  <si>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</si>
  <si>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</si>
  <si>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</si>
  <si>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</si>
  <si>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</si>
  <si>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</si>
  <si>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</si>
  <si>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</si>
  <si>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</si>
  <si>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</si>
  <si>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</si>
  <si>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</si>
  <si>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</si>
  <si>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</si>
  <si>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</si>
  <si>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</si>
  <si>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</si>
  <si>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</si>
  <si>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</si>
  <si>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</si>
  <si>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</si>
  <si>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</si>
  <si>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</si>
  <si>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</si>
  <si>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</si>
  <si>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</si>
  <si>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</si>
  <si>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</si>
  <si>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</si>
  <si>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</si>
  <si>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</si>
  <si>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</si>
  <si>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</si>
  <si>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</si>
  <si>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</si>
  <si>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</si>
  <si>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</si>
  <si>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</si>
  <si>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</si>
  <si>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</si>
  <si>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</si>
  <si>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</si>
  <si>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</si>
  <si>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</si>
  <si>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</si>
  <si>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</si>
  <si>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</si>
  <si>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</si>
  <si>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</si>
  <si>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</si>
  <si>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</si>
  <si>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</si>
  <si>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</si>
  <si>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</si>
  <si>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</si>
  <si>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</si>
  <si>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</si>
  <si>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</si>
  <si>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</si>
  <si>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</si>
  <si>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</si>
  <si>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</si>
  <si>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</si>
  <si>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</si>
  <si>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</si>
  <si>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</si>
  <si>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</si>
  <si>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</si>
  <si>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</si>
  <si>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</si>
  <si>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</si>
  <si>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</si>
  <si>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</si>
  <si>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</si>
  <si>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</si>
  <si>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</si>
  <si>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</si>
  <si>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</si>
  <si>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</si>
  <si>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</si>
  <si>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</si>
  <si>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</si>
  <si>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</si>
  <si>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</si>
  <si>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</si>
  <si>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</si>
  <si>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</si>
  <si>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</si>
  <si>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</si>
  <si>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</si>
  <si>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</si>
  <si>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</si>
  <si>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</si>
  <si>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</si>
  <si>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</si>
  <si>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</si>
  <si>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</si>
  <si>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</si>
  <si>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</si>
  <si>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</si>
  <si>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</si>
  <si>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</si>
  <si>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</si>
  <si>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</si>
  <si>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</si>
  <si>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</si>
  <si>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</si>
  <si>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</si>
  <si>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</si>
  <si>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</si>
  <si>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</si>
  <si>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</si>
  <si>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</si>
  <si>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</si>
  <si>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</si>
  <si>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</si>
  <si>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</si>
  <si>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</si>
  <si>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</si>
  <si>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</si>
  <si>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</si>
  <si>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</si>
  <si>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</si>
  <si>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</si>
  <si>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</si>
  <si>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</si>
  <si>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</si>
  <si>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</si>
  <si>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</si>
  <si>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</si>
  <si>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</si>
  <si>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</si>
  <si>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</si>
  <si>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</si>
  <si>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</si>
  <si>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</si>
  <si>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</si>
  <si>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</si>
  <si>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</si>
  <si>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</si>
  <si>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</si>
  <si>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</si>
  <si>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</si>
  <si>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</si>
  <si>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</si>
  <si>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</si>
  <si>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</si>
  <si>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</si>
  <si>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</si>
  <si>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</si>
  <si>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</si>
  <si>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</si>
  <si>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</si>
  <si>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</si>
  <si>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</si>
  <si>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</si>
  <si>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</si>
  <si>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</si>
  <si>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</si>
  <si>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</si>
  <si>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</si>
  <si>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</si>
  <si>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</si>
  <si>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</si>
  <si>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</si>
  <si>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</si>
  <si>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</si>
  <si>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</si>
  <si>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</si>
  <si>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</si>
  <si>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</si>
  <si>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</si>
  <si>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</si>
  <si>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</si>
  <si>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</si>
  <si>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</si>
  <si>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</si>
  <si>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</si>
  <si>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</si>
  <si>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</si>
  <si>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</si>
  <si>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</si>
  <si>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</si>
  <si>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</si>
  <si>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</si>
  <si>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</si>
  <si>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</si>
  <si>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</si>
  <si>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</si>
  <si>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</si>
  <si>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</si>
  <si>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</si>
  <si>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</si>
  <si>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</si>
  <si>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</si>
  <si>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</si>
  <si>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</si>
  <si>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</si>
  <si>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</si>
  <si>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</si>
  <si>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</si>
  <si>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</si>
  <si>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</si>
  <si>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</si>
  <si>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</si>
  <si>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</si>
  <si>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</si>
  <si>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</si>
  <si>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</si>
  <si>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</si>
  <si>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</si>
  <si>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</si>
  <si>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</si>
  <si>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</si>
  <si>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</si>
  <si>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</si>
  <si>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</si>
  <si>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</si>
  <si>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</si>
  <si>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</si>
  <si>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</si>
  <si>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</si>
  <si>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</si>
  <si>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</si>
  <si>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</si>
  <si>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</si>
  <si>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</si>
  <si>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</si>
  <si>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</si>
  <si>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</si>
  <si>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</si>
  <si>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</si>
  <si>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</si>
  <si>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</si>
  <si>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</si>
  <si>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</si>
  <si>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</si>
  <si>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</si>
  <si>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</si>
  <si>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</si>
  <si>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</si>
  <si>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</si>
  <si>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</si>
  <si>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</si>
  <si>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</si>
  <si>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</si>
  <si>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</si>
  <si>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</si>
  <si>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</si>
  <si>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</si>
  <si>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</si>
  <si>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</si>
  <si>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</si>
  <si>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</si>
  <si>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</si>
  <si>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</si>
  <si>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</si>
  <si>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</si>
  <si>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</si>
  <si>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</si>
  <si>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</si>
  <si>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</si>
  <si>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</si>
  <si>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</si>
  <si>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</si>
  <si>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</si>
  <si>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</si>
  <si>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</si>
  <si>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</si>
  <si>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</si>
  <si>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</si>
  <si>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</si>
  <si>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</si>
  <si>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</si>
  <si>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</si>
  <si>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</si>
  <si>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</si>
  <si>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</si>
  <si>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</si>
  <si>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</si>
  <si>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</si>
  <si>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</si>
  <si>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</si>
  <si>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</si>
  <si>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</si>
  <si>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</si>
  <si>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</si>
  <si>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</si>
  <si>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</si>
  <si>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</si>
  <si>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</si>
  <si>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</si>
  <si>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</si>
  <si>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</si>
  <si>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</si>
  <si>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</si>
  <si>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</si>
  <si>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</si>
  <si>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</si>
  <si>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</si>
  <si>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</si>
  <si>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</si>
  <si>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</si>
  <si>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</si>
  <si>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</si>
  <si>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</si>
  <si>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</si>
  <si>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</si>
  <si>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</si>
  <si>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</si>
  <si>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</si>
  <si>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</si>
  <si>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</si>
  <si>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</si>
  <si>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</si>
  <si>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</si>
  <si>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</si>
  <si>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</si>
  <si>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</si>
  <si>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</si>
  <si>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</si>
  <si>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</si>
  <si>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</si>
  <si>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</si>
  <si>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</si>
  <si>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</si>
  <si>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</si>
  <si>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</si>
  <si>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</si>
  <si>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</si>
  <si>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</si>
  <si>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</si>
  <si>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</si>
  <si>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</si>
  <si>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</si>
  <si>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</si>
  <si>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</si>
  <si>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</si>
  <si>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</si>
  <si>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</si>
  <si>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</si>
  <si>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</si>
  <si>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</si>
  <si>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</si>
  <si>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</si>
  <si>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</si>
  <si>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</si>
  <si>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</si>
  <si>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</si>
  <si>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</si>
  <si>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</si>
  <si>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</si>
  <si>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</si>
  <si>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</si>
  <si>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</si>
  <si>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</si>
  <si>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</si>
  <si>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</si>
  <si>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</si>
  <si>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</si>
  <si>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</si>
  <si>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</si>
  <si>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</si>
  <si>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</si>
  <si>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</si>
  <si>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</si>
  <si>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</si>
  <si>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</si>
  <si>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</si>
  <si>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</si>
  <si>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</si>
  <si>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</si>
  <si>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</si>
  <si>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</si>
  <si>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</si>
  <si>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</si>
  <si>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</si>
  <si>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</si>
  <si>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</si>
  <si>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</si>
  <si>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</si>
  <si>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</si>
  <si>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</si>
  <si>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</si>
  <si>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</si>
  <si>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</si>
  <si>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</si>
  <si>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</si>
  <si>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</si>
  <si>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</si>
  <si>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</si>
  <si>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</si>
  <si>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</si>
  <si>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</si>
  <si>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</si>
  <si>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</si>
  <si>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</si>
  <si>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</si>
  <si>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</si>
  <si>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</si>
  <si>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</si>
  <si>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</si>
  <si>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</si>
  <si>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</si>
  <si>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</si>
  <si>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</si>
  <si>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</si>
  <si>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</si>
  <si>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</si>
  <si>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</si>
  <si>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</si>
  <si>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</si>
  <si>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</si>
  <si>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</si>
  <si>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</si>
  <si>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</si>
  <si>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</si>
  <si>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</si>
  <si>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</si>
  <si>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</si>
  <si>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</si>
  <si>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</si>
  <si>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</si>
  <si>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</si>
  <si>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</si>
  <si>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</si>
  <si>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</si>
  <si>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</si>
  <si>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</si>
  <si>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</si>
  <si>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</si>
  <si>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</si>
  <si>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</si>
  <si>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</si>
  <si>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</si>
  <si>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</si>
  <si>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</si>
  <si>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</si>
  <si>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</si>
  <si>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</si>
  <si>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</si>
  <si>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</si>
  <si>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</si>
  <si>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</si>
  <si>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</si>
  <si>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</si>
  <si>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</si>
  <si>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</si>
  <si>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</si>
  <si>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</si>
  <si>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</si>
  <si>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</si>
  <si>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</si>
  <si>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</si>
  <si>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</si>
  <si>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</si>
  <si>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</si>
  <si>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</si>
  <si>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</si>
  <si>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</si>
  <si>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</si>
  <si>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</si>
  <si>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</si>
  <si>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</si>
  <si>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</si>
  <si>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</si>
  <si>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</si>
  <si>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</si>
  <si>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</si>
  <si>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</si>
  <si>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</si>
  <si>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</si>
  <si>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</si>
  <si>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</si>
  <si>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</si>
  <si>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</si>
  <si>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</si>
  <si>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</si>
  <si>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</si>
  <si>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</si>
  <si>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</si>
  <si>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</si>
  <si>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</si>
  <si>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</si>
  <si>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</si>
  <si>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</si>
  <si>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</si>
  <si>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</si>
  <si>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</si>
  <si>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</si>
  <si>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</si>
  <si>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</si>
  <si>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</si>
  <si>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</si>
  <si>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</si>
  <si>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</si>
  <si>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</si>
  <si>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</si>
  <si>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</si>
  <si>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</si>
  <si>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</si>
  <si>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</si>
  <si>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</si>
  <si>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</si>
  <si>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</si>
  <si>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</si>
  <si>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</si>
  <si>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</si>
  <si>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</si>
  <si>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</si>
  <si>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</si>
  <si>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</si>
  <si>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</si>
  <si>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</si>
  <si>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</si>
  <si>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</si>
  <si>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</si>
  <si>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</si>
  <si>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</si>
  <si>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</si>
  <si>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</si>
  <si>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</si>
  <si>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</si>
  <si>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</si>
  <si>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</si>
  <si>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</si>
  <si>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</si>
  <si>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</si>
  <si>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</si>
  <si>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</si>
  <si>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</si>
  <si>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</si>
  <si>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</si>
  <si>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</si>
  <si>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</si>
  <si>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</si>
  <si>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</si>
  <si>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</si>
  <si>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</si>
  <si>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</si>
  <si>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</si>
  <si>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</si>
  <si>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</si>
  <si>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</si>
  <si>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</si>
  <si>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</si>
  <si>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</si>
  <si>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</si>
  <si>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</si>
  <si>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</si>
  <si>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</si>
  <si>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</si>
  <si>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</si>
  <si>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</si>
  <si>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</si>
  <si>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</si>
  <si>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</si>
  <si>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</si>
  <si>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</si>
  <si>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</si>
  <si>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</si>
  <si>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</si>
  <si>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</si>
  <si>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</si>
  <si>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</si>
  <si>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</si>
  <si>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</si>
  <si>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</si>
  <si>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</si>
  <si>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</si>
  <si>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</si>
  <si>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</si>
  <si>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</si>
  <si>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</si>
  <si>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</si>
  <si>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</si>
  <si>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</si>
  <si>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</si>
  <si>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</si>
  <si>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</si>
  <si>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</si>
  <si>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</si>
  <si>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</si>
  <si>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</si>
  <si>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</si>
  <si>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</si>
  <si>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</si>
  <si>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</si>
  <si>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</si>
  <si>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</si>
  <si>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</si>
  <si>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</si>
  <si>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</si>
  <si>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</si>
  <si>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</si>
  <si>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</si>
  <si>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</si>
  <si>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</si>
  <si>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</si>
  <si>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</si>
  <si>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</si>
  <si>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</si>
  <si>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</si>
  <si>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</si>
  <si>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</si>
  <si>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</si>
  <si>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</si>
  <si>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</si>
  <si>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</si>
  <si>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</si>
  <si>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</si>
  <si>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</si>
  <si>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</si>
  <si>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</si>
  <si>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</si>
  <si>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</si>
  <si>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</si>
  <si>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</si>
  <si>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</si>
  <si>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</si>
  <si>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</si>
  <si>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</si>
  <si>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</si>
  <si>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</si>
  <si>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</si>
  <si>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</si>
  <si>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</si>
  <si>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</si>
  <si>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</si>
  <si>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</si>
  <si>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</si>
  <si>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</si>
  <si>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</si>
  <si>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</si>
  <si>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</si>
  <si>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</si>
  <si>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</si>
  <si>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</si>
  <si>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</si>
  <si>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</si>
  <si>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</si>
  <si>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</si>
  <si>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</si>
  <si>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</si>
  <si>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</si>
  <si>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</si>
  <si>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</si>
  <si>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</si>
  <si>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</si>
  <si>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</si>
  <si>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</si>
  <si>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</si>
  <si>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</si>
  <si>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</si>
  <si>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</si>
  <si>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</si>
  <si>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</si>
  <si>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</si>
  <si>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</si>
  <si>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</si>
  <si>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</si>
  <si>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</si>
  <si>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</si>
  <si>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</si>
  <si>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</si>
  <si>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</si>
  <si>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</si>
  <si>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</si>
  <si>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</si>
  <si>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</si>
  <si>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</si>
  <si>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</si>
  <si>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</si>
  <si>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</si>
  <si>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</si>
  <si>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</si>
  <si>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</si>
  <si>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</si>
  <si>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</si>
  <si>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</si>
  <si>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</si>
  <si>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</si>
  <si>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</si>
  <si>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</si>
  <si>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</si>
  <si>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</si>
  <si>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</si>
  <si>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</si>
  <si>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</si>
  <si>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</si>
  <si>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</si>
  <si>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</si>
  <si>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</si>
  <si>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</si>
  <si>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</si>
  <si>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</si>
  <si>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</si>
  <si>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</si>
  <si>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</si>
  <si>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</si>
  <si>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</si>
  <si>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</si>
  <si>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</si>
  <si>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</si>
  <si>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</si>
  <si>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</si>
  <si>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</si>
  <si>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</si>
  <si>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</si>
  <si>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</si>
  <si>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</si>
  <si>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</si>
  <si>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</si>
  <si>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</si>
  <si>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</si>
  <si>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</si>
  <si>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</si>
  <si>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</si>
  <si>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</si>
  <si>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</si>
  <si>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</si>
  <si>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</si>
  <si>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</si>
  <si>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</si>
  <si>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</si>
  <si>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</si>
  <si>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</si>
  <si>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</si>
  <si>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</si>
  <si>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</si>
  <si>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</si>
  <si>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</si>
  <si>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</si>
  <si>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</si>
  <si>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</si>
  <si>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</si>
  <si>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</si>
  <si>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</si>
  <si>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</si>
  <si>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</si>
  <si>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</si>
  <si>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</si>
  <si>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</si>
  <si>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</si>
  <si>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</si>
  <si>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</si>
  <si>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</si>
  <si>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</si>
  <si>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</si>
  <si>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</si>
  <si>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</si>
  <si>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</si>
  <si>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</si>
  <si>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</si>
  <si>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</si>
  <si>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</si>
  <si>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</si>
  <si>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</si>
  <si>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</si>
  <si>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</si>
  <si>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</si>
  <si>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</si>
  <si>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</si>
  <si>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</si>
  <si>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</si>
  <si>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</si>
  <si>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</si>
  <si>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</si>
  <si>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</si>
  <si>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</si>
  <si>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</si>
  <si>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</si>
  <si>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</si>
  <si>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</si>
  <si>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</si>
  <si>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</si>
  <si>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</si>
  <si>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</si>
  <si>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</si>
  <si>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</si>
  <si>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</si>
  <si>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</si>
  <si>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</si>
  <si>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</si>
  <si>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</si>
  <si>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</si>
  <si>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</si>
  <si>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</si>
  <si>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</si>
  <si>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</si>
  <si>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</si>
  <si>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</si>
  <si>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</si>
  <si>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</si>
  <si>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</si>
  <si>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</si>
  <si>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</si>
  <si>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</si>
  <si>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</si>
  <si>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</si>
  <si>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</si>
  <si>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</si>
  <si>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</si>
  <si>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</si>
  <si>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</si>
  <si>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</si>
  <si>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</si>
  <si>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</si>
  <si>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</si>
  <si>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</si>
  <si>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</si>
  <si>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</si>
  <si>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</si>
  <si>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</si>
  <si>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</si>
  <si>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</si>
  <si>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</si>
  <si>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</si>
  <si>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</si>
  <si>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</si>
  <si>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</si>
  <si>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</si>
  <si>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</si>
  <si>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</si>
  <si>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</si>
  <si>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</si>
  <si>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</si>
  <si>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</si>
  <si>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</si>
  <si>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</si>
  <si>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</si>
  <si>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</si>
  <si>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</si>
  <si>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</si>
  <si>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</si>
  <si>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</si>
  <si>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</si>
  <si>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</si>
  <si>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</si>
  <si>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</si>
  <si>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</si>
  <si>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</si>
  <si>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</si>
  <si>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</si>
  <si>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</si>
  <si>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</si>
  <si>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</si>
  <si>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</si>
  <si>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</si>
  <si>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</si>
  <si>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</si>
  <si>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</si>
  <si>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</si>
  <si>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</si>
  <si>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</si>
  <si>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</si>
  <si>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</si>
  <si>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</si>
  <si>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</si>
  <si>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</si>
  <si>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</si>
  <si>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</si>
  <si>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</si>
  <si>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</si>
  <si>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</si>
  <si>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</si>
  <si>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</si>
  <si>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</si>
  <si>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</si>
  <si>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</si>
  <si>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</si>
  <si>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</si>
  <si>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</si>
  <si>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</si>
  <si>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</si>
  <si>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</si>
  <si>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</si>
  <si>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</si>
  <si>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</si>
  <si>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</si>
  <si>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</si>
  <si>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</si>
  <si>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</si>
  <si>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</si>
  <si>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</si>
  <si>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</si>
  <si>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</si>
  <si>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</si>
  <si>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</si>
  <si>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</si>
  <si>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</si>
  <si>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</si>
  <si>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</si>
  <si>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</si>
  <si>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</si>
  <si>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</si>
  <si>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</si>
  <si>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</si>
  <si>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</si>
  <si>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</si>
  <si>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</si>
  <si>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</si>
  <si>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</si>
  <si>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</si>
  <si>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</si>
  <si>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</si>
  <si>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</si>
  <si>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</si>
  <si>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</si>
  <si>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</si>
  <si>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</si>
  <si>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</si>
  <si>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</si>
  <si>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</si>
  <si>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</si>
  <si>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</si>
  <si>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</si>
  <si>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</si>
  <si>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</si>
  <si>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</si>
  <si>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</si>
  <si>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</si>
  <si>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</si>
  <si>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</si>
  <si>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</si>
  <si>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</si>
  <si>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</si>
  <si>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</si>
  <si>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</si>
  <si>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</si>
  <si>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</si>
  <si>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</si>
  <si>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</si>
  <si>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</si>
  <si>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</si>
  <si>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</si>
  <si>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</si>
  <si>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</si>
  <si>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</si>
  <si>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</si>
  <si>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</si>
  <si>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</si>
  <si>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</si>
  <si>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</si>
  <si>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</si>
  <si>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</si>
  <si>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</si>
  <si>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</si>
  <si>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</si>
  <si>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</si>
  <si>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</si>
  <si>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</si>
  <si>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</si>
  <si>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</si>
  <si>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</si>
  <si>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</si>
  <si>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</si>
  <si>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</si>
  <si>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</si>
  <si>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</si>
  <si>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</si>
  <si>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</si>
  <si>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</si>
  <si>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</si>
  <si>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</si>
  <si>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</si>
  <si>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</si>
  <si>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</si>
  <si>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</si>
  <si>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</si>
  <si>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</si>
  <si>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</si>
  <si>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</si>
  <si>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</si>
  <si>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</si>
  <si>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</si>
  <si>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</si>
  <si>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</si>
  <si>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</si>
  <si>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</si>
  <si>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</si>
  <si>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</si>
  <si>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</si>
  <si>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</si>
  <si>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</si>
  <si>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</si>
  <si>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</si>
  <si>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</si>
  <si>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</si>
  <si>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</si>
  <si>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</si>
  <si>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</si>
  <si>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</si>
  <si>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</si>
  <si>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</si>
  <si>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</si>
  <si>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</si>
  <si>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</si>
  <si>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</si>
  <si>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</si>
  <si>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</si>
  <si>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</si>
  <si>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</si>
  <si>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</si>
  <si>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</si>
  <si>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</si>
  <si>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</si>
  <si>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</si>
  <si>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</si>
  <si>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</si>
  <si>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</si>
  <si>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</si>
  <si>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</si>
  <si>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</si>
  <si>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</si>
  <si>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</si>
  <si>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</si>
  <si>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</si>
  <si>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</si>
  <si>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</si>
  <si>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</si>
  <si>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</si>
  <si>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</si>
  <si>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</si>
  <si>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</si>
  <si>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</si>
  <si>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</si>
  <si>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</si>
  <si>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</si>
  <si>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</si>
  <si>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</si>
  <si>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</si>
  <si>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</si>
  <si>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</si>
  <si>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</si>
  <si>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</si>
  <si>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</si>
  <si>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</si>
  <si>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</si>
  <si>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</si>
  <si>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</si>
  <si>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</si>
  <si>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</si>
  <si>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</si>
  <si>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</si>
  <si>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</si>
  <si>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</si>
  <si>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</si>
  <si>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</si>
  <si>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</si>
  <si>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</si>
  <si>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</si>
  <si>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</si>
  <si>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</si>
  <si>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</si>
  <si>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</si>
  <si>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</si>
  <si>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</si>
  <si>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</si>
  <si>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</si>
  <si>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</si>
  <si>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</si>
  <si>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</si>
  <si>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</si>
  <si>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</si>
  <si>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</si>
  <si>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</si>
  <si>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</si>
  <si>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</si>
  <si>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</si>
  <si>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</si>
  <si>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</si>
  <si>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</si>
  <si>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</si>
  <si>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</si>
  <si>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</si>
  <si>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</si>
  <si>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</si>
  <si>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</si>
  <si>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</si>
  <si>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</si>
  <si>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</si>
  <si>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</si>
  <si>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</si>
  <si>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</si>
  <si>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</si>
  <si>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</si>
  <si>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</si>
  <si>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</si>
  <si>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</si>
  <si>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</si>
  <si>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</si>
  <si>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</si>
  <si>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</si>
  <si>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</si>
  <si>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</si>
  <si>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</si>
  <si>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</si>
  <si>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</si>
  <si>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</si>
  <si>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</si>
  <si>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</si>
  <si>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</si>
  <si>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</si>
  <si>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</si>
  <si>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</si>
  <si>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</si>
  <si>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</si>
  <si>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</si>
  <si>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</si>
  <si>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</si>
  <si>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</si>
  <si>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</si>
  <si>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</si>
  <si>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</si>
  <si>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</si>
  <si>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</si>
  <si>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</si>
  <si>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</si>
  <si>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</si>
  <si>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</si>
  <si>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</si>
  <si>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</si>
  <si>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</si>
  <si>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</si>
  <si>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</si>
  <si>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</si>
  <si>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</si>
  <si>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</si>
  <si>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</si>
  <si>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</si>
  <si>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</si>
  <si>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</si>
  <si>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</si>
  <si>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</si>
  <si>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</si>
  <si>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</si>
  <si>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</si>
  <si>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</si>
  <si>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</si>
  <si>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</si>
  <si>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</si>
  <si>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</si>
  <si>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</si>
  <si>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</si>
  <si>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</si>
  <si>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</si>
  <si>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</si>
  <si>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</si>
  <si>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</si>
  <si>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</si>
  <si>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</si>
  <si>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</si>
  <si>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</si>
  <si>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</si>
  <si>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</si>
  <si>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</si>
  <si>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</si>
  <si>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</si>
  <si>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</si>
  <si>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</si>
  <si>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</si>
  <si>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</si>
  <si>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</si>
  <si>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</si>
  <si>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</si>
  <si>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</si>
  <si>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</si>
  <si>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</si>
  <si>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</si>
  <si>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</si>
  <si>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</si>
  <si>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</si>
  <si>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</si>
  <si>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</si>
  <si>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</si>
  <si>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</si>
  <si>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</si>
  <si>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</si>
  <si>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</si>
  <si>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</si>
  <si>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</si>
  <si>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</si>
  <si>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</si>
  <si>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</si>
  <si>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</si>
  <si>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</si>
  <si>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</si>
  <si>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</si>
  <si>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</si>
  <si>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</si>
  <si>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</si>
  <si>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</si>
  <si>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</si>
  <si>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</si>
  <si>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</si>
  <si>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</si>
  <si>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</si>
  <si>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</si>
  <si>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</si>
  <si>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</si>
  <si>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</si>
  <si>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</si>
  <si>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</si>
  <si>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</si>
  <si>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</si>
  <si>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</si>
  <si>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</si>
  <si>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</si>
  <si>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</si>
  <si>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</si>
  <si>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</si>
  <si>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</si>
  <si>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</si>
  <si>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</si>
  <si>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</si>
  <si>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</si>
  <si>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</si>
  <si>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</si>
  <si>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</si>
  <si>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</si>
  <si>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</si>
  <si>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</si>
  <si>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</si>
  <si>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</si>
  <si>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</si>
  <si>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</si>
  <si>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</si>
  <si>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</si>
  <si>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</si>
  <si>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</si>
  <si>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</si>
  <si>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</si>
  <si>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</si>
  <si>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</si>
  <si>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</si>
  <si>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</si>
  <si>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</si>
  <si>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</si>
  <si>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</si>
  <si>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</si>
  <si>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</si>
  <si>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</si>
  <si>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</si>
  <si>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</si>
  <si>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</si>
  <si>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</si>
  <si>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</si>
  <si>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</si>
  <si>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</si>
  <si>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</si>
  <si>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</si>
  <si>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</si>
  <si>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</si>
  <si>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</si>
  <si>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</si>
  <si>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</si>
  <si>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</si>
  <si>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</si>
  <si>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</si>
  <si>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</si>
  <si>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</si>
  <si>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</si>
  <si>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</si>
  <si>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</si>
  <si>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</si>
  <si>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</si>
  <si>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</si>
  <si>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</si>
  <si>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</si>
  <si>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</si>
  <si>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</si>
  <si>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</si>
  <si>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</si>
  <si>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</si>
  <si>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</si>
  <si>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</si>
  <si>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</si>
  <si>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</si>
  <si>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</si>
  <si>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</si>
  <si>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</si>
  <si>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</si>
  <si>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</si>
  <si>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</si>
  <si>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</si>
  <si>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</si>
  <si>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</si>
  <si>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</si>
  <si>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</si>
  <si>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</si>
  <si>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</si>
  <si>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</si>
  <si>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</si>
  <si>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</si>
  <si>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</si>
  <si>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</si>
  <si>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</si>
  <si>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</si>
  <si>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</si>
  <si>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</si>
  <si>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</si>
  <si>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</si>
  <si>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</si>
  <si>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</si>
  <si>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</si>
  <si>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</si>
  <si>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</si>
  <si>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</si>
  <si>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</si>
  <si>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</si>
  <si>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</si>
  <si>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</si>
  <si>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</si>
  <si>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</si>
  <si>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</si>
  <si>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</si>
  <si>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</si>
  <si>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</si>
  <si>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</si>
  <si>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</si>
  <si>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</si>
  <si>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</si>
  <si>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</si>
  <si>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</si>
  <si>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</si>
  <si>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</si>
  <si>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</si>
  <si>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</si>
  <si>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</si>
  <si>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</si>
  <si>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</si>
  <si>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</si>
  <si>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</si>
  <si>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</si>
  <si>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</si>
  <si>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</si>
  <si>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</si>
  <si>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</si>
  <si>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</si>
  <si>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</si>
  <si>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</si>
  <si>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</si>
  <si>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</si>
  <si>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</si>
  <si>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</si>
  <si>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</si>
  <si>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</si>
  <si>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</si>
  <si>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</si>
  <si>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</si>
  <si>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</si>
  <si>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</si>
  <si>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</si>
  <si>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</si>
  <si>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</si>
  <si>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</si>
  <si>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</si>
  <si>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</si>
  <si>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</si>
  <si>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</si>
  <si>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</si>
  <si>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</si>
  <si>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</si>
  <si>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</si>
  <si>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</si>
  <si>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</si>
  <si>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</si>
  <si>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</si>
  <si>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</si>
  <si>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</si>
  <si>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</si>
  <si>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</si>
  <si>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</si>
  <si>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</si>
  <si>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</si>
  <si>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</si>
  <si>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</si>
  <si>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</si>
  <si>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</si>
  <si>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</si>
  <si>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</si>
  <si>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</si>
  <si>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</si>
  <si>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</si>
  <si>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</si>
  <si>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</si>
  <si>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</si>
  <si>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</si>
  <si>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</si>
  <si>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</si>
  <si>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</si>
  <si>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</si>
  <si>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</si>
  <si>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</si>
  <si>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</si>
  <si>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</si>
  <si>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</si>
  <si>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</si>
  <si>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</si>
  <si>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</si>
  <si>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</si>
  <si>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</si>
  <si>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</si>
  <si>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</si>
  <si>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</si>
  <si>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</si>
  <si>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</si>
  <si>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</si>
  <si>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</si>
  <si>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</si>
  <si>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</si>
  <si>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</si>
  <si>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</si>
  <si>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</si>
  <si>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</si>
  <si>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</si>
  <si>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</si>
  <si>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</si>
  <si>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</si>
  <si>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</si>
  <si>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</si>
  <si>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</si>
  <si>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</si>
  <si>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</si>
  <si>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</si>
  <si>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</si>
  <si>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</si>
  <si>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</si>
  <si>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</si>
  <si>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</si>
  <si>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</si>
  <si>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</si>
  <si>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</si>
  <si>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</si>
  <si>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</si>
  <si>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</si>
  <si>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</si>
  <si>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</si>
  <si>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</si>
  <si>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</si>
  <si>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</si>
  <si>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</si>
  <si>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</si>
  <si>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</si>
  <si>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</si>
  <si>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</si>
  <si>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</si>
  <si>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</si>
  <si>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</si>
  <si>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</si>
  <si>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</si>
  <si>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</si>
  <si>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</si>
  <si>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</si>
  <si>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</si>
  <si>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</si>
  <si>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</si>
  <si>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</si>
  <si>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</si>
  <si>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</si>
  <si>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</si>
  <si>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</si>
  <si>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</si>
  <si>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</si>
  <si>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</si>
  <si>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</si>
  <si>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</si>
  <si>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</si>
  <si>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</si>
  <si>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</si>
  <si>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</si>
  <si>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</si>
  <si>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</si>
  <si>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</si>
  <si>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</si>
  <si>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</si>
  <si>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</si>
  <si>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</si>
  <si>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</si>
  <si>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</si>
  <si>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</si>
  <si>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</si>
  <si>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</si>
  <si>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</si>
  <si>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</si>
  <si>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</si>
  <si>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</si>
  <si>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</si>
  <si>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</si>
  <si>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</si>
  <si>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</si>
  <si>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</si>
  <si>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</si>
  <si>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</si>
  <si>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</si>
  <si>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</si>
  <si>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</si>
  <si>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</si>
  <si>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</si>
  <si>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</si>
  <si>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</si>
  <si>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</si>
  <si>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</si>
  <si>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</si>
  <si>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</si>
  <si>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</si>
  <si>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</si>
  <si>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</si>
  <si>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</si>
  <si>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</si>
  <si>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</si>
  <si>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</si>
  <si>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</si>
  <si>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</si>
  <si>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</si>
  <si>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</si>
  <si>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</si>
  <si>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</si>
  <si>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</si>
  <si>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</si>
  <si>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</si>
  <si>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</si>
  <si>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</si>
  <si>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</si>
  <si>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</si>
  <si>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</si>
  <si>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</si>
  <si>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</si>
  <si>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</si>
  <si>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</si>
  <si>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</si>
  <si>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</si>
  <si>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</si>
  <si>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</si>
  <si>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</si>
  <si>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</si>
  <si>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</si>
  <si>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</si>
  <si>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</si>
  <si>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</si>
  <si>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</si>
  <si>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</si>
  <si>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</si>
  <si>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</si>
  <si>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</si>
  <si>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</si>
  <si>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</si>
  <si>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</si>
  <si>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</si>
  <si>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</si>
  <si>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</si>
  <si>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</si>
  <si>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</si>
  <si>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</si>
  <si>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</si>
  <si>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</si>
  <si>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</si>
  <si>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</si>
  <si>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</si>
  <si>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</si>
  <si>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</si>
  <si>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</si>
  <si>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</si>
  <si>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</si>
  <si>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</si>
  <si>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</si>
  <si>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</si>
  <si>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</si>
  <si>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</si>
  <si>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</si>
  <si>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</si>
  <si>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</si>
  <si>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</si>
  <si>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</si>
  <si>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</si>
  <si>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</si>
  <si>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</si>
  <si>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</si>
  <si>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</si>
  <si>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</si>
  <si>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</si>
  <si>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</si>
  <si>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</si>
  <si>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</si>
  <si>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</si>
  <si>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</si>
  <si>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</si>
  <si>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</si>
  <si>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</si>
  <si>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</si>
  <si>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</si>
  <si>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</si>
  <si>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</si>
  <si>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</si>
  <si>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</si>
  <si>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</si>
  <si>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</si>
  <si>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</si>
  <si>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</si>
  <si>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</si>
  <si>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</si>
  <si>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</si>
  <si>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</si>
  <si>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</si>
  <si>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</si>
  <si>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</si>
  <si>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</si>
  <si>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</si>
  <si>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</si>
  <si>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</si>
  <si>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</si>
  <si>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</si>
  <si>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</si>
  <si>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</si>
  <si>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</si>
  <si>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</si>
  <si>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</si>
  <si>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</si>
  <si>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</si>
  <si>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</si>
  <si>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</si>
  <si>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</si>
  <si>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</si>
  <si>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</si>
  <si>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</si>
  <si>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</si>
  <si>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</si>
  <si>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</si>
  <si>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</si>
  <si>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</si>
  <si>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</si>
  <si>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</si>
  <si>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</si>
  <si>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</si>
  <si>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</si>
  <si>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</si>
  <si>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</si>
  <si>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</si>
  <si>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</si>
  <si>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</si>
  <si>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</si>
  <si>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</si>
  <si>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</si>
  <si>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</si>
  <si>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</si>
  <si>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</si>
  <si>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</si>
  <si>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</si>
  <si>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</si>
  <si>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</si>
  <si>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</si>
  <si>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</si>
  <si>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</si>
  <si>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</si>
  <si>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</si>
  <si>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</si>
  <si>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</si>
  <si>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</si>
  <si>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</si>
  <si>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</si>
  <si>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</si>
  <si>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</si>
  <si>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</si>
  <si>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</si>
  <si>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</si>
  <si>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</si>
  <si>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</si>
  <si>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</si>
  <si>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</si>
  <si>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</si>
  <si>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</si>
  <si>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</si>
  <si>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</si>
  <si>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</si>
  <si>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</si>
  <si>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</si>
  <si>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</si>
  <si>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</si>
  <si>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</si>
  <si>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</si>
  <si>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</si>
  <si>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</si>
  <si>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</si>
  <si>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</si>
  <si>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</si>
  <si>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</si>
  <si>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</si>
  <si>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</si>
  <si>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</si>
  <si>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</si>
  <si>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</si>
  <si>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</si>
  <si>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</si>
  <si>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</si>
  <si>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</si>
  <si>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</si>
  <si>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</si>
  <si>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</si>
  <si>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</si>
  <si>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</si>
  <si>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</si>
  <si>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</si>
  <si>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</si>
  <si>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</si>
  <si>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</si>
  <si>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</si>
  <si>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</si>
  <si>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</si>
  <si>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</si>
  <si>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</si>
  <si>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</si>
  <si>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</si>
  <si>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</si>
  <si>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</si>
  <si>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</si>
  <si>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</si>
  <si>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</si>
  <si>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</si>
  <si>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</si>
  <si>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</si>
  <si>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</si>
  <si>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</si>
  <si>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</si>
  <si>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</si>
  <si>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</si>
  <si>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</si>
  <si>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</si>
  <si>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</si>
  <si>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</si>
  <si>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</si>
  <si>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</si>
  <si>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</si>
  <si>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</si>
  <si>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</si>
  <si>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</si>
  <si>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</si>
  <si>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</si>
  <si>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</si>
  <si>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</si>
  <si>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</si>
  <si>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</si>
  <si>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</si>
  <si>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</si>
  <si>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</si>
  <si>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</si>
  <si>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</si>
  <si>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</si>
  <si>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</si>
  <si>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</si>
  <si>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</si>
  <si>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</si>
  <si>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</si>
  <si>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</si>
  <si>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</si>
  <si>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</si>
  <si>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</si>
  <si>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</si>
  <si>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</si>
  <si>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</si>
  <si>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</si>
  <si>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</si>
  <si>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</si>
  <si>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</si>
  <si>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</si>
  <si>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</si>
  <si>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</si>
  <si>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</si>
  <si>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</si>
  <si>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</si>
  <si>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</si>
  <si>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</si>
  <si>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</si>
  <si>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</si>
  <si>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</si>
  <si>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</si>
  <si>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</si>
  <si>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</si>
  <si>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</si>
  <si>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</si>
  <si>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</si>
  <si>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</si>
  <si>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</si>
  <si>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</si>
  <si>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</si>
  <si>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</si>
  <si>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</si>
  <si>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</si>
  <si>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</si>
  <si>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</si>
  <si>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</si>
  <si>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</si>
  <si>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</si>
  <si>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</si>
  <si>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</si>
  <si>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</si>
  <si>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</si>
  <si>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</si>
  <si>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</si>
  <si>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</si>
  <si>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</si>
  <si>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</si>
  <si>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</si>
  <si>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</si>
  <si>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</si>
  <si>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</si>
  <si>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</si>
  <si>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</si>
  <si>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</si>
  <si>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</si>
  <si>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</si>
  <si>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</si>
  <si>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</si>
  <si>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</si>
  <si>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</si>
  <si>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</si>
  <si>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</si>
  <si>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</si>
  <si>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</si>
  <si>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</si>
  <si>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</si>
  <si>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</si>
  <si>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</si>
  <si>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</si>
  <si>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</si>
  <si>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</si>
  <si>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</si>
  <si>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</si>
  <si>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</si>
  <si>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</si>
  <si>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</si>
  <si>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</si>
  <si>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</si>
  <si>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</si>
  <si>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</si>
  <si>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</si>
  <si>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</si>
  <si>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</si>
  <si>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</si>
  <si>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</si>
  <si>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</si>
  <si>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</si>
  <si>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</si>
  <si>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</si>
  <si>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</si>
  <si>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</si>
  <si>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</si>
  <si>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</si>
  <si>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</si>
  <si>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</si>
  <si>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</si>
  <si>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</si>
  <si>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</si>
  <si>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</si>
  <si>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</si>
  <si>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</si>
  <si>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</si>
  <si>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</si>
  <si>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</si>
  <si>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</si>
  <si>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</si>
  <si>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</si>
  <si>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</si>
  <si>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</si>
  <si>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</si>
  <si>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</si>
  <si>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</si>
  <si>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</si>
  <si>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</si>
  <si>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</si>
  <si>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</si>
  <si>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</si>
  <si>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</si>
  <si>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</si>
  <si>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</si>
  <si>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</si>
  <si>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</si>
  <si>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</si>
  <si>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</si>
  <si>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</si>
  <si>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</si>
  <si>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</si>
  <si>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</si>
  <si>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</si>
  <si>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</si>
  <si>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</si>
  <si>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</si>
  <si>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</si>
  <si>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</si>
  <si>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</si>
  <si>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</si>
  <si>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</si>
  <si>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</si>
  <si>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</si>
  <si>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</si>
  <si>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</si>
  <si>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</si>
  <si>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</si>
  <si>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</si>
  <si>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</si>
  <si>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</si>
  <si>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</si>
  <si>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</si>
  <si>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</si>
  <si>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</si>
  <si>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</si>
  <si>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</si>
  <si>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</si>
  <si>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</si>
  <si>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</si>
  <si>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</si>
  <si>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</si>
  <si>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</si>
  <si>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</si>
  <si>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</si>
  <si>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</si>
  <si>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</si>
  <si>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</si>
  <si>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</si>
  <si>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</si>
  <si>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</si>
  <si>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</si>
  <si>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</si>
  <si>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</si>
  <si>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</si>
  <si>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</si>
  <si>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</si>
  <si>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</si>
  <si>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</si>
  <si>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</si>
  <si>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</si>
  <si>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</si>
  <si>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</si>
  <si>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</si>
  <si>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</si>
  <si>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</si>
  <si>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</si>
  <si>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</si>
  <si>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</si>
  <si>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</si>
  <si>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</si>
  <si>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</si>
  <si>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</si>
  <si>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</si>
  <si>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</si>
  <si>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</si>
  <si>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</si>
  <si>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</si>
  <si>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</si>
  <si>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</si>
  <si>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</si>
  <si>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</si>
  <si>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</si>
  <si>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</si>
  <si>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</si>
  <si>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</si>
  <si>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</si>
  <si>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</si>
  <si>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</si>
  <si>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</si>
  <si>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</si>
  <si>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</si>
  <si>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</si>
  <si>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</si>
  <si>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</si>
  <si>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</si>
  <si>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</si>
  <si>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</si>
  <si>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</si>
  <si>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</si>
  <si>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</si>
  <si>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</si>
  <si>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</si>
  <si>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</si>
  <si>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</si>
  <si>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</si>
  <si>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</si>
  <si>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</si>
  <si>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</si>
  <si>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</si>
  <si>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</si>
  <si>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</si>
  <si>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</si>
  <si>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</si>
  <si>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</si>
  <si>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</si>
  <si>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</si>
  <si>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</si>
  <si>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</si>
  <si>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</si>
  <si>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</si>
  <si>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</si>
  <si>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</si>
  <si>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</si>
  <si>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</si>
  <si>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</si>
  <si>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</si>
  <si>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</si>
  <si>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</si>
  <si>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</si>
  <si>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</si>
  <si>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</si>
  <si>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</si>
  <si>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</si>
  <si>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</si>
  <si>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</si>
  <si>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</si>
  <si>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</si>
  <si>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</si>
  <si>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</si>
  <si>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</si>
  <si>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</si>
  <si>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</si>
  <si>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</si>
  <si>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</si>
  <si>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</si>
  <si>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</si>
  <si>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</si>
  <si>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</si>
  <si>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</si>
  <si>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</si>
  <si>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</si>
  <si>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</si>
  <si>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</si>
  <si>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</si>
  <si>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</si>
  <si>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</si>
  <si>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</si>
  <si>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</si>
  <si>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</si>
  <si>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</si>
  <si>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</si>
  <si>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</si>
  <si>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</si>
  <si>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</si>
  <si>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</si>
  <si>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</si>
  <si>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</si>
  <si>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</si>
  <si>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</si>
  <si>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</si>
  <si>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</si>
  <si>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</si>
  <si>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</si>
  <si>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</si>
  <si>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</si>
  <si>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</si>
  <si>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</si>
  <si>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</si>
  <si>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</si>
  <si>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</si>
  <si>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</si>
  <si>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</si>
  <si>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</si>
  <si>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</si>
  <si>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</si>
  <si>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</si>
  <si>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</si>
  <si>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</si>
  <si>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</si>
  <si>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</si>
  <si>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</si>
  <si>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</si>
  <si>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</si>
  <si>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</si>
  <si>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</si>
  <si>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</si>
  <si>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</si>
  <si>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</si>
  <si>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</si>
  <si>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</si>
  <si>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</si>
  <si>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</si>
  <si>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</si>
  <si>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</si>
  <si>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</si>
  <si>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</si>
  <si>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</si>
  <si>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</si>
  <si>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</si>
  <si>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</si>
  <si>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</si>
  <si>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</si>
  <si>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</si>
  <si>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</si>
  <si>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</si>
  <si>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</si>
  <si>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</si>
  <si>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</si>
  <si>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</si>
  <si>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</si>
  <si>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</si>
  <si>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</si>
  <si>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</si>
  <si>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</si>
  <si>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</si>
  <si>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</si>
  <si>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</si>
  <si>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</si>
  <si>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</si>
  <si>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</si>
  <si>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</si>
  <si>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</si>
  <si>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</si>
  <si>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</si>
  <si>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</si>
  <si>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</si>
  <si>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</si>
  <si>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</si>
  <si>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</si>
  <si>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</si>
  <si>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</si>
  <si>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</si>
  <si>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</si>
  <si>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</si>
  <si>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</si>
  <si>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</si>
  <si>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</si>
  <si>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</si>
  <si>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</si>
  <si>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</si>
  <si>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</si>
  <si>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</si>
  <si>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</si>
  <si>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</si>
  <si>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</si>
  <si>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</si>
  <si>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</si>
  <si>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</si>
  <si>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</si>
  <si>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</si>
  <si>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</si>
  <si>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</si>
  <si>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</si>
  <si>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</si>
  <si>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</si>
  <si>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</si>
  <si>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</si>
  <si>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</si>
  <si>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</si>
  <si>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</si>
  <si>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</si>
  <si>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</si>
  <si>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</si>
  <si>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</si>
  <si>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</si>
  <si>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</si>
  <si>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</si>
  <si>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</si>
  <si>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</si>
  <si>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</si>
  <si>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</si>
  <si>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</si>
  <si>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</si>
  <si>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</si>
  <si>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</si>
  <si>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</si>
  <si>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</si>
  <si>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</si>
  <si>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</si>
  <si>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</si>
  <si>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</si>
  <si>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</si>
  <si>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</si>
  <si>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</si>
  <si>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</si>
  <si>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</si>
  <si>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</si>
  <si>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</si>
  <si>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</si>
  <si>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</si>
  <si>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</si>
  <si>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</si>
  <si>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</si>
  <si>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</si>
  <si>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</si>
  <si>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</si>
  <si>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</si>
  <si>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</si>
  <si>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</si>
  <si>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</si>
  <si>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</si>
  <si>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</si>
  <si>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</si>
  <si>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</si>
  <si>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</si>
  <si>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</si>
  <si>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</si>
  <si>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</si>
  <si>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</si>
  <si>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</si>
  <si>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</si>
  <si>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</si>
  <si>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</si>
  <si>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</si>
  <si>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</si>
  <si>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</si>
  <si>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</si>
  <si>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</si>
  <si>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</si>
  <si>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</si>
  <si>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</si>
  <si>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</si>
  <si>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</si>
  <si>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</si>
  <si>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</si>
  <si>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</si>
  <si>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</si>
  <si>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</si>
  <si>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</si>
  <si>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</si>
  <si>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</si>
  <si>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</si>
  <si>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</si>
  <si>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</si>
  <si>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</si>
  <si>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</si>
  <si>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</si>
  <si>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</si>
  <si>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</si>
  <si>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</si>
  <si>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</si>
  <si>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</si>
  <si>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</si>
  <si>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</si>
  <si>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</si>
  <si>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</si>
  <si>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</si>
  <si>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</si>
  <si>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</si>
  <si>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</si>
  <si>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</si>
  <si>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</si>
  <si>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</si>
  <si>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</si>
  <si>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</si>
  <si>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</si>
  <si>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</si>
  <si>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</si>
  <si>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</si>
  <si>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</si>
  <si>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</si>
  <si>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</si>
  <si>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</si>
  <si>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</si>
  <si>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</si>
  <si>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</si>
  <si>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</si>
  <si>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</si>
  <si>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</si>
  <si>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</si>
  <si>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</si>
  <si>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</si>
  <si>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</si>
  <si>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</si>
  <si>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</si>
  <si>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</si>
  <si>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</si>
  <si>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</si>
  <si>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</si>
  <si>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</si>
  <si>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</si>
  <si>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</si>
  <si>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</si>
  <si>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</si>
  <si>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</si>
  <si>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</si>
  <si>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</si>
  <si>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</si>
  <si>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</si>
  <si>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</si>
  <si>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</si>
  <si>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</si>
  <si>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</si>
  <si>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</si>
  <si>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</si>
  <si>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</si>
  <si>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</si>
  <si>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</si>
  <si>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</si>
  <si>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</si>
  <si>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</si>
  <si>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</si>
  <si>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</si>
  <si>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</si>
  <si>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</si>
  <si>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</si>
  <si>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</si>
  <si>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</si>
  <si>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</si>
  <si>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</si>
  <si>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</si>
  <si>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</si>
  <si>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</si>
  <si>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</si>
  <si>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</si>
  <si>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</si>
  <si>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</si>
  <si>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</si>
  <si>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</si>
  <si>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</si>
  <si>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</si>
  <si>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</si>
  <si>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</si>
  <si>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</si>
  <si>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</si>
  <si>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</si>
  <si>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</si>
  <si>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</si>
  <si>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</si>
  <si>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</si>
  <si>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</si>
  <si>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</si>
  <si>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</si>
  <si>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</si>
  <si>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</si>
  <si>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</si>
  <si>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</si>
  <si>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</si>
  <si>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</si>
  <si>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</si>
  <si>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</si>
  <si>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</si>
  <si>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</si>
  <si>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</si>
  <si>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</si>
  <si>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</si>
  <si>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</si>
  <si>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</si>
  <si>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</si>
  <si>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</si>
  <si>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</si>
  <si>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</si>
  <si>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</si>
  <si>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</si>
  <si>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</si>
  <si>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</si>
  <si>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</si>
  <si>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</si>
  <si>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</si>
  <si>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</si>
  <si>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</si>
  <si>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</si>
  <si>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</si>
  <si>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</si>
  <si>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</si>
  <si>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</si>
  <si>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</si>
  <si>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</si>
  <si>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</si>
  <si>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</si>
  <si>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</si>
  <si>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</si>
  <si>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</si>
  <si>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</si>
  <si>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</si>
  <si>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</si>
  <si>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</si>
  <si>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</si>
  <si>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</si>
  <si>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</si>
  <si>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</si>
  <si>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</si>
  <si>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</si>
  <si>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</si>
  <si>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</si>
  <si>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</si>
  <si>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</si>
  <si>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</si>
  <si>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</si>
  <si>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</si>
  <si>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</si>
  <si>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</si>
  <si>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</si>
  <si>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</si>
  <si>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</si>
  <si>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</si>
  <si>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</si>
  <si>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</si>
  <si>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</si>
  <si>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</si>
  <si>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</si>
  <si>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</si>
  <si>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</si>
  <si>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</si>
  <si>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</si>
  <si>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</si>
  <si>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</si>
  <si>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</si>
  <si>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</si>
  <si>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</si>
  <si>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</si>
  <si>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</si>
  <si>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</si>
  <si>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</si>
  <si>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</si>
  <si>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</si>
  <si>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</si>
  <si>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</si>
  <si>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</si>
  <si>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</si>
  <si>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</si>
  <si>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</si>
  <si>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</si>
  <si>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</si>
  <si>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</si>
  <si>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</si>
  <si>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</si>
  <si>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</si>
  <si>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</si>
  <si>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</si>
  <si>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</si>
  <si>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</si>
  <si>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</si>
  <si>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</si>
  <si>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</si>
  <si>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</si>
  <si>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</si>
  <si>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</si>
  <si>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</si>
  <si>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</si>
  <si>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</si>
  <si>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</si>
  <si>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</si>
  <si>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</si>
  <si>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</si>
  <si>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</si>
  <si>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</si>
  <si>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</si>
  <si>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</si>
  <si>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</si>
  <si>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</si>
  <si>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</si>
  <si>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</si>
  <si>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</si>
  <si>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</si>
  <si>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</si>
  <si>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</si>
  <si>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</si>
  <si>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</si>
  <si>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</si>
  <si>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</si>
  <si>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</si>
  <si>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</si>
  <si>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</si>
  <si>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</si>
  <si>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</si>
  <si>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</si>
  <si>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</si>
  <si>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</si>
  <si>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</si>
  <si>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</si>
  <si>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</si>
  <si>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</si>
  <si>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</si>
  <si>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</si>
  <si>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</si>
  <si>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</si>
  <si>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</si>
  <si>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</si>
  <si>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</si>
  <si>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</si>
  <si>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</si>
  <si>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</si>
  <si>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</si>
  <si>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</si>
  <si>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</si>
  <si>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</si>
  <si>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</si>
  <si>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</si>
  <si>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</si>
  <si>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</si>
  <si>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</si>
  <si>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</si>
  <si>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</si>
  <si>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</si>
  <si>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</si>
  <si>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</si>
  <si>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</si>
  <si>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</si>
  <si>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</si>
  <si>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</si>
  <si>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</si>
  <si>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</si>
  <si>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</si>
  <si>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</si>
  <si>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</si>
  <si>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</si>
  <si>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</si>
  <si>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</si>
  <si>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</si>
  <si>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</si>
  <si>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</si>
  <si>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</si>
  <si>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</si>
  <si>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</si>
  <si>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</si>
  <si>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</si>
  <si>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</si>
  <si>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</si>
  <si>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</si>
  <si>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</si>
  <si>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</si>
  <si>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</si>
  <si>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</si>
  <si>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</si>
  <si>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</si>
  <si>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</si>
  <si>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</si>
  <si>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</si>
  <si>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</si>
  <si>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</si>
  <si>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</si>
  <si>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</si>
  <si>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</si>
  <si>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</si>
  <si>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</si>
  <si>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</si>
  <si>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</si>
  <si>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</si>
  <si>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</si>
  <si>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</si>
  <si>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</si>
  <si>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</si>
  <si>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</si>
  <si>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</si>
  <si>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</si>
  <si>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</si>
  <si>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</si>
  <si>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</si>
  <si>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</si>
  <si>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</si>
  <si>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</si>
  <si>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</si>
  <si>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</si>
  <si>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</si>
  <si>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</si>
  <si>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</si>
  <si>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</si>
  <si>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</si>
  <si>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</si>
  <si>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</si>
  <si>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</si>
  <si>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</si>
  <si>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</si>
  <si>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</si>
  <si>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</si>
  <si>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</si>
  <si>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</si>
  <si>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</si>
  <si>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</si>
  <si>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</si>
  <si>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</si>
  <si>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</si>
  <si>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</si>
  <si>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</si>
  <si>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</si>
  <si>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</si>
  <si>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</si>
  <si>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</si>
  <si>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</si>
  <si>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</si>
  <si>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</si>
  <si>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</si>
  <si>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</si>
  <si>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</si>
  <si>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</si>
  <si>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</si>
  <si>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</si>
  <si>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</si>
  <si>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</si>
  <si>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</si>
  <si>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</si>
  <si>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</si>
  <si>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</si>
  <si>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</si>
  <si>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</si>
  <si>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</si>
  <si>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</si>
  <si>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</si>
  <si>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</si>
  <si>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</si>
  <si>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</si>
  <si>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</si>
  <si>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</si>
  <si>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</si>
  <si>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</si>
  <si>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</si>
  <si>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</si>
  <si>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</si>
  <si>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</si>
  <si>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</si>
  <si>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</si>
  <si>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</si>
  <si>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</si>
  <si>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</si>
  <si>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</si>
  <si>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</si>
  <si>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</si>
  <si>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</si>
  <si>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</si>
  <si>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</si>
  <si>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</si>
  <si>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</si>
  <si>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</si>
  <si>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</si>
  <si>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</si>
  <si>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</si>
  <si>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</si>
  <si>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</si>
  <si>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</si>
  <si>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</si>
  <si>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</si>
  <si>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</si>
  <si>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</si>
  <si>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</si>
  <si>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</si>
  <si>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</si>
  <si>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</si>
  <si>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</si>
  <si>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</si>
  <si>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</si>
  <si>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</si>
  <si>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</si>
  <si>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</si>
  <si>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</si>
  <si>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</si>
  <si>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</si>
  <si>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</si>
  <si>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</si>
  <si>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</si>
  <si>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</si>
  <si>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</si>
  <si>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</si>
  <si>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</si>
  <si>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</si>
  <si>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</si>
  <si>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</si>
  <si>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</si>
  <si>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</si>
  <si>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</si>
  <si>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</si>
  <si>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</si>
  <si>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</si>
  <si>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</si>
  <si>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</si>
  <si>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</si>
  <si>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</si>
  <si>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</si>
  <si>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</si>
  <si>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</si>
  <si>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</si>
  <si>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</si>
  <si>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居住用途熟地价</t>
    <phoneticPr fontId="279" type="noConversion"/>
  </si>
  <si>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</si>
  <si>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</si>
  <si>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</si>
  <si>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</si>
  <si>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</si>
  <si>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</si>
  <si>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</si>
  <si>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</si>
  <si>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</si>
  <si>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</si>
  <si>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</si>
  <si>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</si>
  <si>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已全部缴纳</t>
  </si>
  <si>
    <t>住宅（共有产权）</t>
    <phoneticPr fontId="233" type="noConversion"/>
  </si>
  <si>
    <t>住宅（商品房）</t>
    <phoneticPr fontId="233" type="noConversion"/>
  </si>
  <si>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</si>
  <si>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</si>
  <si>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</si>
  <si>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</si>
  <si>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</si>
  <si>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</si>
  <si>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t>
    <phoneticPr fontId="233" type="noConversion"/>
  </si>
  <si>
    <t>居住(商品房）</t>
    <phoneticPr fontId="233" type="noConversion"/>
  </si>
  <si>
    <t>居住（共有产权）</t>
    <phoneticPr fontId="279" type="noConversion"/>
  </si>
  <si>
    <t>居住（共有产权）</t>
    <phoneticPr fontId="279" type="noConversion"/>
  </si>
  <si>
    <t>居住（共有产权）</t>
    <phoneticPr fontId="279" type="noConversion"/>
  </si>
  <si>
    <t>居住(商品房）</t>
    <phoneticPr fontId="233" type="noConversion"/>
  </si>
  <si>
    <t>开发周期</t>
    <phoneticPr fontId="233" type="noConversion"/>
  </si>
  <si>
    <t>居住用途（共有产权）政府土地出让收益</t>
    <phoneticPr fontId="279" type="noConversion"/>
  </si>
  <si>
    <t>居住用途（共有产权）熟地价</t>
    <phoneticPr fontId="279"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</si>
  <si>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</si>
  <si>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</si>
  <si>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</si>
  <si>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</si>
  <si>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</si>
  <si>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</si>
  <si>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</si>
  <si>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</si>
  <si>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出让底价建议：建议本项目出让底价不低于熟地总价343786.83万元。</t>
    <phoneticPr fontId="279" type="noConversion"/>
  </si>
  <si>
    <t>宗地形状不规则，但对宗地利用影响较小</t>
    <phoneticPr fontId="3" type="noConversion"/>
  </si>
  <si>
    <t>居住用途政府土地出让收益</t>
    <phoneticPr fontId="2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</si>
</sst>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6"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6"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65288;&#21830;&#19994;&#65289;&#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65288;&#21150;&#20844;&#65289;&#31199;&#373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27846</v>
          </cell>
          <cell r="D19">
            <v>45273</v>
          </cell>
        </row>
        <row r="20">
          <cell r="C20">
            <v>4558</v>
          </cell>
          <cell r="D20">
            <v>7411</v>
          </cell>
        </row>
      </sheetData>
      <sheetData sheetId="18"/>
      <sheetData sheetId="19"/>
      <sheetData sheetId="20"/>
      <sheetData sheetId="21"/>
      <sheetData sheetId="22"/>
      <sheetData sheetId="23">
        <row r="8">
          <cell r="C8">
            <v>18865</v>
          </cell>
        </row>
      </sheetData>
      <sheetData sheetId="24"/>
      <sheetData sheetId="25"/>
      <sheetData sheetId="26">
        <row r="48">
          <cell r="C48">
            <v>3</v>
          </cell>
        </row>
      </sheetData>
      <sheetData sheetId="27">
        <row r="2">
          <cell r="B2">
            <v>26553</v>
          </cell>
        </row>
        <row r="3">
          <cell r="B3">
            <v>4346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比较法租金-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C20">
            <v>4655</v>
          </cell>
          <cell r="D20">
            <v>7352</v>
          </cell>
        </row>
      </sheetData>
      <sheetData sheetId="18"/>
      <sheetData sheetId="19"/>
      <sheetData sheetId="20"/>
      <sheetData sheetId="21">
        <row r="10">
          <cell r="C10">
            <v>14275</v>
          </cell>
        </row>
      </sheetData>
      <sheetData sheetId="22"/>
      <sheetData sheetId="23"/>
      <sheetData sheetId="24">
        <row r="50">
          <cell r="C50">
            <v>2.2999999999999998</v>
          </cell>
        </row>
      </sheetData>
      <sheetData sheetId="25">
        <row r="2">
          <cell r="B2">
            <v>23824</v>
          </cell>
        </row>
        <row r="3">
          <cell r="B3">
            <v>3900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26969</v>
          </cell>
          <cell r="D19">
            <v>93323</v>
          </cell>
        </row>
        <row r="20">
          <cell r="C20">
            <v>5354</v>
          </cell>
          <cell r="D20">
            <v>18527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根据《国有土地使用证》[]，估价对象（分摊）出让国有建设用地使用权面积为128587.91平方米。根据《建设工程规划许可证》[]、《出让合同》[]，估价对象规划建筑面积为292155平方米。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128587.91</v>
      </c>
    </row>
    <row r="44" spans="1:2">
      <c r="A44" s="2879" t="s">
        <v>2736</v>
      </c>
      <c r="B44" s="2880" t="str">
        <f>'预评函-2'!O3</f>
        <v>规划建筑面积/㎡</v>
      </c>
    </row>
    <row r="45" spans="1:2">
      <c r="A45" s="2879" t="s">
        <v>2718</v>
      </c>
      <c r="B45" s="2880">
        <f>'预评函-2'!O5</f>
        <v>292155</v>
      </c>
    </row>
    <row r="46" spans="1:2">
      <c r="A46" s="2879" t="s">
        <v>2719</v>
      </c>
      <c r="B46" s="2880">
        <f ca="1">'预评函-2'!P5</f>
        <v>19799</v>
      </c>
    </row>
    <row r="47" spans="1:2">
      <c r="A47" s="2879" t="s">
        <v>2720</v>
      </c>
      <c r="B47" s="2880">
        <f ca="1">'预评函-2'!Q5</f>
        <v>8714</v>
      </c>
    </row>
    <row r="48" spans="1:2">
      <c r="A48" s="2879" t="s">
        <v>2721</v>
      </c>
      <c r="B48" s="2880">
        <f ca="1">'预评函-2'!R5</f>
        <v>254587</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B43" sqref="B43:D44"/>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01" t="str">
        <f>IF(B10="北京市","北京市",C10)&amp;F10&amp;B16&amp;"国有建设用地使用权"&amp;B9&amp;"预评估"</f>
        <v>北京市房山区邢家坞村出让国有建设用地使用权市场价格预评估</v>
      </c>
      <c r="C1" s="3302"/>
      <c r="D1" s="3302"/>
      <c r="E1" s="3302"/>
      <c r="F1" s="3302"/>
      <c r="G1" s="3302"/>
      <c r="H1" s="3302"/>
      <c r="I1" s="3303"/>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3029</v>
      </c>
      <c r="C4" s="1846">
        <f ca="1">SUMIF(土地估价师,B4,估价师及机构信息!E3:E24)</f>
        <v>2004110096</v>
      </c>
      <c r="D4" s="1843" t="s">
        <v>3030</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2984</v>
      </c>
      <c r="C8" s="1671"/>
      <c r="D8" s="3307"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2985</v>
      </c>
      <c r="C9" s="1675"/>
      <c r="D9" s="3308"/>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3001</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04"/>
      <c r="C12" s="3305"/>
      <c r="D12" s="3306"/>
      <c r="E12" s="1699" t="s">
        <v>2057</v>
      </c>
      <c r="F12" s="3322" t="s">
        <v>2884</v>
      </c>
      <c r="G12" s="3323"/>
      <c r="H12" s="3323"/>
      <c r="I12" s="3324"/>
      <c r="J12" s="1694"/>
      <c r="K12" s="1774"/>
      <c r="L12" s="1723"/>
      <c r="M12" s="1723"/>
      <c r="N12" s="1694"/>
      <c r="O12" s="1695"/>
      <c r="P12" s="1694"/>
      <c r="Q12" s="1694"/>
      <c r="R12" s="1694"/>
      <c r="S12" s="1694"/>
      <c r="T12" s="1694"/>
      <c r="U12" s="1694"/>
    </row>
    <row r="13" spans="1:21">
      <c r="A13" s="1687" t="s">
        <v>2055</v>
      </c>
      <c r="B13" s="3304"/>
      <c r="C13" s="3305"/>
      <c r="D13" s="3306"/>
      <c r="E13" s="1699" t="s">
        <v>2057</v>
      </c>
      <c r="F13" s="3322" t="s">
        <v>2885</v>
      </c>
      <c r="G13" s="3323"/>
      <c r="H13" s="3323"/>
      <c r="I13" s="3324"/>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2986</v>
      </c>
      <c r="C16" s="1699" t="s">
        <v>1944</v>
      </c>
      <c r="D16" s="2647" t="s">
        <v>1945</v>
      </c>
      <c r="E16" s="1722" t="s">
        <v>2983</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19"/>
      <c r="E20" s="3320"/>
      <c r="F20" s="3320"/>
      <c r="G20" s="3320"/>
      <c r="H20" s="3320"/>
      <c r="I20" s="3321"/>
      <c r="J20" s="1694"/>
      <c r="K20" s="1774"/>
      <c r="L20" s="1723"/>
      <c r="M20" s="1723"/>
      <c r="N20" s="1694"/>
      <c r="O20" s="1695"/>
      <c r="P20" s="1694"/>
      <c r="Q20" s="1694"/>
      <c r="R20" s="1694"/>
      <c r="S20" s="1694"/>
      <c r="T20" s="1694"/>
      <c r="U20" s="1694"/>
    </row>
    <row r="21" spans="1:21">
      <c r="A21" s="1763" t="s">
        <v>1954</v>
      </c>
      <c r="B21" s="1764" t="s">
        <v>1955</v>
      </c>
      <c r="C21" s="1759">
        <f>'数据-汇总表'!E3</f>
        <v>292155</v>
      </c>
      <c r="D21" s="1760" t="s">
        <v>1956</v>
      </c>
      <c r="E21" s="3309" t="s">
        <v>1994</v>
      </c>
      <c r="F21" s="3310"/>
      <c r="G21" s="3310"/>
      <c r="H21" s="3310"/>
      <c r="I21" s="3311"/>
      <c r="J21" s="1694"/>
      <c r="K21" s="1774"/>
      <c r="L21" s="1723"/>
      <c r="M21" s="1723"/>
      <c r="N21" s="1694"/>
      <c r="O21" s="1695"/>
      <c r="P21" s="1694"/>
      <c r="Q21" s="1694"/>
      <c r="R21" s="1694"/>
      <c r="S21" s="1694"/>
      <c r="T21" s="1694"/>
      <c r="U21" s="1694"/>
    </row>
    <row r="22" spans="1:21">
      <c r="A22" s="3150" t="s">
        <v>949</v>
      </c>
      <c r="B22" s="1661" t="s">
        <v>1957</v>
      </c>
      <c r="C22" s="1686">
        <f>'数据-汇总表'!D3</f>
        <v>128587.91</v>
      </c>
      <c r="D22" s="1687" t="s">
        <v>1956</v>
      </c>
      <c r="E22" s="3309" t="s">
        <v>2886</v>
      </c>
      <c r="F22" s="3310"/>
      <c r="G22" s="3310"/>
      <c r="H22" s="3310"/>
      <c r="I22" s="3311"/>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12" t="s">
        <v>1962</v>
      </c>
      <c r="C24" s="3313"/>
      <c r="D24" s="3314" t="s">
        <v>1963</v>
      </c>
      <c r="E24" s="3315"/>
      <c r="F24" s="1708" t="s">
        <v>1964</v>
      </c>
      <c r="G24" s="1694"/>
      <c r="H24" s="1694"/>
      <c r="I24" s="1707"/>
      <c r="J24" s="1694"/>
      <c r="K24" s="3300"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0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0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27" t="s">
        <v>1997</v>
      </c>
      <c r="B31" s="1764" t="s">
        <v>1998</v>
      </c>
      <c r="C31" s="3325"/>
      <c r="D31" s="3326"/>
      <c r="E31" s="1694"/>
      <c r="F31" s="1694"/>
      <c r="G31" s="1694"/>
      <c r="H31" s="1694"/>
      <c r="I31" s="1707"/>
      <c r="J31" s="1694"/>
      <c r="K31" s="2459"/>
      <c r="L31" s="1694"/>
      <c r="M31" s="1694"/>
      <c r="N31" s="1694"/>
      <c r="O31" s="1694"/>
      <c r="P31" s="1694"/>
      <c r="Q31" s="1694"/>
      <c r="R31" s="1694"/>
      <c r="S31" s="1694"/>
      <c r="T31" s="1694"/>
      <c r="U31" s="1694"/>
    </row>
    <row r="32" spans="1:21">
      <c r="A32" s="3327"/>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27"/>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28"/>
      <c r="B34" s="1661" t="s">
        <v>2001</v>
      </c>
      <c r="C34" s="3329"/>
      <c r="D34" s="3330"/>
      <c r="E34" s="1694"/>
      <c r="F34" s="1694"/>
      <c r="G34" s="1694"/>
      <c r="H34" s="1694"/>
      <c r="I34" s="1707"/>
      <c r="J34" s="1694"/>
      <c r="K34" s="2459"/>
      <c r="L34" s="1694"/>
      <c r="M34" s="1694"/>
      <c r="N34" s="1694"/>
      <c r="O34" s="1694"/>
      <c r="P34" s="1694"/>
      <c r="Q34" s="1694"/>
      <c r="R34" s="1694"/>
      <c r="S34" s="1694"/>
      <c r="T34" s="1694"/>
      <c r="U34" s="1694"/>
    </row>
    <row r="35" spans="1:21">
      <c r="A35" s="3331" t="s">
        <v>844</v>
      </c>
      <c r="B35" s="1722"/>
      <c r="C35" s="1776" t="str">
        <f>IF(B35="场地平整","——","具体情况：")</f>
        <v>具体情况：</v>
      </c>
      <c r="D35" s="3333"/>
      <c r="E35" s="3334"/>
      <c r="F35" s="3334"/>
      <c r="G35" s="3334"/>
      <c r="H35" s="3334"/>
      <c r="I35" s="3335"/>
      <c r="J35" s="1694"/>
      <c r="K35" s="1775"/>
      <c r="L35" s="1723"/>
      <c r="M35" s="1723"/>
      <c r="N35" s="1694"/>
      <c r="O35" s="1695"/>
      <c r="P35" s="1694"/>
      <c r="Q35" s="1694"/>
      <c r="R35" s="1694"/>
      <c r="S35" s="1694"/>
      <c r="T35" s="1694"/>
      <c r="U35" s="1694"/>
    </row>
    <row r="36" spans="1:21">
      <c r="A36" s="3327"/>
      <c r="B36" s="3336" t="s">
        <v>2050</v>
      </c>
      <c r="C36" s="3337"/>
      <c r="D36" s="1792"/>
      <c r="E36" s="3338"/>
      <c r="F36" s="3338"/>
      <c r="G36" s="1687" t="str">
        <f>IF(B35="场地未平整","估价结果处理","")</f>
        <v/>
      </c>
      <c r="H36" s="3339"/>
      <c r="I36" s="3339"/>
      <c r="J36" s="1694"/>
      <c r="K36" s="1775"/>
      <c r="L36" s="1723"/>
      <c r="M36" s="1723"/>
      <c r="N36" s="1694"/>
      <c r="O36" s="1695"/>
      <c r="P36" s="1694"/>
      <c r="Q36" s="1694"/>
      <c r="R36" s="1694"/>
      <c r="S36" s="1694"/>
      <c r="T36" s="1694"/>
      <c r="U36" s="1694"/>
    </row>
    <row r="37" spans="1:21" ht="28.5">
      <c r="A37" s="3327"/>
      <c r="B37" s="3316"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27"/>
      <c r="B38" s="3317"/>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328"/>
      <c r="B39" s="331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299" t="s">
        <v>1981</v>
      </c>
      <c r="T40" s="1731" t="str">
        <f>NUMBERSTRING(7-K40,1)&amp;"通"</f>
        <v>七通</v>
      </c>
      <c r="U40" s="1694"/>
    </row>
    <row r="41" spans="1:21">
      <c r="A41" s="1663"/>
      <c r="B41" s="3332" t="s">
        <v>1715</v>
      </c>
      <c r="C41" s="3332"/>
      <c r="D41" s="3332"/>
      <c r="E41" s="333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99"/>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179055.66</v>
      </c>
      <c r="B3" s="22">
        <f>IF(C3="否",G5-AT5,G5)</f>
        <v>406819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406819</v>
      </c>
      <c r="H5" s="27">
        <f t="shared" ref="H5:AT5" si="0">SUM(H13:H641)</f>
        <v>406819</v>
      </c>
      <c r="I5" s="27">
        <f t="shared" si="0"/>
        <v>406819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292155</v>
      </c>
      <c r="BA5" s="29">
        <f t="shared" si="1"/>
        <v>292155</v>
      </c>
      <c r="BB5" s="29">
        <f t="shared" si="1"/>
        <v>292155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179055.66</v>
      </c>
      <c r="F6" s="27" t="s">
        <v>1</v>
      </c>
      <c r="G6" s="27" t="s">
        <v>2</v>
      </c>
      <c r="H6" s="33">
        <f>SUMIF(I$12:AB$12,"总值",I6:AB6)</f>
        <v>179055.66</v>
      </c>
      <c r="I6" s="27">
        <f t="shared" ref="I6:AB6" si="2">ROUND($A$3*I5/$B$3,2)</f>
        <v>179055.66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128587.91</v>
      </c>
      <c r="AZ6" s="27" t="s">
        <v>3</v>
      </c>
      <c r="BA6" s="27">
        <f>ROUND($AY$6*BA5/$AZ$5,2)</f>
        <v>128587.91</v>
      </c>
      <c r="BB6" s="27">
        <f>ROUND($AY$6*BB5/$AZ$5,2)</f>
        <v>128587.91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3044</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3045</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3033</v>
      </c>
      <c r="B13" s="3015"/>
      <c r="C13" s="3015"/>
      <c r="D13" s="3016" t="s">
        <v>1675</v>
      </c>
      <c r="E13" s="27">
        <f t="shared" ref="E13:E20" si="6">IF($C$3="是",ROUND($A$3*G13/$B$3,2),ROUND($A$3*(G13-AT13)/$B$3,2))</f>
        <v>42581.83</v>
      </c>
      <c r="F13" s="81"/>
      <c r="G13" s="82">
        <f t="shared" ref="G13:G20" si="7">H13+AC13+AT13</f>
        <v>96747</v>
      </c>
      <c r="H13" s="33">
        <f t="shared" ref="H13:H20" si="8">SUMIF(I$12:AB$12,"总值",I13:AB13)</f>
        <v>96747</v>
      </c>
      <c r="I13" s="3214">
        <v>96747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42581.83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3034</v>
      </c>
      <c r="B14" s="3015"/>
      <c r="C14" s="3017"/>
      <c r="D14" s="3016" t="s">
        <v>1675</v>
      </c>
      <c r="E14" s="27">
        <f t="shared" si="6"/>
        <v>36584.54</v>
      </c>
      <c r="F14" s="81"/>
      <c r="G14" s="82">
        <f t="shared" si="7"/>
        <v>83121</v>
      </c>
      <c r="H14" s="33">
        <f t="shared" si="8"/>
        <v>83121</v>
      </c>
      <c r="I14" s="3214">
        <v>83121</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36584.54</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3035</v>
      </c>
      <c r="B15" s="3015"/>
      <c r="C15" s="3017"/>
      <c r="D15" s="3016" t="s">
        <v>1675</v>
      </c>
      <c r="E15" s="27">
        <f t="shared" si="6"/>
        <v>26797.24</v>
      </c>
      <c r="F15" s="81"/>
      <c r="G15" s="82">
        <f t="shared" si="7"/>
        <v>60884</v>
      </c>
      <c r="H15" s="33">
        <f t="shared" si="8"/>
        <v>60884</v>
      </c>
      <c r="I15" s="3214">
        <v>60884</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26797.24</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3036</v>
      </c>
      <c r="B16" s="3015"/>
      <c r="C16" s="81"/>
      <c r="D16" s="3016" t="s">
        <v>3043</v>
      </c>
      <c r="E16" s="27">
        <f t="shared" si="6"/>
        <v>1408.43</v>
      </c>
      <c r="F16" s="81"/>
      <c r="G16" s="82">
        <f t="shared" si="7"/>
        <v>3200</v>
      </c>
      <c r="H16" s="33">
        <f t="shared" si="8"/>
        <v>3200</v>
      </c>
      <c r="I16" s="3214">
        <v>3200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3037</v>
      </c>
      <c r="B17" s="3015"/>
      <c r="C17" s="81"/>
      <c r="D17" s="3016" t="s">
        <v>3043</v>
      </c>
      <c r="E17" s="27">
        <f t="shared" si="6"/>
        <v>11318.1</v>
      </c>
      <c r="F17" s="81"/>
      <c r="G17" s="82">
        <f t="shared" si="7"/>
        <v>25715</v>
      </c>
      <c r="H17" s="33">
        <f t="shared" si="8"/>
        <v>25715</v>
      </c>
      <c r="I17" s="3214">
        <v>25715</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3038</v>
      </c>
      <c r="B18" s="85"/>
      <c r="C18" s="88"/>
      <c r="D18" s="3018" t="s">
        <v>3043</v>
      </c>
      <c r="E18" s="87">
        <f t="shared" si="6"/>
        <v>0</v>
      </c>
      <c r="F18" s="88"/>
      <c r="G18" s="89">
        <f t="shared" si="7"/>
        <v>0</v>
      </c>
      <c r="H18" s="90">
        <f t="shared" si="8"/>
        <v>0</v>
      </c>
      <c r="I18" s="321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3039</v>
      </c>
      <c r="B19" s="1399"/>
      <c r="C19" s="1395"/>
      <c r="D19" s="80" t="s">
        <v>1675</v>
      </c>
      <c r="E19" s="87">
        <f t="shared" si="6"/>
        <v>22624.31</v>
      </c>
      <c r="F19" s="88"/>
      <c r="G19" s="89">
        <f t="shared" si="7"/>
        <v>51403</v>
      </c>
      <c r="H19" s="90">
        <f t="shared" si="8"/>
        <v>51403</v>
      </c>
      <c r="I19" s="321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22624.31</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3040</v>
      </c>
      <c r="B20" s="1399"/>
      <c r="C20" s="1395"/>
      <c r="D20" s="80" t="s">
        <v>3043</v>
      </c>
      <c r="E20" s="87">
        <f t="shared" si="6"/>
        <v>18774.88</v>
      </c>
      <c r="F20" s="88"/>
      <c r="G20" s="89">
        <f t="shared" si="7"/>
        <v>42657</v>
      </c>
      <c r="H20" s="90">
        <f t="shared" si="8"/>
        <v>42657</v>
      </c>
      <c r="I20" s="321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3041</v>
      </c>
      <c r="B21" s="1394"/>
      <c r="C21" s="88"/>
      <c r="D21" s="80" t="s">
        <v>3043</v>
      </c>
      <c r="E21" s="87">
        <f t="shared" ref="E21:E112" si="33">IF($C$3="是",ROUND($A$3*G21/$B$3,2),ROUND($A$3*(G21-AT21)/$B$3,2))</f>
        <v>18966.34</v>
      </c>
      <c r="F21" s="88"/>
      <c r="G21" s="89">
        <f t="shared" ref="G21:G109" si="34">H21+AC21+AT21</f>
        <v>43092</v>
      </c>
      <c r="H21" s="90">
        <f t="shared" ref="H21:H109" si="35">SUMIF(I$12:AB$12,"总值",I21:AB21)</f>
        <v>43092</v>
      </c>
      <c r="I21" s="3217">
        <v>43092</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0" t="s">
        <v>0</v>
      </c>
      <c r="B1" s="3340" t="s">
        <v>4</v>
      </c>
      <c r="C1" s="3340" t="s">
        <v>5</v>
      </c>
      <c r="D1" s="3341" t="s">
        <v>40</v>
      </c>
      <c r="E1" s="3341" t="s">
        <v>41</v>
      </c>
      <c r="F1" s="3341"/>
      <c r="G1" s="3341"/>
      <c r="H1" s="3341"/>
      <c r="I1" s="3341"/>
      <c r="J1" s="3341"/>
      <c r="K1" s="3341"/>
      <c r="L1" s="3341"/>
      <c r="M1" s="3341"/>
    </row>
    <row r="2" spans="1:13" ht="27" customHeight="1">
      <c r="A2" s="3340"/>
      <c r="B2" s="3340"/>
      <c r="C2" s="3340"/>
      <c r="D2" s="3341"/>
      <c r="E2" s="3341" t="s">
        <v>24</v>
      </c>
      <c r="F2" s="3341" t="s">
        <v>25</v>
      </c>
      <c r="G2" s="3341"/>
      <c r="H2" s="3341"/>
      <c r="I2" s="3341"/>
      <c r="J2" s="3341" t="s">
        <v>26</v>
      </c>
      <c r="K2" s="3341"/>
      <c r="L2" s="3341"/>
      <c r="M2" s="3341"/>
    </row>
    <row r="3" spans="1:13" ht="28.5">
      <c r="A3" s="3340"/>
      <c r="B3" s="3340"/>
      <c r="C3" s="3340"/>
      <c r="D3" s="3341"/>
      <c r="E3" s="33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1" t="s">
        <v>42</v>
      </c>
      <c r="B9" s="3341"/>
      <c r="C9" s="33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51" t="s">
        <v>200</v>
      </c>
      <c r="B2" s="3351"/>
      <c r="C2" s="3351"/>
      <c r="D2" s="1976" t="s">
        <v>201</v>
      </c>
      <c r="E2" s="106" t="s">
        <v>202</v>
      </c>
      <c r="F2" s="1985"/>
      <c r="G2" s="1198"/>
      <c r="H2" s="1199"/>
      <c r="I2" s="1200" t="s">
        <v>854</v>
      </c>
      <c r="J2" s="1985"/>
      <c r="K2" s="1985"/>
      <c r="L2" s="1985"/>
    </row>
    <row r="3" spans="1:16" ht="15.75" thickBot="1">
      <c r="A3" s="3352" t="s">
        <v>203</v>
      </c>
      <c r="B3" s="3352"/>
      <c r="C3" s="3352"/>
      <c r="D3" s="107">
        <f>'数据-基础表'!AY6</f>
        <v>128587.91</v>
      </c>
      <c r="E3" s="107">
        <f>'数据-基础表'!AZ5</f>
        <v>292155</v>
      </c>
      <c r="F3" s="1985"/>
      <c r="G3" s="280" t="s">
        <v>855</v>
      </c>
      <c r="H3" s="275" t="s">
        <v>856</v>
      </c>
      <c r="I3" s="1977">
        <f>ROUND('数据-基础表'!B3/'数据-基础表'!A3,2)</f>
        <v>2.27</v>
      </c>
      <c r="J3" s="1985"/>
      <c r="K3" s="1985"/>
      <c r="L3" s="1985"/>
    </row>
    <row r="4" spans="1:16" ht="15">
      <c r="A4" s="3353"/>
      <c r="B4" s="3354"/>
      <c r="C4" s="3355"/>
      <c r="D4" s="108" t="s">
        <v>201</v>
      </c>
      <c r="E4" s="109" t="s">
        <v>202</v>
      </c>
      <c r="F4" s="1985"/>
      <c r="G4" s="1201"/>
      <c r="H4" s="275" t="s">
        <v>857</v>
      </c>
      <c r="I4" s="1977">
        <f>ROUND(SUMIF('数据-基础表'!I9:AS9,"地上",'数据-基础表'!I5:AS5)/'数据-基础表'!A3,2)</f>
        <v>2.27</v>
      </c>
      <c r="J4" s="1985"/>
      <c r="K4" s="1985"/>
      <c r="L4" s="1985"/>
    </row>
    <row r="5" spans="1:16">
      <c r="A5" s="110" t="s">
        <v>204</v>
      </c>
      <c r="B5" s="3356" t="s">
        <v>227</v>
      </c>
      <c r="C5" s="3356"/>
      <c r="D5" s="111">
        <f>ROUND($D$3*E5/$E$3,2)</f>
        <v>128587.91</v>
      </c>
      <c r="E5" s="112">
        <f>SUMIF('数据-基础表'!$11:$11,"住宅",'数据-基础表'!$5:$5)</f>
        <v>292155</v>
      </c>
      <c r="F5" s="1985"/>
      <c r="G5" s="280" t="s">
        <v>858</v>
      </c>
      <c r="H5" s="275" t="s">
        <v>856</v>
      </c>
      <c r="I5" s="1977">
        <f>ROUND(E31/D31,2)</f>
        <v>2.27</v>
      </c>
      <c r="J5" s="1985"/>
      <c r="K5" s="1985"/>
      <c r="L5" s="1985"/>
    </row>
    <row r="6" spans="1:16" ht="15" thickBot="1">
      <c r="A6" s="113"/>
      <c r="B6" s="3356" t="s">
        <v>205</v>
      </c>
      <c r="C6" s="3356"/>
      <c r="D6" s="111">
        <f>ROUND($D$3*E6/$E$3,2)</f>
        <v>0</v>
      </c>
      <c r="E6" s="112">
        <f>E3-E5</f>
        <v>0</v>
      </c>
      <c r="F6" s="1985"/>
      <c r="G6" s="1201"/>
      <c r="H6" s="275" t="s">
        <v>857</v>
      </c>
      <c r="I6" s="1977">
        <f>ROUND(F31/D31,2)</f>
        <v>2.27</v>
      </c>
      <c r="J6" s="1985"/>
      <c r="K6" s="1985"/>
      <c r="L6" s="1985"/>
    </row>
    <row r="7" spans="1:16" ht="15">
      <c r="A7" s="3348"/>
      <c r="B7" s="3349"/>
      <c r="C7" s="3350"/>
      <c r="D7" s="108" t="s">
        <v>201</v>
      </c>
      <c r="E7" s="114" t="s">
        <v>228</v>
      </c>
      <c r="F7" s="1985"/>
      <c r="G7" s="1156" t="s">
        <v>1642</v>
      </c>
      <c r="H7" s="1157"/>
      <c r="I7" s="1847">
        <v>2.25</v>
      </c>
      <c r="J7" s="1985"/>
      <c r="K7" s="1985"/>
      <c r="L7" s="1985"/>
    </row>
    <row r="8" spans="1:16">
      <c r="A8" s="110" t="s">
        <v>206</v>
      </c>
      <c r="B8" s="115" t="s">
        <v>207</v>
      </c>
      <c r="C8" s="111" t="s">
        <v>208</v>
      </c>
      <c r="D8" s="111">
        <f t="shared" ref="D8:D15" si="0">ROUND($D$3*E8/$E$3,2)</f>
        <v>128587.91</v>
      </c>
      <c r="E8" s="116">
        <f>SUMIF('数据-基础表'!BB10:BK10,"地上",'数据-基础表'!BB5:BK5)</f>
        <v>292155</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128587.91</v>
      </c>
      <c r="E16" s="120">
        <f>SUM(E8:E15)</f>
        <v>292155</v>
      </c>
      <c r="F16" s="1985"/>
      <c r="G16" s="1987"/>
      <c r="H16" s="968" t="s">
        <v>216</v>
      </c>
      <c r="I16" s="969"/>
      <c r="J16" s="1985"/>
      <c r="K16" s="3342" t="s">
        <v>2562</v>
      </c>
      <c r="L16" s="3343"/>
      <c r="M16" s="3343"/>
      <c r="N16" s="3343"/>
      <c r="O16" s="3343"/>
      <c r="P16" s="3344"/>
    </row>
    <row r="17" spans="1:19" ht="15">
      <c r="A17" s="121" t="s">
        <v>213</v>
      </c>
      <c r="B17" s="122" t="s">
        <v>214</v>
      </c>
      <c r="C17" s="2299" t="s">
        <v>2309</v>
      </c>
      <c r="D17" s="108" t="s">
        <v>201</v>
      </c>
      <c r="E17" s="124" t="s">
        <v>202</v>
      </c>
      <c r="F17" s="125"/>
      <c r="G17" s="1366"/>
      <c r="H17" s="970" t="s">
        <v>215</v>
      </c>
      <c r="I17" s="971" t="s">
        <v>2308</v>
      </c>
      <c r="J17" s="1985"/>
      <c r="K17" s="3345" t="s">
        <v>2563</v>
      </c>
      <c r="L17" s="3346"/>
      <c r="M17" s="3347"/>
      <c r="N17" s="3345" t="s">
        <v>2564</v>
      </c>
      <c r="O17" s="3346"/>
      <c r="P17" s="3347"/>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2995</v>
      </c>
      <c r="D19" s="111">
        <f t="shared" ref="D19:D26" si="1">ROUND($D$3*E19/$E$3,2)</f>
        <v>128587.91</v>
      </c>
      <c r="E19" s="134">
        <f t="shared" ref="E19:E26" si="2">SUM(F19:G19)</f>
        <v>292155</v>
      </c>
      <c r="F19" s="135">
        <f>E3</f>
        <v>292155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128587.91</v>
      </c>
      <c r="S19" s="2302">
        <f t="shared" si="5"/>
        <v>292155</v>
      </c>
    </row>
    <row r="20" spans="1:19">
      <c r="A20" s="138"/>
      <c r="B20" s="115" t="s">
        <v>223</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128587.91</v>
      </c>
      <c r="E27" s="143">
        <f>IF(SUM(E19:E26)='数据-基础表'!BA5,SUM(E19:E26),IF(F27="地上面积有误","面积有误","地下面积有误"))</f>
        <v>292155</v>
      </c>
      <c r="F27" s="134">
        <f>IF(SUM(F19:F26)=E8,SUM(F19:F26),"地上面积有误")</f>
        <v>292155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128587.91</v>
      </c>
      <c r="S27" s="275">
        <f>IF(SUM(S19:S26)=$E$3,SUM(S19:S26),SUM(S19:S26)&amp;"误差"&amp;ROUND(SUM(S19:S26)-E3,2))</f>
        <v>292155</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128587.91</v>
      </c>
      <c r="E31" s="1372">
        <f>E27+E30</f>
        <v>292155</v>
      </c>
      <c r="F31" s="1373">
        <f>F27+F30</f>
        <v>292155</v>
      </c>
      <c r="G31" s="1374">
        <f>G27+G30</f>
        <v>0</v>
      </c>
      <c r="H31" s="1985"/>
      <c r="I31" s="1985"/>
      <c r="J31" s="1985"/>
      <c r="K31" s="1985"/>
      <c r="L31" s="1985"/>
    </row>
    <row r="32" spans="1:19">
      <c r="A32" s="1985"/>
      <c r="B32" s="2364" t="s">
        <v>2317</v>
      </c>
      <c r="C32" s="2648"/>
      <c r="D32" s="1201"/>
      <c r="E32" s="1201">
        <f>SUMIF(C19:C26,"*住宅*",E19:E26)</f>
        <v>292155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292155</v>
      </c>
      <c r="L6" s="3028">
        <f>建安取值!C5</f>
        <v>5000</v>
      </c>
      <c r="M6" s="177">
        <f t="shared" ref="M6:M14" si="0">ROUND(K6*L6/10000,0)</f>
        <v>146078</v>
      </c>
      <c r="N6" s="3029">
        <v>0</v>
      </c>
      <c r="O6" s="177">
        <f>IF($N$5="成新度","——",ROUND(M6*N6,0))</f>
        <v>0</v>
      </c>
      <c r="P6" s="178">
        <f>IF($N$5="成新度","——",M6-O6)</f>
        <v>146078</v>
      </c>
      <c r="Q6" s="3030">
        <f>建安取值!C6</f>
        <v>0.35</v>
      </c>
      <c r="R6" s="179">
        <f>SUMIF('数据-汇总表'!C$19:C$33,A6,'数据-汇总表'!R$19:R$33)</f>
        <v>128587.91</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2983</v>
      </c>
      <c r="D7" s="2309">
        <f>SUMIF(项目基本情况!D$15:I$15,C7,项目基本情况!D$18:I$18)</f>
        <v>40</v>
      </c>
      <c r="E7" s="2310" t="str">
        <f>IF(B7="","",SUMIF(项目基本情况!D$15:I$15,C7,项目基本情况!D$17:I$17))</f>
        <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292155</v>
      </c>
      <c r="L16" s="206">
        <f>ROUND(M16*10000/SUM(K6:K14),0)</f>
        <v>5000</v>
      </c>
      <c r="M16" s="206">
        <f>SUM(M6:M14)</f>
        <v>146078</v>
      </c>
      <c r="N16" s="207">
        <f>ROUND(SUMPRODUCT(M6:M14,N6:N14)/M16,3)</f>
        <v>0</v>
      </c>
      <c r="O16" s="206">
        <f>SUM(O6:O14)</f>
        <v>0</v>
      </c>
      <c r="P16" s="206">
        <f>SUM(P6:P14)</f>
        <v>146078</v>
      </c>
      <c r="Q16" s="208">
        <f>ROUND(SUMPRODUCT(Q6:Q13,K6:K13)/SUMPRODUCT((Q6:Q13&gt;0)*(K6:K13)),2)</f>
        <v>0.35</v>
      </c>
      <c r="R16" s="2312">
        <f>SUM(R6:R13)</f>
        <v>128587.91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57" t="s">
        <v>1660</v>
      </c>
      <c r="B1" s="3358"/>
      <c r="C1" s="3358"/>
      <c r="D1" s="3358"/>
      <c r="E1" s="3358"/>
      <c r="F1" s="3358"/>
      <c r="G1" s="3358"/>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47" t="s">
        <v>2839</v>
      </c>
      <c r="B1" s="3047">
        <f>'数据-基础表'!B3</f>
        <v>406819</v>
      </c>
      <c r="C1" s="3048"/>
      <c r="D1" s="3048"/>
      <c r="E1" s="3048"/>
      <c r="F1" s="3048"/>
    </row>
    <row r="2" spans="1:9" ht="16.5">
      <c r="A2" s="3047" t="s">
        <v>2840</v>
      </c>
      <c r="B2" s="3047">
        <f>'数据-基础表'!A3</f>
        <v>179055.66</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f ca="1">结果表汇总!E12</f>
        <v>343644.12</v>
      </c>
      <c r="C5" s="3047">
        <f ca="1">ROUND(B5*10000/$B$1,0)</f>
        <v>8447</v>
      </c>
      <c r="D5" s="3047">
        <f ca="1">ROUND(B5*10000/$B$2,0)</f>
        <v>19192</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B1</f>
        <v>406819</v>
      </c>
      <c r="C14" s="3051">
        <f>B2</f>
        <v>179055.66</v>
      </c>
      <c r="D14" s="3051">
        <f ca="1">B5</f>
        <v>343644.12</v>
      </c>
      <c r="E14" s="3051">
        <f ca="1">ROUND(D14*10000/B14,0)</f>
        <v>8447</v>
      </c>
      <c r="F14" s="3051">
        <f ca="1">ROUND(D14*10000/C14,0)</f>
        <v>19192</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04" t="str">
        <f>项目基本情况!K2</f>
        <v>北京市房山区邢家坞村出让国有建设用地使用权</v>
      </c>
      <c r="B2" s="3405"/>
      <c r="C2" s="3406"/>
      <c r="D2" s="3406"/>
      <c r="E2" s="3406"/>
      <c r="F2" s="3406"/>
      <c r="G2" s="3405"/>
      <c r="H2" s="3405"/>
      <c r="I2" s="3407"/>
      <c r="J2" s="2031"/>
      <c r="K2" s="2030"/>
      <c r="L2" s="2030"/>
      <c r="M2" s="2030"/>
      <c r="N2" s="2030"/>
      <c r="O2" s="2030"/>
      <c r="P2" s="2030"/>
      <c r="Q2" s="2030"/>
      <c r="R2" s="2030"/>
      <c r="S2" s="2030"/>
      <c r="T2" s="2030"/>
      <c r="U2" s="2030"/>
      <c r="V2" s="2030"/>
    </row>
    <row r="3" spans="1:22" ht="14.25">
      <c r="A3" s="3415" t="s">
        <v>295</v>
      </c>
      <c r="B3" s="3416"/>
      <c r="C3" s="3416"/>
      <c r="D3" s="3416"/>
      <c r="E3" s="3416"/>
      <c r="F3" s="3416"/>
      <c r="G3" s="3416"/>
      <c r="H3" s="3416"/>
      <c r="I3" s="3416"/>
      <c r="J3" s="2031"/>
      <c r="K3" s="2030"/>
      <c r="L3" s="2030"/>
      <c r="M3" s="2030"/>
      <c r="N3" s="2030"/>
      <c r="O3" s="2030"/>
      <c r="P3" s="2030"/>
      <c r="Q3" s="2030"/>
      <c r="R3" s="2030"/>
      <c r="S3" s="2030"/>
      <c r="T3" s="2030"/>
      <c r="U3" s="2030"/>
      <c r="V3" s="2030"/>
    </row>
    <row r="4" spans="1:22" ht="14.25">
      <c r="A4" s="258" t="s">
        <v>296</v>
      </c>
      <c r="B4" s="259" t="s">
        <v>297</v>
      </c>
      <c r="C4" s="260" t="s">
        <v>3049</v>
      </c>
      <c r="D4" s="260" t="s">
        <v>3097</v>
      </c>
      <c r="E4" s="3379" t="s">
        <v>298</v>
      </c>
      <c r="F4" s="3421"/>
      <c r="G4" s="3421"/>
      <c r="H4" s="3421"/>
      <c r="I4" s="3380"/>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08" t="s">
        <v>299</v>
      </c>
      <c r="B5" s="3409">
        <v>25</v>
      </c>
      <c r="C5" s="3417">
        <v>0.3</v>
      </c>
      <c r="D5" s="3420">
        <f>1-C5</f>
        <v>0.7</v>
      </c>
      <c r="E5" s="261" t="s">
        <v>300</v>
      </c>
      <c r="F5" s="262"/>
      <c r="G5" s="262"/>
      <c r="H5" s="262"/>
      <c r="I5" s="263"/>
      <c r="J5" s="2031"/>
      <c r="K5" s="2030"/>
      <c r="L5" s="2030"/>
      <c r="M5" s="2030"/>
      <c r="N5" s="2030"/>
      <c r="O5" s="2030"/>
      <c r="P5" s="2030"/>
      <c r="Q5" s="2030"/>
      <c r="R5" s="2030"/>
      <c r="S5" s="2030"/>
      <c r="T5" s="2030"/>
      <c r="U5" s="2030"/>
      <c r="V5" s="2030"/>
    </row>
    <row r="6" spans="1:22" ht="14.25">
      <c r="A6" s="3408"/>
      <c r="B6" s="3409"/>
      <c r="C6" s="3418"/>
      <c r="D6" s="3420"/>
      <c r="E6" s="261" t="s">
        <v>301</v>
      </c>
      <c r="F6" s="262"/>
      <c r="G6" s="262"/>
      <c r="H6" s="262"/>
      <c r="I6" s="263"/>
      <c r="J6" s="2031"/>
      <c r="K6" s="2030"/>
      <c r="L6" s="2030"/>
      <c r="M6" s="2030"/>
      <c r="N6" s="2030"/>
      <c r="O6" s="2030"/>
      <c r="P6" s="2030"/>
      <c r="Q6" s="2030"/>
      <c r="R6" s="2030"/>
      <c r="S6" s="2030"/>
      <c r="T6" s="2030"/>
      <c r="U6" s="2030"/>
      <c r="V6" s="2030"/>
    </row>
    <row r="7" spans="1:22" ht="14.25">
      <c r="A7" s="3408"/>
      <c r="B7" s="3409"/>
      <c r="C7" s="3419"/>
      <c r="D7" s="3420"/>
      <c r="E7" s="261" t="s">
        <v>302</v>
      </c>
      <c r="F7" s="262"/>
      <c r="G7" s="262"/>
      <c r="H7" s="262"/>
      <c r="I7" s="263"/>
      <c r="J7" s="2031"/>
      <c r="K7" s="2030"/>
      <c r="L7" s="2030"/>
      <c r="M7" s="2030"/>
      <c r="N7" s="2030"/>
      <c r="O7" s="2030"/>
      <c r="P7" s="2030"/>
      <c r="Q7" s="2030"/>
      <c r="R7" s="2030"/>
      <c r="S7" s="2030"/>
      <c r="T7" s="2030"/>
      <c r="U7" s="2030"/>
      <c r="V7" s="2030"/>
    </row>
    <row r="8" spans="1:22" ht="14.25">
      <c r="A8" s="3408" t="s">
        <v>303</v>
      </c>
      <c r="B8" s="3409">
        <v>15</v>
      </c>
      <c r="C8" s="3417"/>
      <c r="D8" s="3420"/>
      <c r="E8" s="261" t="s">
        <v>304</v>
      </c>
      <c r="F8" s="262"/>
      <c r="G8" s="262"/>
      <c r="H8" s="262"/>
      <c r="I8" s="263"/>
      <c r="J8" s="2031"/>
      <c r="K8" s="2030"/>
      <c r="L8" s="2030"/>
      <c r="M8" s="2030"/>
      <c r="N8" s="2030"/>
      <c r="O8" s="2030"/>
      <c r="P8" s="2030"/>
      <c r="Q8" s="2030"/>
      <c r="R8" s="2030"/>
      <c r="S8" s="2030"/>
      <c r="T8" s="2030"/>
      <c r="U8" s="2030"/>
      <c r="V8" s="2030"/>
    </row>
    <row r="9" spans="1:22" ht="14.25">
      <c r="A9" s="3408"/>
      <c r="B9" s="3409"/>
      <c r="C9" s="3419"/>
      <c r="D9" s="3420"/>
      <c r="E9" s="261" t="s">
        <v>305</v>
      </c>
      <c r="F9" s="262"/>
      <c r="G9" s="262"/>
      <c r="H9" s="262"/>
      <c r="I9" s="263"/>
      <c r="J9" s="2031"/>
      <c r="K9" s="2030"/>
      <c r="L9" s="2030"/>
      <c r="M9" s="2030"/>
      <c r="N9" s="2030"/>
      <c r="O9" s="2030"/>
      <c r="P9" s="2030"/>
      <c r="Q9" s="2030"/>
      <c r="R9" s="2030"/>
      <c r="S9" s="2030"/>
      <c r="T9" s="2030"/>
      <c r="U9" s="2030"/>
      <c r="V9" s="2030"/>
    </row>
    <row r="10" spans="1:22" ht="14.25">
      <c r="A10" s="3408" t="s">
        <v>306</v>
      </c>
      <c r="B10" s="3409">
        <v>15</v>
      </c>
      <c r="C10" s="3417"/>
      <c r="D10" s="3420"/>
      <c r="E10" s="261" t="s">
        <v>307</v>
      </c>
      <c r="F10" s="262"/>
      <c r="G10" s="262"/>
      <c r="H10" s="262"/>
      <c r="I10" s="263"/>
      <c r="J10" s="2031"/>
      <c r="K10" s="2030"/>
      <c r="L10" s="2030"/>
      <c r="M10" s="2030"/>
      <c r="N10" s="2030"/>
      <c r="O10" s="2030"/>
      <c r="P10" s="2030"/>
      <c r="Q10" s="2030"/>
      <c r="R10" s="2030"/>
      <c r="S10" s="2030"/>
      <c r="T10" s="2030"/>
      <c r="U10" s="2030"/>
      <c r="V10" s="2030"/>
    </row>
    <row r="11" spans="1:22" ht="14.25">
      <c r="A11" s="3408"/>
      <c r="B11" s="3409"/>
      <c r="C11" s="3419"/>
      <c r="D11" s="3420"/>
      <c r="E11" s="261" t="s">
        <v>308</v>
      </c>
      <c r="F11" s="262"/>
      <c r="G11" s="262"/>
      <c r="H11" s="262"/>
      <c r="I11" s="263"/>
      <c r="J11" s="2031"/>
      <c r="K11" s="2030"/>
      <c r="L11" s="2030"/>
      <c r="M11" s="2030"/>
      <c r="N11" s="2030"/>
      <c r="O11" s="2030"/>
      <c r="P11" s="2030"/>
      <c r="Q11" s="2030"/>
      <c r="R11" s="2030"/>
      <c r="S11" s="2030"/>
      <c r="T11" s="2030"/>
      <c r="U11" s="2030"/>
      <c r="V11" s="2030"/>
    </row>
    <row r="12" spans="1:22" ht="14.25">
      <c r="A12" s="3408" t="s">
        <v>309</v>
      </c>
      <c r="B12" s="3409">
        <v>15</v>
      </c>
      <c r="C12" s="3417"/>
      <c r="D12" s="3420"/>
      <c r="E12" s="261" t="s">
        <v>310</v>
      </c>
      <c r="F12" s="262"/>
      <c r="G12" s="262"/>
      <c r="H12" s="262"/>
      <c r="I12" s="263"/>
      <c r="J12" s="2031"/>
      <c r="K12" s="2030"/>
      <c r="L12" s="2030"/>
      <c r="M12" s="2030"/>
      <c r="N12" s="2030"/>
      <c r="O12" s="2030"/>
      <c r="P12" s="2030"/>
      <c r="Q12" s="2030"/>
      <c r="R12" s="2030"/>
      <c r="S12" s="2030"/>
      <c r="T12" s="2030"/>
      <c r="U12" s="2030"/>
      <c r="V12" s="2030"/>
    </row>
    <row r="13" spans="1:22" ht="14.25">
      <c r="A13" s="3408"/>
      <c r="B13" s="3409"/>
      <c r="C13" s="3419"/>
      <c r="D13" s="3420"/>
      <c r="E13" s="261" t="s">
        <v>311</v>
      </c>
      <c r="F13" s="262"/>
      <c r="G13" s="262"/>
      <c r="H13" s="262"/>
      <c r="I13" s="263"/>
      <c r="J13" s="2031"/>
      <c r="K13" s="2030"/>
      <c r="L13" s="2030"/>
      <c r="M13" s="2030"/>
      <c r="N13" s="2030"/>
      <c r="O13" s="2030"/>
      <c r="P13" s="2030"/>
      <c r="Q13" s="2030"/>
      <c r="R13" s="2030"/>
      <c r="S13" s="2030"/>
      <c r="T13" s="2030"/>
      <c r="U13" s="2030"/>
      <c r="V13" s="2030"/>
    </row>
    <row r="14" spans="1:22" ht="14.25">
      <c r="A14" s="3408" t="s">
        <v>312</v>
      </c>
      <c r="B14" s="3409">
        <v>30</v>
      </c>
      <c r="C14" s="3417"/>
      <c r="D14" s="3420"/>
      <c r="E14" s="261" t="s">
        <v>313</v>
      </c>
      <c r="F14" s="262"/>
      <c r="G14" s="262"/>
      <c r="H14" s="262"/>
      <c r="I14" s="263"/>
      <c r="J14" s="2031"/>
      <c r="K14" s="2030"/>
      <c r="L14" s="2030"/>
      <c r="M14" s="2030"/>
      <c r="N14" s="2030"/>
      <c r="O14" s="2030"/>
      <c r="P14" s="2030"/>
      <c r="Q14" s="2030"/>
      <c r="R14" s="2030"/>
      <c r="S14" s="2030"/>
      <c r="T14" s="2030"/>
      <c r="U14" s="2030"/>
      <c r="V14" s="2030"/>
    </row>
    <row r="15" spans="1:22" ht="14.25">
      <c r="A15" s="3408"/>
      <c r="B15" s="3409"/>
      <c r="C15" s="3418"/>
      <c r="D15" s="3420"/>
      <c r="E15" s="261" t="s">
        <v>314</v>
      </c>
      <c r="F15" s="262"/>
      <c r="G15" s="262"/>
      <c r="H15" s="262"/>
      <c r="I15" s="263"/>
      <c r="J15" s="2031"/>
      <c r="K15" s="2030"/>
      <c r="L15" s="2030"/>
      <c r="M15" s="2030"/>
      <c r="N15" s="2030"/>
      <c r="O15" s="2030"/>
      <c r="P15" s="2030"/>
      <c r="Q15" s="2030"/>
      <c r="R15" s="2030"/>
      <c r="S15" s="2030"/>
      <c r="T15" s="2030"/>
      <c r="U15" s="2030"/>
      <c r="V15" s="2030"/>
    </row>
    <row r="16" spans="1:22" ht="14.25">
      <c r="A16" s="3408"/>
      <c r="B16" s="3409"/>
      <c r="C16" s="3419"/>
      <c r="D16" s="3420"/>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156420</v>
      </c>
      <c r="D19" s="271">
        <f ca="1">SUMIF(INDIRECT("'"&amp;D4&amp;"'"&amp;"!A:A"),结果表!B19,INDIRECT("'"&amp;D4&amp;"'"&amp;"!B:B"))</f>
        <v>296658</v>
      </c>
      <c r="E19" s="268" t="s">
        <v>320</v>
      </c>
      <c r="F19" s="269" t="s">
        <v>319</v>
      </c>
      <c r="G19" s="272">
        <f ca="1">ROUND(C19*$C$18+D19*$D$18,0)</f>
        <v>254587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5354</v>
      </c>
      <c r="D20" s="277">
        <f ca="1">SUMIF(INDIRECT("'"&amp;D4&amp;"'"&amp;"!A:A"),结果表!B20,INDIRECT("'"&amp;D4&amp;"'"&amp;"!B:B"))</f>
        <v>10154</v>
      </c>
      <c r="E20" s="274"/>
      <c r="F20" s="275" t="s">
        <v>322</v>
      </c>
      <c r="G20" s="278">
        <f ca="1">ROUND(C20*$C$18+D20*$D$18,0)</f>
        <v>8714</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8736</v>
      </c>
      <c r="D21" s="151">
        <f ca="1">SUMIF(INDIRECT("'"&amp;D4&amp;"'"&amp;"!A:A"),结果表!B21,INDIRECT("'"&amp;D4&amp;"'"&amp;"!B:B"))</f>
        <v>23070</v>
      </c>
      <c r="E21" s="274"/>
      <c r="F21" s="280" t="s">
        <v>324</v>
      </c>
      <c r="G21" s="282">
        <f ca="1">ROUND(C21*$C$18+D21*$D$18,0)</f>
        <v>18770</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0.896547756041427</v>
      </c>
      <c r="E22" s="284"/>
      <c r="F22" s="285"/>
      <c r="G22" s="286">
        <f ca="1">ROUND(G19/('数据-汇总表'!D3/666.67),0)</f>
        <v>1320</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81"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23"/>
      <c r="B25" s="1321" t="s">
        <v>328</v>
      </c>
      <c r="C25" s="290">
        <f>IF(B30=0,0,C30)</f>
        <v>0</v>
      </c>
      <c r="D25" s="291"/>
      <c r="E25" s="311"/>
      <c r="F25" s="311"/>
      <c r="G25" s="311"/>
      <c r="H25" s="311"/>
      <c r="I25" s="311"/>
      <c r="J25" s="2030"/>
      <c r="K25" s="1255" t="str">
        <f ca="1">项目基本情况!B16&amp;"国有建设用地使用权价格："&amp;O38&amp;"万元"</f>
        <v>出让国有建设用地使用权价格：254587万元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大写金额：人民币贰拾伍亿肆仟伍佰捌拾柒万元整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单位面积地价：19799元/平方米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楼面地价：8714元/平方米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254587</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8714</v>
      </c>
      <c r="D33" s="1386" t="s">
        <v>1685</v>
      </c>
      <c r="E33" s="3381"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19799</v>
      </c>
      <c r="D34" s="1388" t="s">
        <v>1685</v>
      </c>
      <c r="E34" s="3382"/>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1320</v>
      </c>
      <c r="D35" s="1391" t="s">
        <v>1687</v>
      </c>
      <c r="E35" s="3383"/>
      <c r="F35" s="301" t="s">
        <v>339</v>
      </c>
      <c r="G35" s="982"/>
      <c r="H35" s="981" t="s">
        <v>340</v>
      </c>
      <c r="I35" s="311"/>
      <c r="J35" s="2030"/>
      <c r="K35" s="3387" t="s">
        <v>347</v>
      </c>
      <c r="L35" s="3387" t="s">
        <v>348</v>
      </c>
      <c r="M35" s="1264" t="s">
        <v>349</v>
      </c>
      <c r="N35" s="3387" t="s">
        <v>350</v>
      </c>
      <c r="O35" s="3387" t="s">
        <v>351</v>
      </c>
      <c r="P35" s="2030"/>
      <c r="V35" s="2030"/>
    </row>
    <row r="36" spans="1:26" ht="16.5" customHeight="1">
      <c r="A36" s="303" t="s">
        <v>341</v>
      </c>
      <c r="B36" s="304" t="s">
        <v>330</v>
      </c>
      <c r="C36" s="305" t="s">
        <v>342</v>
      </c>
      <c r="D36" s="305" t="s">
        <v>343</v>
      </c>
      <c r="E36" s="306" t="s">
        <v>344</v>
      </c>
      <c r="F36" s="311"/>
      <c r="G36" s="311"/>
      <c r="H36" s="311"/>
      <c r="I36" s="311"/>
      <c r="J36" s="2032"/>
      <c r="K36" s="3388"/>
      <c r="L36" s="3388"/>
      <c r="M36" s="1266" t="s">
        <v>352</v>
      </c>
      <c r="N36" s="3388"/>
      <c r="O36" s="3388"/>
      <c r="P36" s="2030"/>
      <c r="V36" s="2030"/>
    </row>
    <row r="37" spans="1:26" ht="16.5" customHeight="1" thickBot="1">
      <c r="A37" s="1260" t="s">
        <v>345</v>
      </c>
      <c r="B37" s="307"/>
      <c r="C37" s="294"/>
      <c r="D37" s="294"/>
      <c r="E37" s="295"/>
      <c r="F37" s="311"/>
      <c r="G37" s="311"/>
      <c r="H37" s="311"/>
      <c r="I37" s="311"/>
      <c r="J37" s="2032"/>
      <c r="K37" s="3389"/>
      <c r="L37" s="3389"/>
      <c r="M37" s="1267"/>
      <c r="N37" s="3389"/>
      <c r="O37" s="3389"/>
      <c r="P37" s="2030"/>
      <c r="V37" s="2030"/>
    </row>
    <row r="38" spans="1:26" ht="16.5" customHeight="1" thickBot="1">
      <c r="A38" s="1260" t="s">
        <v>346</v>
      </c>
      <c r="B38" s="307"/>
      <c r="C38" s="294"/>
      <c r="D38" s="294"/>
      <c r="E38" s="295"/>
      <c r="F38" s="311"/>
      <c r="G38" s="311"/>
      <c r="H38" s="311"/>
      <c r="I38" s="311"/>
      <c r="J38" s="2032"/>
      <c r="K38" s="1268">
        <f>'数据-汇总表'!D3</f>
        <v>128587.91</v>
      </c>
      <c r="L38" s="1269">
        <f>'数据-汇总表'!E3</f>
        <v>292155</v>
      </c>
      <c r="M38" s="1269">
        <f ca="1">C34</f>
        <v>19799</v>
      </c>
      <c r="N38" s="1269">
        <f ca="1">C33</f>
        <v>8714</v>
      </c>
      <c r="O38" s="1270">
        <f ca="1">C32</f>
        <v>254587</v>
      </c>
      <c r="P38" s="2030"/>
      <c r="V38" s="2030"/>
    </row>
    <row r="39" spans="1:26" ht="16.5" customHeight="1" thickBot="1">
      <c r="A39" s="1265"/>
      <c r="B39" s="308"/>
      <c r="C39" s="309"/>
      <c r="D39" s="309"/>
      <c r="E39" s="310"/>
      <c r="F39" s="311"/>
      <c r="G39" s="311"/>
      <c r="H39" s="311"/>
      <c r="I39" s="311"/>
      <c r="J39" s="2032"/>
      <c r="K39" s="3364" t="str">
        <f>MID(A44,3,LEN(A44)-2)</f>
        <v/>
      </c>
      <c r="L39" s="3365"/>
      <c r="M39" s="3365"/>
      <c r="N39" s="3366"/>
      <c r="O39" s="1393" t="str">
        <f>C44</f>
        <v>——</v>
      </c>
      <c r="P39" s="2030"/>
      <c r="V39" s="2030"/>
    </row>
    <row r="40" spans="1:26" ht="19.5" thickBot="1">
      <c r="A40" s="104" t="s">
        <v>870</v>
      </c>
      <c r="B40" s="311"/>
      <c r="C40" s="311"/>
      <c r="D40" s="311"/>
      <c r="E40" s="311"/>
      <c r="F40" s="311"/>
      <c r="G40" s="311"/>
      <c r="H40" s="311"/>
      <c r="I40" s="311"/>
      <c r="J40" s="2032"/>
      <c r="K40" s="3364" t="str">
        <f t="shared" ref="K40:K41" si="0">MID(A45,3,LEN(A45)-2)</f>
        <v/>
      </c>
      <c r="L40" s="3365"/>
      <c r="M40" s="3365"/>
      <c r="N40" s="3366"/>
      <c r="O40" s="1393" t="str">
        <f>C45</f>
        <v>——</v>
      </c>
      <c r="P40" s="2030"/>
      <c r="V40" s="2030"/>
    </row>
    <row r="41" spans="1:26" ht="16.5" thickBot="1">
      <c r="A41" s="312" t="s">
        <v>353</v>
      </c>
      <c r="B41" s="313"/>
      <c r="C41" s="314" t="s">
        <v>354</v>
      </c>
      <c r="D41" s="315" t="s">
        <v>355</v>
      </c>
      <c r="E41" s="315" t="s">
        <v>356</v>
      </c>
      <c r="F41" s="316" t="s">
        <v>357</v>
      </c>
      <c r="G41" s="311"/>
      <c r="H41" s="311"/>
      <c r="I41" s="311"/>
      <c r="J41" s="2032"/>
      <c r="K41" s="3364" t="str">
        <f t="shared" si="0"/>
        <v/>
      </c>
      <c r="L41" s="3365"/>
      <c r="M41" s="3365"/>
      <c r="N41" s="3366"/>
      <c r="O41" s="1393" t="str">
        <f>C46</f>
        <v>——</v>
      </c>
      <c r="P41" s="2030"/>
      <c r="V41" s="2030"/>
    </row>
    <row r="42" spans="1:26" ht="29.25">
      <c r="A42" s="3424" t="s">
        <v>2063</v>
      </c>
      <c r="B42" s="3425"/>
      <c r="C42" s="264">
        <f ca="1">C32</f>
        <v>254587</v>
      </c>
      <c r="D42" s="317">
        <f ca="1">C33</f>
        <v>8714</v>
      </c>
      <c r="E42" s="317">
        <f ca="1">C34</f>
        <v>19799</v>
      </c>
      <c r="F42" s="318">
        <f ca="1">C35</f>
        <v>1320</v>
      </c>
      <c r="G42" s="311"/>
      <c r="H42" s="311"/>
      <c r="I42" s="319"/>
      <c r="J42" s="2032"/>
      <c r="K42" s="1271" t="s">
        <v>358</v>
      </c>
      <c r="L42" s="2049" t="s">
        <v>359</v>
      </c>
      <c r="M42" s="1272" t="s">
        <v>360</v>
      </c>
      <c r="N42" s="2050" t="s">
        <v>361</v>
      </c>
      <c r="O42" s="2051" t="s">
        <v>362</v>
      </c>
      <c r="P42" s="2030"/>
      <c r="V42" s="2030"/>
    </row>
    <row r="43" spans="1:26" ht="30">
      <c r="A43" s="3434" t="s">
        <v>2726</v>
      </c>
      <c r="B43" s="3435"/>
      <c r="C43" s="264">
        <f>IF(H33="正常操作",G33+G34+G35,G34+G35)</f>
        <v>0</v>
      </c>
      <c r="D43" s="317" t="s">
        <v>43</v>
      </c>
      <c r="E43" s="317" t="s">
        <v>44</v>
      </c>
      <c r="F43" s="318" t="s">
        <v>44</v>
      </c>
      <c r="G43" s="2868" t="s">
        <v>949</v>
      </c>
      <c r="H43" s="311"/>
      <c r="I43" s="319"/>
      <c r="J43" s="2032"/>
      <c r="K43" s="1273" t="str">
        <f>C4</f>
        <v>基准地价住宅</v>
      </c>
      <c r="L43" s="1274">
        <f ca="1">IF(L42="估价结果/万元",C19,C20)</f>
        <v>156420</v>
      </c>
      <c r="M43" s="1275">
        <f>C18</f>
        <v>0.3</v>
      </c>
      <c r="N43" s="1276">
        <f ca="1">IF(N42="测算结果/万元",G19,G20)</f>
        <v>254587</v>
      </c>
      <c r="O43" s="1277">
        <f ca="1">IF(O42="最终结果/万元",C32,C33)</f>
        <v>254587</v>
      </c>
      <c r="P43" s="2030"/>
      <c r="V43" s="2030"/>
    </row>
    <row r="44" spans="1:26" ht="18.75" thickBot="1">
      <c r="A44" s="3424" t="str">
        <f>IF(OR(项目基本情况!E8="抵押价格",项目基本情况!E8="已注销及未注销"),"3.抵押价格","——")</f>
        <v>——</v>
      </c>
      <c r="B44" s="342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296658</v>
      </c>
      <c r="M44" s="1280">
        <f>D18</f>
        <v>0.7</v>
      </c>
      <c r="N44" s="1281"/>
      <c r="O44" s="1282"/>
      <c r="P44" s="2030"/>
      <c r="V44" s="2030"/>
    </row>
    <row r="45" spans="1:26" ht="15">
      <c r="A45" s="3429" t="str">
        <f>IF(项目基本情况!E8="已注销及未注销","4.抵押担保权已注销时的抵押价格",IF(项目基本情况!E8="已注销","3.抵押担保权已注销时的抵押价格","——"))</f>
        <v>——</v>
      </c>
      <c r="B45" s="343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26" t="str">
        <f>IF(项目基本情况!E9="抵押净值",IF(A45="——","4.抵押净值","5.抵押净值"),"——")</f>
        <v>——</v>
      </c>
      <c r="B46" s="342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92" t="s">
        <v>371</v>
      </c>
      <c r="B63" s="3393"/>
      <c r="C63" s="3394"/>
      <c r="D63" s="341">
        <f ca="1">ROUND(C42*F63,0)</f>
        <v>152752</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31" t="s">
        <v>375</v>
      </c>
      <c r="B64" s="3432"/>
      <c r="C64" s="3432"/>
      <c r="D64" s="3432"/>
      <c r="E64" s="3432"/>
      <c r="F64" s="3432"/>
      <c r="G64" s="3433"/>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28" t="s">
        <v>383</v>
      </c>
      <c r="B66" s="3399"/>
      <c r="C66" s="3399"/>
      <c r="D66" s="261">
        <f ca="1">IF(H66="情况1",0,IF(H66="情况2",D70,IF(H66="情况3",D71,IF(H66="情况4",D72))))</f>
        <v>8001</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368" t="s">
        <v>382</v>
      </c>
      <c r="M66" s="3369"/>
      <c r="N66" s="2460"/>
      <c r="O66" s="2461"/>
      <c r="P66" s="2462"/>
      <c r="Q66" s="2030"/>
      <c r="R66" s="2030"/>
      <c r="S66" s="2030"/>
      <c r="T66" s="2030"/>
      <c r="U66" s="2030"/>
      <c r="V66" s="2030"/>
    </row>
    <row r="67" spans="1:22" ht="25.5" customHeight="1">
      <c r="A67" s="352" t="s">
        <v>387</v>
      </c>
      <c r="B67" s="3411" t="s">
        <v>388</v>
      </c>
      <c r="C67" s="3411"/>
      <c r="D67" s="353">
        <v>0</v>
      </c>
      <c r="E67" s="41" t="s">
        <v>389</v>
      </c>
      <c r="F67" s="62" t="s">
        <v>21</v>
      </c>
      <c r="G67" s="3395"/>
      <c r="H67" s="311"/>
      <c r="I67" s="1292"/>
      <c r="J67" s="2037"/>
      <c r="K67" s="1978">
        <v>2</v>
      </c>
      <c r="L67" s="3367" t="s">
        <v>386</v>
      </c>
      <c r="M67" s="3367"/>
      <c r="N67" s="1325">
        <f>'数据-取费表'!B2</f>
        <v>43424</v>
      </c>
      <c r="O67" s="1325"/>
      <c r="P67" s="1325"/>
      <c r="Q67" s="2030"/>
      <c r="R67" s="2030"/>
      <c r="S67" s="2030"/>
      <c r="T67" s="2030"/>
      <c r="U67" s="2030"/>
      <c r="V67" s="2030"/>
    </row>
    <row r="68" spans="1:22" ht="25.5" customHeight="1">
      <c r="A68" s="354"/>
      <c r="B68" s="3411" t="s">
        <v>391</v>
      </c>
      <c r="C68" s="3411"/>
      <c r="D68" s="355"/>
      <c r="E68" s="77"/>
      <c r="F68" s="356"/>
      <c r="G68" s="3396"/>
      <c r="H68" s="311"/>
      <c r="I68" s="1292"/>
      <c r="J68" s="2037"/>
      <c r="K68" s="1978">
        <v>3</v>
      </c>
      <c r="L68" s="3367" t="s">
        <v>390</v>
      </c>
      <c r="M68" s="3367"/>
      <c r="N68" s="1293">
        <f ca="1">C42</f>
        <v>254587</v>
      </c>
      <c r="O68" s="1293"/>
      <c r="P68" s="1293"/>
      <c r="Q68" s="2030"/>
      <c r="R68" s="2030"/>
      <c r="S68" s="2030"/>
      <c r="T68" s="2030"/>
      <c r="U68" s="2030"/>
      <c r="V68" s="2030"/>
    </row>
    <row r="69" spans="1:22" ht="12" customHeight="1">
      <c r="A69" s="357"/>
      <c r="B69" s="3411" t="s">
        <v>392</v>
      </c>
      <c r="C69" s="3411"/>
      <c r="D69" s="358"/>
      <c r="E69" s="73"/>
      <c r="F69" s="356"/>
      <c r="G69" s="3397"/>
      <c r="H69" s="311"/>
      <c r="I69" s="1292"/>
      <c r="J69" s="2037"/>
      <c r="K69" s="1294">
        <v>4</v>
      </c>
      <c r="L69" s="3373" t="s">
        <v>2878</v>
      </c>
      <c r="M69" s="3374"/>
      <c r="N69" s="1295" t="str">
        <f>C44</f>
        <v>——</v>
      </c>
      <c r="O69" s="1295"/>
      <c r="P69" s="1295"/>
      <c r="Q69" s="2030"/>
      <c r="R69" s="2030"/>
      <c r="S69" s="2030"/>
      <c r="T69" s="2030"/>
      <c r="U69" s="2030"/>
      <c r="V69" s="2030"/>
    </row>
    <row r="70" spans="1:22" ht="24" customHeight="1">
      <c r="A70" s="359" t="s">
        <v>393</v>
      </c>
      <c r="B70" s="3411" t="s">
        <v>394</v>
      </c>
      <c r="C70" s="3411"/>
      <c r="D70" s="358">
        <f ca="1">ROUND(D63*'数据-取费表'!B41/(1+'数据-取费表'!C42),0)</f>
        <v>8001</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410" t="s">
        <v>402</v>
      </c>
      <c r="C71" s="3422"/>
      <c r="D71" s="358">
        <f ca="1">ROUND(D63*'数据-取费表'!B41/(1+'数据-取费表'!C42),0)</f>
        <v>8001</v>
      </c>
      <c r="E71" s="17" t="s">
        <v>395</v>
      </c>
      <c r="F71" s="360">
        <f>'数据-取费表'!B41</f>
        <v>5.5000000000000007E-2</v>
      </c>
      <c r="G71" s="361"/>
      <c r="H71" s="311"/>
      <c r="I71" s="1292"/>
      <c r="J71" s="2037"/>
      <c r="K71" s="3063" t="s">
        <v>396</v>
      </c>
      <c r="L71" s="3375" t="s">
        <v>397</v>
      </c>
      <c r="M71" s="3375"/>
      <c r="N71" s="3063" t="s">
        <v>398</v>
      </c>
      <c r="O71" s="3063" t="s">
        <v>399</v>
      </c>
      <c r="P71" s="3063" t="s">
        <v>400</v>
      </c>
      <c r="Q71" s="2030"/>
      <c r="R71" s="2030"/>
      <c r="S71" s="2030"/>
      <c r="T71" s="2030"/>
      <c r="U71" s="2030"/>
      <c r="V71" s="2030"/>
    </row>
    <row r="72" spans="1:22" ht="12" customHeight="1">
      <c r="A72" s="359" t="s">
        <v>404</v>
      </c>
      <c r="B72" s="3410" t="s">
        <v>405</v>
      </c>
      <c r="C72" s="3422"/>
      <c r="D72" s="358">
        <f ca="1">C86</f>
        <v>7891</v>
      </c>
      <c r="E72" s="73" t="s">
        <v>406</v>
      </c>
      <c r="F72" s="360">
        <f>'数据-取费表'!B41</f>
        <v>5.5000000000000007E-2</v>
      </c>
      <c r="G72" s="361"/>
      <c r="H72" s="1298"/>
      <c r="I72" s="1292"/>
      <c r="J72" s="2037"/>
      <c r="K72" s="1978">
        <v>1</v>
      </c>
      <c r="L72" s="3372" t="s">
        <v>403</v>
      </c>
      <c r="M72" s="3372"/>
      <c r="N72" s="1296">
        <f ca="1">D66</f>
        <v>8001</v>
      </c>
      <c r="O72" s="1861" t="str">
        <f>E66</f>
        <v>销售额×税（费）率</v>
      </c>
      <c r="P72" s="1297">
        <f>F66</f>
        <v>5.5000000000000007E-2</v>
      </c>
      <c r="Q72" s="2030"/>
      <c r="R72" s="2030"/>
      <c r="S72" s="2030"/>
      <c r="T72" s="2030"/>
      <c r="U72" s="2030"/>
      <c r="V72" s="2030"/>
    </row>
    <row r="73" spans="1:22" ht="24" customHeight="1">
      <c r="A73" s="3398" t="s">
        <v>408</v>
      </c>
      <c r="B73" s="3399"/>
      <c r="C73" s="3399"/>
      <c r="D73" s="362">
        <f>IF(H73="个人住宅",0,ROUND(D63*I73,0))</f>
        <v>0</v>
      </c>
      <c r="E73" s="17" t="s">
        <v>409</v>
      </c>
      <c r="F73" s="360" t="str">
        <f>IF(H73="正常",I73,"免征")</f>
        <v>免征</v>
      </c>
      <c r="G73" s="361"/>
      <c r="H73" s="191" t="s">
        <v>2451</v>
      </c>
      <c r="I73" s="360">
        <f>'数据-取费表'!B49</f>
        <v>5.0000000000000001E-4</v>
      </c>
      <c r="J73" s="2037"/>
      <c r="K73" s="1978">
        <v>2</v>
      </c>
      <c r="L73" s="3372" t="s">
        <v>407</v>
      </c>
      <c r="M73" s="3372"/>
      <c r="N73" s="1296">
        <f t="shared" ref="N73:P74" si="1">D73</f>
        <v>0</v>
      </c>
      <c r="O73" s="1861" t="str">
        <f t="shared" si="1"/>
        <v>销售额×税（费）率</v>
      </c>
      <c r="P73" s="1297" t="str">
        <f t="shared" si="1"/>
        <v>免征</v>
      </c>
      <c r="Q73" s="2030"/>
      <c r="R73" s="2030"/>
      <c r="S73" s="2030"/>
      <c r="T73" s="2030"/>
      <c r="U73" s="2030"/>
      <c r="V73" s="2030"/>
    </row>
    <row r="74" spans="1:22" ht="24.75">
      <c r="A74" s="3398" t="s">
        <v>412</v>
      </c>
      <c r="B74" s="3399"/>
      <c r="C74" s="3399"/>
      <c r="D74" s="362">
        <f ca="1">IF(H74="个人住宅",D75,D76)</f>
        <v>85941</v>
      </c>
      <c r="E74" s="17" t="s">
        <v>413</v>
      </c>
      <c r="F74" s="360" t="str">
        <f>IF(H74="正常",F76,"免征")</f>
        <v>——</v>
      </c>
      <c r="G74" s="983" t="s">
        <v>414</v>
      </c>
      <c r="H74" s="363" t="s">
        <v>410</v>
      </c>
      <c r="I74" s="42"/>
      <c r="J74" s="2037"/>
      <c r="K74" s="1978">
        <v>3</v>
      </c>
      <c r="L74" s="3372" t="s">
        <v>411</v>
      </c>
      <c r="M74" s="3372"/>
      <c r="N74" s="1296">
        <f t="shared" ca="1" si="1"/>
        <v>85941</v>
      </c>
      <c r="O74" s="1861" t="str">
        <f t="shared" si="1"/>
        <v>增值额×税（费）率</v>
      </c>
      <c r="P74" s="1299" t="str">
        <f t="shared" si="1"/>
        <v>——</v>
      </c>
      <c r="Q74" s="2030"/>
      <c r="R74" s="2030"/>
      <c r="S74" s="2030"/>
      <c r="T74" s="2030"/>
      <c r="U74" s="2030"/>
      <c r="V74" s="2030"/>
    </row>
    <row r="75" spans="1:22" ht="24">
      <c r="A75" s="359" t="s">
        <v>415</v>
      </c>
      <c r="B75" s="3379" t="s">
        <v>416</v>
      </c>
      <c r="C75" s="3380"/>
      <c r="D75" s="364">
        <v>0</v>
      </c>
      <c r="E75" s="41" t="s">
        <v>417</v>
      </c>
      <c r="F75" s="365"/>
      <c r="G75" s="361"/>
      <c r="H75" s="42"/>
      <c r="I75" s="42"/>
      <c r="J75" s="2037"/>
      <c r="K75" s="3056">
        <f>IF(H77="非个人房产","",4)</f>
        <v>4</v>
      </c>
      <c r="L75" s="3372" t="str">
        <f>IF(H77="非个人房产","——","个人所得税")</f>
        <v>个人所得税</v>
      </c>
      <c r="M75" s="3372"/>
      <c r="N75" s="1300">
        <f ca="1">D77</f>
        <v>1528</v>
      </c>
      <c r="O75" s="1874" t="str">
        <f>E77</f>
        <v>销售额×税（费）率</v>
      </c>
      <c r="P75" s="1301">
        <f>F77</f>
        <v>0.01</v>
      </c>
      <c r="Q75" s="2030"/>
      <c r="R75" s="2030"/>
      <c r="S75" s="2030"/>
      <c r="T75" s="2030"/>
      <c r="U75" s="2030"/>
      <c r="V75" s="2030"/>
    </row>
    <row r="76" spans="1:22" ht="24.75">
      <c r="A76" s="359" t="s">
        <v>393</v>
      </c>
      <c r="B76" s="3379" t="s">
        <v>419</v>
      </c>
      <c r="C76" s="3421"/>
      <c r="D76" s="362">
        <f ca="1">IF(H76="转让取得",C99,C115)</f>
        <v>85941</v>
      </c>
      <c r="E76" s="17" t="s">
        <v>420</v>
      </c>
      <c r="F76" s="53" t="s">
        <v>21</v>
      </c>
      <c r="G76" s="361"/>
      <c r="H76" s="363" t="s">
        <v>421</v>
      </c>
      <c r="I76" s="42"/>
      <c r="J76" s="2037"/>
      <c r="K76" s="3056" t="str">
        <f>IF(项目基本情况!K6="上海银行",IF(K75="",4,K75+1),"")</f>
        <v/>
      </c>
      <c r="L76" s="3360" t="str">
        <f>IF(项目基本情况!K6="上海银行","其他处置费用","")</f>
        <v/>
      </c>
      <c r="M76" s="3361"/>
      <c r="N76" s="1296" t="str">
        <f>IF(项目基本情况!K6="上海银行",N89,"")</f>
        <v/>
      </c>
      <c r="O76" s="3362" t="str">
        <f>IF(项目基本情况!K6="上海银行","包含处置中涉及的律师、诉讼、拍卖、评估等费用","")</f>
        <v/>
      </c>
      <c r="P76" s="3363"/>
      <c r="Q76" s="2030"/>
      <c r="R76" s="2030"/>
      <c r="S76" s="2030"/>
      <c r="T76" s="2030"/>
      <c r="U76" s="2030"/>
      <c r="V76" s="2030"/>
    </row>
    <row r="77" spans="1:22" ht="26.25" thickBot="1">
      <c r="A77" s="3390" t="s">
        <v>423</v>
      </c>
      <c r="B77" s="3391"/>
      <c r="C77" s="3391"/>
      <c r="D77" s="366">
        <f ca="1">IF(H77="非个人房产","——",IF(H77="个人住宅",0,ROUND(D63*I77,0)))</f>
        <v>1528</v>
      </c>
      <c r="E77" s="367" t="str">
        <f>IF(H77="非个人房产","——","销售额×税（费）率")</f>
        <v>销售额×税（费）率</v>
      </c>
      <c r="F77" s="368">
        <f>IF(H77="非个人房产","——",IF(H77="个人住宅","免征",I77))</f>
        <v>0.01</v>
      </c>
      <c r="G77" s="984" t="s">
        <v>414</v>
      </c>
      <c r="H77" s="363" t="s">
        <v>2879</v>
      </c>
      <c r="I77" s="369">
        <v>0.01</v>
      </c>
      <c r="J77" s="2037"/>
      <c r="K77" s="3386">
        <f>IF(AND(K75="",K76=""),4,IF(项目基本情况!K6="上海银行",K76+1,K75+1))</f>
        <v>5</v>
      </c>
      <c r="L77" s="3372" t="s">
        <v>2880</v>
      </c>
      <c r="M77" s="3062" t="s">
        <v>418</v>
      </c>
      <c r="N77" s="1302"/>
      <c r="O77" s="1303">
        <f ca="1">SUMIF(N72:N76,"&lt;9e307")</f>
        <v>95470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86"/>
      <c r="L78" s="3372"/>
      <c r="M78" s="3062" t="s">
        <v>422</v>
      </c>
      <c r="N78" s="1302"/>
      <c r="O78" s="1303" t="str">
        <f ca="1">NUMBERSTRING(INT(O77*10000),2)&amp;"元整"</f>
        <v>玖亿伍仟肆佰柒拾万元整</v>
      </c>
      <c r="P78" s="1304"/>
      <c r="Q78" s="2030"/>
      <c r="R78" s="2030"/>
      <c r="S78" s="2030"/>
      <c r="T78" s="2030"/>
      <c r="U78" s="2030"/>
      <c r="V78" s="2030"/>
    </row>
    <row r="79" spans="1:22" ht="13.5" thickBot="1">
      <c r="A79" s="3376" t="s">
        <v>424</v>
      </c>
      <c r="B79" s="3376"/>
      <c r="C79" s="3376"/>
      <c r="D79" s="3376"/>
      <c r="E79" s="3376"/>
      <c r="F79" s="42"/>
      <c r="G79" s="42"/>
      <c r="H79" s="1003"/>
      <c r="I79" s="311"/>
      <c r="J79" s="2037"/>
      <c r="K79" s="3370">
        <f>K77+1</f>
        <v>6</v>
      </c>
      <c r="L79" s="3372" t="s">
        <v>2881</v>
      </c>
      <c r="M79" s="3062" t="s">
        <v>418</v>
      </c>
      <c r="N79" s="1302"/>
      <c r="O79" s="1303" t="e">
        <f ca="1">N69-O77</f>
        <v>#VALUE!</v>
      </c>
      <c r="P79" s="1304"/>
      <c r="Q79" s="2030"/>
      <c r="R79" s="2030"/>
      <c r="S79" s="2030"/>
      <c r="T79" s="2030"/>
      <c r="U79" s="2030"/>
      <c r="V79" s="2030"/>
    </row>
    <row r="80" spans="1:22" ht="12.75">
      <c r="A80" s="3377" t="s">
        <v>425</v>
      </c>
      <c r="B80" s="3378"/>
      <c r="C80" s="994"/>
      <c r="D80" s="994" t="s">
        <v>426</v>
      </c>
      <c r="E80" s="370" t="s">
        <v>427</v>
      </c>
      <c r="F80" s="42"/>
      <c r="G80" s="42"/>
      <c r="H80" s="1003"/>
      <c r="I80" s="311"/>
      <c r="J80" s="2030"/>
      <c r="K80" s="3371"/>
      <c r="L80" s="3372"/>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145478</v>
      </c>
      <c r="D81" s="373"/>
      <c r="E81" s="374"/>
      <c r="F81" s="42"/>
      <c r="G81" s="42"/>
      <c r="H81" s="1003"/>
      <c r="I81" s="311"/>
      <c r="J81" s="2030"/>
      <c r="K81" s="3056">
        <f>K79+1</f>
        <v>7</v>
      </c>
      <c r="L81" s="3384" t="s">
        <v>2882</v>
      </c>
      <c r="M81" s="3385"/>
      <c r="N81" s="1306"/>
      <c r="O81" s="1307" t="e">
        <f ca="1">ROUND(O79*10000/'数据-汇总表'!E3,0)</f>
        <v>#VALUE!</v>
      </c>
      <c r="P81" s="1308"/>
      <c r="Q81" s="2030"/>
      <c r="R81" s="2030"/>
      <c r="S81" s="2030"/>
      <c r="T81" s="2030"/>
      <c r="U81" s="2030"/>
      <c r="V81" s="2030"/>
    </row>
    <row r="82" spans="1:26" ht="13.5" thickTop="1">
      <c r="A82" s="375" t="s">
        <v>1818</v>
      </c>
      <c r="B82" s="376" t="s">
        <v>429</v>
      </c>
      <c r="C82" s="377">
        <f ca="1">D63</f>
        <v>152752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359"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359"/>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143478</v>
      </c>
      <c r="D85" s="378" t="s">
        <v>19</v>
      </c>
      <c r="E85" s="379"/>
      <c r="F85" s="42"/>
      <c r="G85" s="42"/>
      <c r="H85" s="1003"/>
      <c r="I85" s="311"/>
      <c r="J85" s="2030"/>
      <c r="K85" s="3359"/>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7891</v>
      </c>
      <c r="D86" s="389">
        <f>'数据-取费表'!B41</f>
        <v>5.5000000000000007E-2</v>
      </c>
      <c r="E86" s="390"/>
      <c r="F86" s="42"/>
      <c r="G86" s="42"/>
      <c r="H86" s="1003"/>
      <c r="I86" s="311"/>
      <c r="J86" s="2030"/>
      <c r="K86" s="3359"/>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59"/>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13" t="s">
        <v>434</v>
      </c>
      <c r="B88" s="3414"/>
      <c r="C88" s="3414"/>
      <c r="D88" s="3414"/>
      <c r="E88" s="3414"/>
      <c r="F88" s="3414"/>
      <c r="G88" s="3414"/>
      <c r="H88" s="3414"/>
      <c r="I88" s="1315"/>
      <c r="J88" s="2038"/>
      <c r="K88" s="3359"/>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77" t="s">
        <v>425</v>
      </c>
      <c r="B89" s="3378"/>
      <c r="C89" s="994"/>
      <c r="D89" s="994" t="s">
        <v>426</v>
      </c>
      <c r="E89" s="391" t="s">
        <v>435</v>
      </c>
      <c r="F89" s="392"/>
      <c r="G89" s="392"/>
      <c r="H89" s="393"/>
      <c r="I89" s="1316"/>
      <c r="J89" s="2040"/>
      <c r="K89" s="3359"/>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145478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3288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10" t="s">
        <v>444</v>
      </c>
      <c r="F94" s="3411"/>
      <c r="G94" s="3411"/>
      <c r="H94" s="341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727</v>
      </c>
      <c r="D96" s="406">
        <f>'数据-取费表'!B43</f>
        <v>5.000000000000001E-3</v>
      </c>
      <c r="E96" s="3400" t="s">
        <v>2424</v>
      </c>
      <c r="F96" s="3401"/>
      <c r="G96" s="3401"/>
      <c r="H96" s="340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142190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43.245133819951342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84163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13" t="s">
        <v>451</v>
      </c>
      <c r="B101" s="3414"/>
      <c r="C101" s="3414"/>
      <c r="D101" s="3414"/>
      <c r="E101" s="3414"/>
      <c r="F101" s="3414"/>
      <c r="G101" s="3414"/>
      <c r="H101" s="34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77" t="s">
        <v>425</v>
      </c>
      <c r="B102" s="3378"/>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145478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1417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03" t="s">
        <v>459</v>
      </c>
      <c r="F109" s="3401"/>
      <c r="G109" s="3401"/>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03" t="s">
        <v>461</v>
      </c>
      <c r="F110" s="3401"/>
      <c r="G110" s="3401"/>
      <c r="H110" s="340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727</v>
      </c>
      <c r="D111" s="406">
        <f>'数据-取费表'!B43</f>
        <v>5.000000000000001E-3</v>
      </c>
      <c r="E111" s="3400" t="s">
        <v>2424</v>
      </c>
      <c r="F111" s="3401"/>
      <c r="G111" s="3401"/>
      <c r="H111" s="340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03" t="s">
        <v>2449</v>
      </c>
      <c r="F112" s="3401"/>
      <c r="G112" s="3401"/>
      <c r="H112" s="340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144061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101.66619618913197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85941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F12"/>
  <sheetViews>
    <sheetView workbookViewId="0">
      <selection activeCell="F6" sqref="F6"/>
    </sheetView>
  </sheetViews>
  <sheetFormatPr defaultRowHeight="13.5"/>
  <cols>
    <col min="3" max="3" width="18.625" customWidth="1"/>
    <col min="4" max="4" width="17.5" customWidth="1"/>
    <col min="5" max="5" width="13.25" customWidth="1"/>
    <col min="6" max="6" width="13.75" customWidth="1"/>
  </cols>
  <sheetData>
    <row r="4" spans="2:6" ht="39.75" customHeight="1">
      <c r="B4" s="3256"/>
      <c r="C4" s="3257" t="s">
        <v>3099</v>
      </c>
      <c r="D4" s="3257" t="s">
        <v>3100</v>
      </c>
      <c r="E4" s="3257" t="s">
        <v>3101</v>
      </c>
      <c r="F4" s="3257" t="s">
        <v>3102</v>
      </c>
    </row>
    <row r="5" spans="2:6" ht="32.25" customHeight="1">
      <c r="B5" s="3258" t="s">
        <v>3103</v>
      </c>
      <c r="C5" s="3259">
        <v>5000</v>
      </c>
      <c r="D5" s="3259">
        <v>4000</v>
      </c>
      <c r="E5" s="3259">
        <v>4500</v>
      </c>
      <c r="F5" s="3259">
        <v>3500</v>
      </c>
    </row>
    <row r="6" spans="2:6" ht="40.5" customHeight="1">
      <c r="B6" s="3260" t="s">
        <v>3104</v>
      </c>
      <c r="C6" s="3261">
        <v>0.35</v>
      </c>
      <c r="D6" s="3261">
        <v>0.35</v>
      </c>
      <c r="E6" s="3261">
        <v>0.5</v>
      </c>
      <c r="F6" s="3261">
        <v>0.25</v>
      </c>
    </row>
    <row r="7" spans="2:6" ht="28.5" customHeight="1">
      <c r="B7" s="3262" t="s">
        <v>3105</v>
      </c>
      <c r="C7" s="3262" t="s">
        <v>3106</v>
      </c>
      <c r="D7" s="3262" t="s">
        <v>3107</v>
      </c>
      <c r="E7" s="3267">
        <f>'[3]比较法租金-商业'!$C$48</f>
        <v>3</v>
      </c>
      <c r="F7" s="3267">
        <f>'[4]比较法租金-办公'!$C$50</f>
        <v>2.2999999999999998</v>
      </c>
    </row>
    <row r="8" spans="2:6">
      <c r="B8" s="3255" t="s">
        <v>3113</v>
      </c>
      <c r="C8">
        <v>3</v>
      </c>
    </row>
    <row r="9" spans="2:6">
      <c r="B9" s="3255" t="s">
        <v>3116</v>
      </c>
      <c r="C9">
        <v>26000</v>
      </c>
      <c r="D9">
        <v>39000</v>
      </c>
      <c r="E9" s="3268">
        <f>[3]不动产开发完成后价值总表!$C$8</f>
        <v>18865</v>
      </c>
      <c r="F9" s="3268">
        <f>[4]不动产开发完成价值总表!$C$10</f>
        <v>14275</v>
      </c>
    </row>
    <row r="10" spans="2:6">
      <c r="B10" s="3255" t="s">
        <v>3117</v>
      </c>
      <c r="E10">
        <f>E7</f>
        <v>3</v>
      </c>
      <c r="F10">
        <f>F7</f>
        <v>2.2999999999999998</v>
      </c>
    </row>
    <row r="11" spans="2:6">
      <c r="B11" s="3269" t="s">
        <v>3122</v>
      </c>
      <c r="E11" s="3270">
        <v>5.5E-2</v>
      </c>
      <c r="F11" s="3270">
        <f>E11-0.005</f>
        <v>0.05</v>
      </c>
    </row>
    <row r="12" spans="2:6">
      <c r="B12" s="3269" t="s">
        <v>3123</v>
      </c>
      <c r="E12" s="3270">
        <v>6.5000000000000002E-2</v>
      </c>
      <c r="F12" s="3270">
        <f>E12</f>
        <v>6.5000000000000002E-2</v>
      </c>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40"/>
  <sheetViews>
    <sheetView tabSelected="1" topLeftCell="B4" workbookViewId="0">
      <selection activeCell="B5" sqref="B5:E6"/>
    </sheetView>
  </sheetViews>
  <sheetFormatPr defaultRowHeight="13.5"/>
  <cols>
    <col min="1" max="1" width="3.875" style="3207" hidden="1" customWidth="1"/>
    <col min="2" max="2" width="26.25" style="3207" customWidth="1"/>
    <col min="3" max="3" width="21.875" style="3207" customWidth="1"/>
    <col min="4" max="4" width="19.375" style="3207" customWidth="1"/>
    <col min="5" max="5" width="24.875" style="3207" customWidth="1"/>
    <col min="6" max="6" width="4" style="3207" customWidth="1"/>
    <col min="7" max="7" width="17" style="3207" customWidth="1"/>
    <col min="8" max="8" width="16.125" style="3207" customWidth="1"/>
    <col min="9" max="9" width="9" style="3207"/>
    <col min="10" max="10" width="12" style="3207" bestFit="1" customWidth="1"/>
    <col min="11" max="11" width="9" style="3207"/>
    <col min="12" max="12" width="0" hidden="1" customWidth="1"/>
    <col min="13" max="13" width="11.625" style="3207" bestFit="1" customWidth="1"/>
    <col min="14" max="14" width="9" style="3207"/>
    <col min="15" max="15" width="15.375" style="3207" customWidth="1"/>
    <col min="16" max="16384" width="9" style="3207"/>
  </cols>
  <sheetData>
    <row r="1" spans="2:20" hidden="1"/>
    <row r="2" spans="2:20" hidden="1"/>
    <row r="3" spans="2:20" hidden="1"/>
    <row r="4" spans="2:20" ht="30" customHeight="1">
      <c r="D4" s="3219"/>
      <c r="E4" s="3219"/>
      <c r="G4" s="3220" t="s">
        <v>3071</v>
      </c>
      <c r="H4" s="3221" t="s">
        <v>3072</v>
      </c>
      <c r="I4" s="3221" t="s">
        <v>3073</v>
      </c>
      <c r="J4" s="3221" t="s">
        <v>3074</v>
      </c>
      <c r="K4" s="3221" t="s">
        <v>3073</v>
      </c>
      <c r="M4" s="3221" t="s">
        <v>3119</v>
      </c>
      <c r="N4" s="3221" t="s">
        <v>3073</v>
      </c>
      <c r="O4" s="3221" t="s">
        <v>3075</v>
      </c>
    </row>
    <row r="5" spans="2:20" ht="32.25" customHeight="1">
      <c r="B5" s="3438" t="s">
        <v>3118</v>
      </c>
      <c r="C5" s="3439"/>
      <c r="D5" s="3439"/>
      <c r="E5" s="3439"/>
      <c r="G5" s="3223" t="s">
        <v>3110</v>
      </c>
      <c r="H5" s="3224">
        <f ca="1">结果表!C20</f>
        <v>5354</v>
      </c>
      <c r="I5" s="3225">
        <v>0.4</v>
      </c>
      <c r="J5" s="3224">
        <f ca="1">结果表!D20</f>
        <v>10154</v>
      </c>
      <c r="K5" s="3225">
        <f>1-I5</f>
        <v>0.6</v>
      </c>
      <c r="M5" s="3224" t="s">
        <v>3121</v>
      </c>
      <c r="N5" s="3225" t="s">
        <v>3121</v>
      </c>
      <c r="O5" s="3224">
        <f ca="1">ROUND(H5*I5+J5*K5,0)</f>
        <v>8234</v>
      </c>
      <c r="T5" s="3222" t="s">
        <v>3076</v>
      </c>
    </row>
    <row r="6" spans="2:20" ht="29.25" customHeight="1">
      <c r="B6" s="3440"/>
      <c r="C6" s="3440"/>
      <c r="D6" s="3440"/>
      <c r="E6" s="3440"/>
      <c r="G6" s="3223" t="s">
        <v>3108</v>
      </c>
      <c r="H6" s="3224">
        <f>[5]结果表!$C$20</f>
        <v>5354</v>
      </c>
      <c r="I6" s="3225">
        <v>0.4</v>
      </c>
      <c r="J6" s="3224">
        <f>[5]结果表!$D$20</f>
        <v>18527</v>
      </c>
      <c r="K6" s="3225">
        <f>1-I6</f>
        <v>0.6</v>
      </c>
      <c r="M6" s="3224" t="s">
        <v>3121</v>
      </c>
      <c r="N6" s="3225" t="s">
        <v>3121</v>
      </c>
      <c r="O6" s="3224">
        <f>ROUND(H6*I6+J6*K6,0)</f>
        <v>13258</v>
      </c>
      <c r="T6" s="3229"/>
    </row>
    <row r="7" spans="2:20" ht="27.75" customHeight="1">
      <c r="B7" s="3231"/>
      <c r="C7" s="3231" t="s">
        <v>3081</v>
      </c>
      <c r="D7" s="3231" t="s">
        <v>3082</v>
      </c>
      <c r="E7" s="3231" t="s">
        <v>3083</v>
      </c>
      <c r="G7" s="3223" t="s">
        <v>3077</v>
      </c>
      <c r="H7" s="3224">
        <f>[3]结果表!$C$20</f>
        <v>4558</v>
      </c>
      <c r="I7" s="3225">
        <v>0.3</v>
      </c>
      <c r="J7" s="3224">
        <f>[3]结果表!$D$20</f>
        <v>7411</v>
      </c>
      <c r="K7" s="3225">
        <v>0.5</v>
      </c>
      <c r="M7" s="3224">
        <f>'[3]收益还原法-商业'!$B$3</f>
        <v>4346</v>
      </c>
      <c r="N7" s="3225">
        <f>1-I7-K7</f>
        <v>0.19999999999999996</v>
      </c>
      <c r="O7" s="3224">
        <f>ROUND(H7*I7+J7*K7+M7*N7,0)</f>
        <v>5942</v>
      </c>
      <c r="T7" s="3219">
        <f>D8</f>
        <v>50371.5</v>
      </c>
    </row>
    <row r="8" spans="2:20" ht="26.25" customHeight="1">
      <c r="B8" s="3231" t="s">
        <v>3085</v>
      </c>
      <c r="C8" s="3231">
        <f>O6</f>
        <v>13258</v>
      </c>
      <c r="D8" s="3231">
        <f>'数据-基础表'!I17*0.3+'数据-基础表'!I20</f>
        <v>50371.5</v>
      </c>
      <c r="E8" s="3231">
        <f>ROUND(C8*D8/10000,2)</f>
        <v>66782.53</v>
      </c>
      <c r="G8" s="3223" t="s">
        <v>3078</v>
      </c>
      <c r="H8" s="3224">
        <f>[4]结果表!$C$20</f>
        <v>4655</v>
      </c>
      <c r="I8" s="3225">
        <v>0.3</v>
      </c>
      <c r="J8" s="3224">
        <f>[4]结果表!$D$20</f>
        <v>7352</v>
      </c>
      <c r="K8" s="3225">
        <v>0.5</v>
      </c>
      <c r="M8" s="3224">
        <f>'[4]收益还原法--办公'!$B$3</f>
        <v>3900</v>
      </c>
      <c r="N8" s="3225">
        <f>1-I8-K8</f>
        <v>0.19999999999999996</v>
      </c>
      <c r="O8" s="3224">
        <f>ROUND(H8*I8+J8*K8+M8*N8,0)</f>
        <v>5853</v>
      </c>
    </row>
    <row r="9" spans="2:20" customFormat="1" ht="26.25" customHeight="1">
      <c r="B9" s="3231" t="s">
        <v>3115</v>
      </c>
      <c r="C9" s="3231">
        <f ca="1">O5</f>
        <v>8234</v>
      </c>
      <c r="D9" s="3231">
        <f>'数据-取费表'!K6</f>
        <v>292155</v>
      </c>
      <c r="E9" s="3231">
        <f t="shared" ref="E9:E10" ca="1" si="0">ROUND(C9*D9/10000,2)</f>
        <v>240560.43</v>
      </c>
    </row>
    <row r="10" spans="2:20" ht="33" customHeight="1">
      <c r="B10" s="3231" t="s">
        <v>3087</v>
      </c>
      <c r="C10" s="3231">
        <f>O7</f>
        <v>5942</v>
      </c>
      <c r="D10" s="3231">
        <f>'数据-基础表'!I17*0.7+'数据-基础表'!I21</f>
        <v>61092.5</v>
      </c>
      <c r="E10" s="3231">
        <f t="shared" si="0"/>
        <v>36301.160000000003</v>
      </c>
      <c r="G10" s="3219"/>
      <c r="H10" s="3219"/>
      <c r="I10" s="3219"/>
      <c r="J10" s="3219"/>
      <c r="K10" s="3219"/>
      <c r="M10" s="3219"/>
      <c r="O10" s="3219"/>
    </row>
    <row r="11" spans="2:20" ht="28.5" customHeight="1">
      <c r="B11" s="3231" t="s">
        <v>3089</v>
      </c>
      <c r="C11" s="3231">
        <f>O8</f>
        <v>5853</v>
      </c>
      <c r="D11" s="3231" t="s">
        <v>3088</v>
      </c>
      <c r="E11" s="3231" t="s">
        <v>3088</v>
      </c>
      <c r="G11" s="3220" t="s">
        <v>3079</v>
      </c>
      <c r="H11" s="3221" t="s">
        <v>3072</v>
      </c>
      <c r="I11" s="3221" t="s">
        <v>3073</v>
      </c>
      <c r="J11" s="3221" t="s">
        <v>3074</v>
      </c>
      <c r="K11" s="3221" t="s">
        <v>3073</v>
      </c>
      <c r="M11" s="3221" t="s">
        <v>3120</v>
      </c>
      <c r="N11" s="3221" t="s">
        <v>3073</v>
      </c>
      <c r="O11" s="3226" t="s">
        <v>3080</v>
      </c>
    </row>
    <row r="12" spans="2:20" ht="25.5" customHeight="1">
      <c r="B12" s="3231" t="s">
        <v>3090</v>
      </c>
      <c r="C12" s="3231" t="s">
        <v>3088</v>
      </c>
      <c r="D12" s="3231" t="s">
        <v>3088</v>
      </c>
      <c r="E12" s="3231">
        <f ca="1">SUM(E8:E11)</f>
        <v>343644.12</v>
      </c>
      <c r="G12" s="3223" t="s">
        <v>3111</v>
      </c>
      <c r="H12" s="3224">
        <f ca="1">结果表!C19</f>
        <v>156420</v>
      </c>
      <c r="I12" s="3225">
        <f>I5</f>
        <v>0.4</v>
      </c>
      <c r="J12" s="3224">
        <f ca="1">结果表!D19</f>
        <v>296658</v>
      </c>
      <c r="K12" s="3225">
        <f>K5</f>
        <v>0.6</v>
      </c>
      <c r="M12" s="3224" t="s">
        <v>3121</v>
      </c>
      <c r="N12" s="3225" t="s">
        <v>3121</v>
      </c>
      <c r="O12" s="3228">
        <f>E8</f>
        <v>66782.53</v>
      </c>
    </row>
    <row r="13" spans="2:20" ht="25.5" customHeight="1">
      <c r="G13" s="3223" t="s">
        <v>3108</v>
      </c>
      <c r="H13" s="3224">
        <f>[5]结果表!$C$19</f>
        <v>26969</v>
      </c>
      <c r="I13" s="3225">
        <f>I6</f>
        <v>0.4</v>
      </c>
      <c r="J13" s="3224">
        <f>[5]结果表!$D$19</f>
        <v>93323</v>
      </c>
      <c r="K13" s="3225">
        <f>K6</f>
        <v>0.6</v>
      </c>
      <c r="M13" s="3224" t="s">
        <v>3121</v>
      </c>
      <c r="N13" s="3225" t="s">
        <v>3121</v>
      </c>
      <c r="O13" s="3228">
        <f>ROUND(H13*I13+J13*K6,2)</f>
        <v>66781.399999999994</v>
      </c>
    </row>
    <row r="14" spans="2:20" ht="44.25" customHeight="1">
      <c r="B14" s="3231"/>
      <c r="C14" s="3231" t="s">
        <v>3081</v>
      </c>
      <c r="D14" s="3231" t="s">
        <v>3082</v>
      </c>
      <c r="E14" s="3231" t="s">
        <v>3083</v>
      </c>
      <c r="G14" s="3227" t="s">
        <v>3077</v>
      </c>
      <c r="H14" s="3224">
        <f>[3]结果表!$C$19</f>
        <v>27846</v>
      </c>
      <c r="I14" s="3225">
        <f>I7</f>
        <v>0.3</v>
      </c>
      <c r="J14" s="3224">
        <f>[3]结果表!$D$19</f>
        <v>45273</v>
      </c>
      <c r="K14" s="3225">
        <f>K7</f>
        <v>0.5</v>
      </c>
      <c r="M14" s="3224">
        <f>'[3]收益还原法-商业'!$B$2</f>
        <v>26553</v>
      </c>
      <c r="N14" s="3225">
        <f>N7</f>
        <v>0.19999999999999996</v>
      </c>
      <c r="O14" s="3228">
        <f>ROUND(H14*I14+J14*K14,2)</f>
        <v>30990.3</v>
      </c>
    </row>
    <row r="15" spans="2:20" ht="35.25" customHeight="1">
      <c r="B15" s="3231" t="s">
        <v>3126</v>
      </c>
      <c r="C15" s="3231">
        <f>ROUND(C8*0.25,0)</f>
        <v>3315</v>
      </c>
      <c r="D15" s="3231">
        <f>D8</f>
        <v>50371.5</v>
      </c>
      <c r="E15" s="3231">
        <f>ROUND(C15*D15/10000,2)</f>
        <v>16698.150000000001</v>
      </c>
      <c r="G15" s="3227" t="s">
        <v>3078</v>
      </c>
      <c r="H15" s="3224">
        <f>[6]结果表!$C$19</f>
        <v>134946</v>
      </c>
      <c r="I15" s="3225">
        <f>I8</f>
        <v>0.3</v>
      </c>
      <c r="J15" s="3224">
        <f>[6]结果表!$D$19</f>
        <v>275673</v>
      </c>
      <c r="K15" s="3225">
        <f>K14</f>
        <v>0.5</v>
      </c>
      <c r="M15" s="3224">
        <f>'[4]收益还原法--办公'!$B$2</f>
        <v>23824</v>
      </c>
      <c r="N15" s="3225">
        <f>N8</f>
        <v>0.19999999999999996</v>
      </c>
      <c r="O15" s="3228">
        <f>ROUND(H15*I15+J15*K15,2)</f>
        <v>178320.3</v>
      </c>
    </row>
    <row r="16" spans="2:20" ht="42.75" customHeight="1">
      <c r="B16" s="3231" t="s">
        <v>3114</v>
      </c>
      <c r="C16" s="3231">
        <f t="shared" ref="C16:C18" ca="1" si="1">ROUND(C9*0.25,0)</f>
        <v>2059</v>
      </c>
      <c r="D16" s="3231">
        <f t="shared" ref="D16:D17" si="2">D9</f>
        <v>292155</v>
      </c>
      <c r="E16" s="3231">
        <f t="shared" ref="E16:E17" ca="1" si="3">ROUND(C16*D16/10000,2)</f>
        <v>60154.71</v>
      </c>
      <c r="G16" s="3266"/>
      <c r="H16" s="3264"/>
      <c r="I16" s="3265"/>
      <c r="J16" s="3264"/>
      <c r="K16" s="3265"/>
      <c r="M16" s="3230"/>
      <c r="O16" s="3264"/>
    </row>
    <row r="17" spans="2:15" ht="28.5" customHeight="1">
      <c r="B17" s="3231" t="s">
        <v>3092</v>
      </c>
      <c r="C17" s="3231">
        <f t="shared" si="1"/>
        <v>1486</v>
      </c>
      <c r="D17" s="3231">
        <f t="shared" si="2"/>
        <v>61092.5</v>
      </c>
      <c r="E17" s="3231">
        <f t="shared" si="3"/>
        <v>9078.35</v>
      </c>
      <c r="G17" s="3219"/>
      <c r="H17" s="3219"/>
      <c r="I17" s="3219"/>
      <c r="J17" s="3219"/>
      <c r="K17" s="3219"/>
      <c r="M17" s="3219"/>
      <c r="O17" s="3219"/>
    </row>
    <row r="18" spans="2:15" ht="23.25" customHeight="1">
      <c r="B18" s="3231" t="s">
        <v>3093</v>
      </c>
      <c r="C18" s="3231">
        <f t="shared" si="1"/>
        <v>1463</v>
      </c>
      <c r="D18" s="3231" t="s">
        <v>3088</v>
      </c>
      <c r="E18" s="3231" t="s">
        <v>3088</v>
      </c>
      <c r="G18" s="3219"/>
      <c r="H18" s="3219"/>
      <c r="I18" s="3219"/>
      <c r="J18" s="3219"/>
      <c r="K18" s="3219"/>
      <c r="M18" s="3219"/>
      <c r="O18" s="3219"/>
    </row>
    <row r="19" spans="2:15" ht="26.25" customHeight="1">
      <c r="B19" s="3231" t="s">
        <v>3094</v>
      </c>
      <c r="C19" s="3231" t="s">
        <v>3088</v>
      </c>
      <c r="D19" s="3231" t="s">
        <v>3088</v>
      </c>
      <c r="E19" s="3231">
        <f ca="1">SUM(E15:E18)</f>
        <v>85931.21</v>
      </c>
      <c r="G19" s="3232" t="s">
        <v>3084</v>
      </c>
      <c r="H19" s="3441" t="s">
        <v>3072</v>
      </c>
      <c r="I19" s="3442"/>
      <c r="J19" s="3441" t="s">
        <v>3074</v>
      </c>
      <c r="K19" s="3442"/>
      <c r="M19" s="3233"/>
      <c r="O19" s="3233" t="s">
        <v>3073</v>
      </c>
    </row>
    <row r="20" spans="2:15" ht="14.25">
      <c r="G20" s="3234" t="s">
        <v>3086</v>
      </c>
      <c r="H20" s="3235" t="s">
        <v>3079</v>
      </c>
      <c r="I20" s="3236" t="s">
        <v>3071</v>
      </c>
      <c r="J20" s="3235" t="s">
        <v>3079</v>
      </c>
      <c r="K20" s="3236" t="s">
        <v>3071</v>
      </c>
      <c r="M20" s="3233" t="s">
        <v>3079</v>
      </c>
      <c r="O20" s="3233" t="s">
        <v>3071</v>
      </c>
    </row>
    <row r="21" spans="2:15" ht="14.25">
      <c r="B21" s="3436" t="s">
        <v>3124</v>
      </c>
      <c r="C21" s="3437"/>
      <c r="D21" s="3437"/>
      <c r="E21" s="3437"/>
      <c r="G21" s="3237" t="s">
        <v>3109</v>
      </c>
      <c r="H21" s="3238">
        <f ca="1">ROUND(I21*D16/10000,2)</f>
        <v>39119.550000000003</v>
      </c>
      <c r="I21" s="3239">
        <f ca="1">ROUND(H5*0.25,0)</f>
        <v>1339</v>
      </c>
      <c r="J21" s="3238">
        <f ca="1">ROUND(K21*D16/10000,2)</f>
        <v>74178.149999999994</v>
      </c>
      <c r="K21" s="3239">
        <f ca="1">ROUND(J5*0.25,0)</f>
        <v>2539</v>
      </c>
      <c r="M21" s="3240">
        <f ca="1">ROUND(O21*T7/10000,2)</f>
        <v>10371.49</v>
      </c>
      <c r="O21" s="3239">
        <f ca="1">ROUND(I21*I5+K21*K5,0)</f>
        <v>2059</v>
      </c>
    </row>
    <row r="22" spans="2:15" ht="14.25">
      <c r="B22" s="3253"/>
      <c r="C22" s="3254"/>
      <c r="D22" s="3254"/>
      <c r="E22" s="3254"/>
      <c r="G22" s="3237" t="s">
        <v>3112</v>
      </c>
      <c r="H22" s="3238">
        <f>ROUND(I22*T7/10000,2)</f>
        <v>6744.74</v>
      </c>
      <c r="I22" s="3239">
        <f>ROUND(H6*0.25,0)</f>
        <v>1339</v>
      </c>
      <c r="J22" s="3238">
        <f>ROUND(K22*T7/10000,2)</f>
        <v>23332.080000000002</v>
      </c>
      <c r="K22" s="3239">
        <f>ROUND(J6*0.25,0)</f>
        <v>4632</v>
      </c>
      <c r="M22" s="3240">
        <f>ROUND(O22*T7/10000,2)</f>
        <v>16698.150000000001</v>
      </c>
      <c r="O22" s="3239">
        <f>ROUND(I22*I6+K22*K6,0)</f>
        <v>3315</v>
      </c>
    </row>
    <row r="23" spans="2:15">
      <c r="G23" s="3237" t="s">
        <v>3077</v>
      </c>
      <c r="H23" s="3238">
        <f>ROUND(I23*T7/10000,2)</f>
        <v>5742.35</v>
      </c>
      <c r="I23" s="3239">
        <f t="shared" ref="I23:I24" si="4">ROUND(H7*0.25,0)</f>
        <v>1140</v>
      </c>
      <c r="J23" s="3238">
        <f>ROUND(K23*T7/10000,2)</f>
        <v>9333.84</v>
      </c>
      <c r="K23" s="3239">
        <f t="shared" ref="K23:K24" si="5">ROUND(J7*0.25,0)</f>
        <v>1853</v>
      </c>
      <c r="M23" s="3240">
        <f>ROUND(O23*T7/10000,2)</f>
        <v>6392.14</v>
      </c>
      <c r="O23" s="3239">
        <f>ROUND(I23*I7+K23*K7,0)</f>
        <v>1269</v>
      </c>
    </row>
    <row r="24" spans="2:15" ht="22.5" customHeight="1">
      <c r="G24" s="3237" t="s">
        <v>3078</v>
      </c>
      <c r="H24" s="3238">
        <f>ROUND(I24*T7/10000,2)</f>
        <v>5863.24</v>
      </c>
      <c r="I24" s="3239">
        <f t="shared" si="4"/>
        <v>1164</v>
      </c>
      <c r="J24" s="3238">
        <f>ROUND(K24*T7/10000,2)</f>
        <v>9258.2800000000007</v>
      </c>
      <c r="K24" s="3239">
        <f t="shared" si="5"/>
        <v>1838</v>
      </c>
      <c r="M24" s="3240">
        <f>ROUND(O24*T7/10000,2)</f>
        <v>6387.11</v>
      </c>
      <c r="O24" s="3239">
        <f>ROUND(I24*I8+K24*K8,0)</f>
        <v>1268</v>
      </c>
    </row>
    <row r="25" spans="2:15">
      <c r="G25" s="3219"/>
      <c r="H25" s="3219"/>
      <c r="I25" s="3219"/>
      <c r="J25" s="3219"/>
      <c r="K25" s="3219"/>
      <c r="M25" s="3219"/>
      <c r="O25" s="3219"/>
    </row>
    <row r="26" spans="2:15">
      <c r="G26" s="3219"/>
      <c r="H26" s="3219"/>
      <c r="I26" s="3219"/>
      <c r="J26" s="3219"/>
      <c r="K26" s="3219"/>
      <c r="M26" s="3219"/>
      <c r="O26" s="3219"/>
    </row>
    <row r="27" spans="2:15" ht="14.25">
      <c r="G27" s="3241" t="s">
        <v>3084</v>
      </c>
      <c r="H27" s="3443" t="s">
        <v>3072</v>
      </c>
      <c r="I27" s="3444"/>
      <c r="J27" s="3443" t="s">
        <v>3074</v>
      </c>
      <c r="K27" s="3444"/>
      <c r="M27" s="3243" t="s">
        <v>3073</v>
      </c>
      <c r="O27" s="3242" t="s">
        <v>3073</v>
      </c>
    </row>
    <row r="28" spans="2:15" ht="22.5" customHeight="1">
      <c r="G28" s="3244" t="s">
        <v>3091</v>
      </c>
      <c r="H28" s="3245" t="s">
        <v>3079</v>
      </c>
      <c r="I28" s="3246" t="s">
        <v>3071</v>
      </c>
      <c r="J28" s="3245" t="s">
        <v>3079</v>
      </c>
      <c r="K28" s="3246" t="s">
        <v>3071</v>
      </c>
      <c r="M28" s="3242" t="s">
        <v>3071</v>
      </c>
      <c r="O28" s="3242" t="s">
        <v>3079</v>
      </c>
    </row>
    <row r="29" spans="2:15" ht="14.25">
      <c r="F29" s="3247"/>
      <c r="G29" s="3248" t="s">
        <v>3109</v>
      </c>
      <c r="H29" s="3249">
        <f ca="1">ROUND(H12*0.25,2)</f>
        <v>39105</v>
      </c>
      <c r="I29" s="3250">
        <f ca="1">ROUND(H29*10000/T7,0)</f>
        <v>7763</v>
      </c>
      <c r="J29" s="3249">
        <f ca="1">ROUND(J12*0.25,2)</f>
        <v>74164.5</v>
      </c>
      <c r="K29" s="3250">
        <f ca="1">ROUND(J29*10000/T7,0)</f>
        <v>14724</v>
      </c>
      <c r="M29" s="3250">
        <f ca="1">ROUND(O29*10000/T7,0)</f>
        <v>11939</v>
      </c>
      <c r="O29" s="3249">
        <f ca="1">ROUND(H29*I12+J29*K12,2)</f>
        <v>60140.7</v>
      </c>
    </row>
    <row r="30" spans="2:15" ht="14.25">
      <c r="F30" s="3263"/>
      <c r="G30" s="3248" t="s">
        <v>3108</v>
      </c>
      <c r="H30" s="3249">
        <f>ROUND(H13*0.25,2)</f>
        <v>6742.25</v>
      </c>
      <c r="I30" s="3250">
        <f>ROUND(H30*10000/T7,0)</f>
        <v>1339</v>
      </c>
      <c r="J30" s="3249">
        <f>ROUND(J13*0.25,2)</f>
        <v>23330.75</v>
      </c>
      <c r="K30" s="3250">
        <f>ROUND(J30*10000/T7,0)</f>
        <v>4632</v>
      </c>
      <c r="M30" s="3250">
        <f>ROUND(O30*10000/T7,0)</f>
        <v>3314</v>
      </c>
      <c r="O30" s="3249">
        <f>ROUND(H30*I13+J30*K13,2)</f>
        <v>16695.349999999999</v>
      </c>
    </row>
    <row r="31" spans="2:15">
      <c r="G31" s="3248" t="s">
        <v>3077</v>
      </c>
      <c r="H31" s="3249">
        <f>ROUND(H14*0.25,2)</f>
        <v>6961.5</v>
      </c>
      <c r="I31" s="3250">
        <f>ROUND(H31*10000/T7,0)</f>
        <v>1382</v>
      </c>
      <c r="J31" s="3249">
        <f>ROUND(J14*0.25,2)</f>
        <v>11318.25</v>
      </c>
      <c r="K31" s="3250">
        <f>ROUND(J31*10000/T7,0)</f>
        <v>2247</v>
      </c>
      <c r="M31" s="3250">
        <f>ROUND(O31*10000/T7,0)</f>
        <v>1538</v>
      </c>
      <c r="O31" s="3249">
        <f>ROUND(H31*I14+J31*K14,2)</f>
        <v>7747.58</v>
      </c>
    </row>
    <row r="32" spans="2:15">
      <c r="G32" s="3248" t="s">
        <v>3078</v>
      </c>
      <c r="H32" s="3249">
        <f>ROUND(H15*0.25,2)</f>
        <v>33736.5</v>
      </c>
      <c r="I32" s="3250">
        <f>ROUND(H32*10000/T7,0)</f>
        <v>6698</v>
      </c>
      <c r="J32" s="3249">
        <f>ROUND(J15*0.25,2)</f>
        <v>68918.25</v>
      </c>
      <c r="K32" s="3250">
        <f>ROUND(J32*10000/T7,0)</f>
        <v>13682</v>
      </c>
      <c r="M32" s="3250">
        <f>ROUND(O32*10000/T7,0)</f>
        <v>8850</v>
      </c>
      <c r="O32" s="3249">
        <f>ROUND(H32*I15+J32*K15,2)</f>
        <v>44580.08</v>
      </c>
    </row>
    <row r="33" spans="7:15">
      <c r="G33" s="3251"/>
      <c r="H33" s="3250" t="s">
        <v>3095</v>
      </c>
      <c r="I33" s="3250" t="s">
        <v>3096</v>
      </c>
      <c r="J33" s="3250" t="s">
        <v>3095</v>
      </c>
      <c r="K33" s="3250" t="s">
        <v>3096</v>
      </c>
      <c r="M33" s="3252" t="s">
        <v>3096</v>
      </c>
      <c r="O33" s="3252" t="s">
        <v>3095</v>
      </c>
    </row>
    <row r="34" spans="7:15" ht="33.75" customHeight="1"/>
    <row r="35" spans="7:15" ht="36" customHeight="1"/>
    <row r="38" spans="7:15" ht="23.25" customHeight="1"/>
    <row r="39" spans="7:15" ht="18.75" customHeight="1"/>
    <row r="40" spans="7:15" ht="21" customHeight="1"/>
  </sheetData>
  <mergeCells count="6">
    <mergeCell ref="B21:E21"/>
    <mergeCell ref="B5:E6"/>
    <mergeCell ref="H19:I19"/>
    <mergeCell ref="J19:K19"/>
    <mergeCell ref="H27:I27"/>
    <mergeCell ref="J27:K27"/>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71" t="str">
        <f>项目基本情况!B1</f>
        <v>北京市房山区邢家坞村出让国有建设用地使用权市场价格预评估</v>
      </c>
      <c r="C37" s="3271"/>
      <c r="D37" s="3271"/>
      <c r="E37" s="3271"/>
      <c r="F37" s="3271"/>
      <c r="G37" s="3271"/>
      <c r="H37" s="3271"/>
      <c r="I37" s="3271"/>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5" sqref="H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296658</v>
      </c>
      <c r="C2" s="2106"/>
      <c r="D2" s="2106"/>
      <c r="E2" s="2106"/>
      <c r="F2" s="2106"/>
      <c r="G2" s="2106"/>
      <c r="H2" s="2106"/>
      <c r="I2" s="2106"/>
      <c r="J2" s="2106"/>
      <c r="K2" s="2106"/>
    </row>
    <row r="3" spans="1:31" s="2043" customFormat="1" ht="18" customHeight="1">
      <c r="A3" s="2108" t="s">
        <v>1678</v>
      </c>
      <c r="B3" s="2109">
        <f ca="1">ROUND(B2*10000/IF(B1="",'数据-汇总表'!E3,INDIRECT("'数据-取费表'!K"&amp;$K$1)),0)</f>
        <v>10154</v>
      </c>
      <c r="C3" s="2106"/>
      <c r="D3" s="2106"/>
      <c r="E3" s="2106"/>
      <c r="F3" s="2106"/>
      <c r="G3" s="2106"/>
      <c r="H3" s="2106"/>
      <c r="I3" s="2106"/>
      <c r="J3" s="2106"/>
      <c r="K3" s="2106"/>
    </row>
    <row r="4" spans="1:31" s="2043" customFormat="1" ht="18" customHeight="1">
      <c r="A4" s="426" t="s">
        <v>465</v>
      </c>
      <c r="B4" s="427">
        <f ca="1">ROUND(B2*10000/IF(B1="",'数据-汇总表'!D3,INDIRECT("'数据-取费表'!R"&amp;$K$1)),0)</f>
        <v>23070</v>
      </c>
      <c r="C4" s="428"/>
      <c r="D4" s="422"/>
      <c r="E4" s="422"/>
      <c r="F4" s="422"/>
      <c r="G4" s="422"/>
      <c r="H4" s="422"/>
      <c r="I4" s="422"/>
      <c r="J4" s="422"/>
      <c r="K4" s="422"/>
    </row>
    <row r="5" spans="1:31" s="2043" customFormat="1" ht="18" customHeight="1" thickBot="1">
      <c r="A5" s="429"/>
      <c r="B5" s="430">
        <f ca="1">ROUND(B2/(IF(B1="",'数据-汇总表'!D3,INDIRECT("'数据-取费表'!R"&amp;$K$1))/666.67),0)</f>
        <v>1538</v>
      </c>
      <c r="C5" s="431" t="s">
        <v>466</v>
      </c>
      <c r="D5" s="422"/>
      <c r="E5" s="422"/>
      <c r="F5" s="422"/>
      <c r="G5" s="422"/>
      <c r="H5" s="422"/>
      <c r="I5" s="422"/>
      <c r="J5" s="422"/>
      <c r="K5" s="422"/>
    </row>
    <row r="6" spans="1:31" s="2113" customFormat="1" ht="16.5" customHeight="1">
      <c r="A6" s="2830" t="s">
        <v>1836</v>
      </c>
      <c r="B6" s="2831"/>
      <c r="C6" s="2832">
        <f>SUM(C10:K10)</f>
        <v>759603</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f>建安取值!C9</f>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292155</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759603</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146078</v>
      </c>
      <c r="D13" s="2846"/>
      <c r="E13" s="2847"/>
      <c r="F13" s="2848"/>
      <c r="G13" s="2814"/>
      <c r="H13" s="2815"/>
      <c r="I13" s="2815"/>
      <c r="J13" s="2815"/>
      <c r="K13" s="2816"/>
    </row>
    <row r="14" spans="1:31" s="2118" customFormat="1" ht="13.5" customHeight="1">
      <c r="A14" s="2844" t="s">
        <v>1843</v>
      </c>
      <c r="B14" s="2845" t="s">
        <v>477</v>
      </c>
      <c r="C14" s="53">
        <f ca="1">ROUND(C13*F14,0)</f>
        <v>4382</v>
      </c>
      <c r="D14" s="2846"/>
      <c r="E14" s="2847"/>
      <c r="F14" s="2849">
        <f>'数据-取费表'!B33</f>
        <v>0.03</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7304</v>
      </c>
      <c r="D15" s="2846"/>
      <c r="E15" s="2847"/>
      <c r="F15" s="2849">
        <f>'数据-取费表'!B34</f>
        <v>0.05</v>
      </c>
      <c r="G15" s="2814" t="s">
        <v>480</v>
      </c>
      <c r="H15" s="2815"/>
      <c r="I15" s="2815"/>
      <c r="J15" s="2815"/>
      <c r="K15" s="2816"/>
    </row>
    <row r="16" spans="1:31" s="2119" customFormat="1" ht="13.5" customHeight="1">
      <c r="A16" s="2844" t="s">
        <v>1845</v>
      </c>
      <c r="B16" s="2845" t="s">
        <v>481</v>
      </c>
      <c r="C16" s="53">
        <f ca="1">ROUND(D16*E16/10000,0)</f>
        <v>5843</v>
      </c>
      <c r="D16" s="2846">
        <f ca="1">IF(B1="",'数据-汇总表'!E3,INDIRECT("'数据-取费表'!K"&amp;$K$1)+INDIRECT("'数据-取费表'!S"&amp;$K$1))</f>
        <v>292155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2191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165798</v>
      </c>
      <c r="D18" s="2855"/>
      <c r="E18" s="468"/>
      <c r="F18" s="468"/>
      <c r="G18" s="2818" t="s">
        <v>2426</v>
      </c>
      <c r="H18" s="2819"/>
      <c r="I18" s="2819"/>
      <c r="J18" s="2819"/>
      <c r="K18" s="2820"/>
    </row>
    <row r="19" spans="1:14" s="2118" customFormat="1" ht="13.5" customHeight="1">
      <c r="A19" s="2852" t="s">
        <v>1848</v>
      </c>
      <c r="B19" s="2853" t="s">
        <v>485</v>
      </c>
      <c r="C19" s="2810">
        <f ca="1">ROUND(D19*E19/10000,0)</f>
        <v>0</v>
      </c>
      <c r="D19" s="2856">
        <f ca="1">D16</f>
        <v>292155</v>
      </c>
      <c r="E19" s="2810">
        <f>'数据-取费表'!B32</f>
        <v>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3098</v>
      </c>
      <c r="H20" s="2812"/>
      <c r="I20" s="2813" t="s">
        <v>2647</v>
      </c>
      <c r="J20" s="2819"/>
      <c r="K20" s="2820"/>
    </row>
    <row r="21" spans="1:14" s="2118" customFormat="1" ht="13.5" customHeight="1">
      <c r="A21" s="2844" t="s">
        <v>1850</v>
      </c>
      <c r="B21" s="2845" t="s">
        <v>488</v>
      </c>
      <c r="C21" s="53">
        <f ca="1">ROUND(D21*E21/10000,0)</f>
        <v>4674</v>
      </c>
      <c r="D21" s="2846">
        <f ca="1">IF(B1="",'数据-汇总表'!E5,IF(INDIRECT("'数据-取费表'!c"&amp;$K$1)="住宅",INDIRECT("'数据-取费表'!k"&amp;$K$1),0))</f>
        <v>292155</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3316</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15192</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13287</v>
      </c>
      <c r="D26" s="467">
        <f ca="1">C27</f>
        <v>0.1537</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13287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39789</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237382</v>
      </c>
      <c r="D30" s="477">
        <f ca="1">C32</f>
        <v>0.1827</v>
      </c>
      <c r="E30" s="469" t="s">
        <v>492</v>
      </c>
      <c r="F30" s="471"/>
      <c r="G30" s="2822" t="s">
        <v>2969</v>
      </c>
      <c r="H30" s="2815"/>
      <c r="I30" s="2815"/>
      <c r="J30" s="2815"/>
      <c r="K30" s="2816"/>
    </row>
    <row r="31" spans="1:14" s="2122" customFormat="1" ht="13.5" customHeight="1">
      <c r="A31" s="803" t="s">
        <v>1850</v>
      </c>
      <c r="B31" s="2860"/>
      <c r="C31" s="450">
        <f ca="1">C18+C19+C20+C23+C24+C26+C29</f>
        <v>237382</v>
      </c>
      <c r="D31" s="472"/>
      <c r="E31" s="473"/>
      <c r="F31" s="474"/>
      <c r="G31" s="261"/>
      <c r="H31" s="2817"/>
      <c r="I31" s="2817"/>
      <c r="J31" s="2817"/>
      <c r="K31" s="279"/>
    </row>
    <row r="32" spans="1:14" s="2122" customFormat="1" ht="13.5" customHeight="1">
      <c r="A32" s="803" t="s">
        <v>1851</v>
      </c>
      <c r="B32" s="2860"/>
      <c r="C32" s="53">
        <f ca="1">ROUND(C25+D26,4)</f>
        <v>0.1827</v>
      </c>
      <c r="D32" s="472"/>
      <c r="E32" s="473"/>
      <c r="F32" s="474"/>
      <c r="G32" s="261"/>
      <c r="H32" s="2817"/>
      <c r="I32" s="2817"/>
      <c r="J32" s="2817"/>
      <c r="K32" s="279"/>
    </row>
    <row r="33" spans="1:11" s="2124" customFormat="1" ht="13.5" customHeight="1">
      <c r="A33" s="3036" t="s">
        <v>2828</v>
      </c>
      <c r="B33" s="3034" t="s">
        <v>2826</v>
      </c>
      <c r="C33" s="478">
        <f ca="1">C35</f>
        <v>64507</v>
      </c>
      <c r="D33" s="467">
        <f ca="1">C34</f>
        <v>0.36020000000000002</v>
      </c>
      <c r="E33" s="469" t="s">
        <v>492</v>
      </c>
      <c r="F33" s="479">
        <f ca="1">IF(B1="",'数据-取费表'!Q16,INDIRECT("'数据-取费表'!q"&amp;$K$1))</f>
        <v>0.35</v>
      </c>
      <c r="G33" s="2818"/>
      <c r="H33" s="2819"/>
      <c r="I33" s="2819"/>
      <c r="J33" s="2819"/>
      <c r="K33" s="2820"/>
    </row>
    <row r="34" spans="1:11" s="2125" customFormat="1" ht="13.5" customHeight="1">
      <c r="A34" s="375" t="s">
        <v>1850</v>
      </c>
      <c r="B34" s="2865" t="s">
        <v>498</v>
      </c>
      <c r="C34" s="472">
        <f ca="1">ROUND((1+C25)*F33,4)</f>
        <v>0.36020000000000002</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64507</v>
      </c>
      <c r="D35" s="1630"/>
      <c r="E35" s="2866"/>
      <c r="F35" s="1631"/>
      <c r="G35" s="2824"/>
      <c r="H35" s="2825"/>
      <c r="I35" s="2825"/>
      <c r="J35" s="2825"/>
      <c r="K35" s="2826"/>
    </row>
    <row r="36" spans="1:11" s="2087" customFormat="1" ht="13.5" customHeight="1" thickBot="1">
      <c r="A36" s="284" t="s">
        <v>1838</v>
      </c>
      <c r="B36" s="2828"/>
      <c r="C36" s="2867">
        <f ca="1">ROUND((C6-C30-C33)*F36/(1+D30+D33),0)</f>
        <v>296658</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146078</v>
      </c>
      <c r="D13" s="451"/>
      <c r="E13" s="365"/>
      <c r="F13" s="452"/>
      <c r="G13" s="444"/>
      <c r="H13" s="447"/>
      <c r="I13" s="447"/>
      <c r="J13" s="447"/>
      <c r="K13" s="448"/>
    </row>
    <row r="14" spans="1:41" s="2118" customFormat="1" ht="13.5" customHeight="1">
      <c r="A14" s="1634" t="s">
        <v>1843</v>
      </c>
      <c r="B14" s="449" t="s">
        <v>477</v>
      </c>
      <c r="C14" s="53">
        <f ca="1">ROUND(C13*F14,0)</f>
        <v>4382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7304</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5843</v>
      </c>
      <c r="D16" s="451">
        <f ca="1">IF(B1="",'数据-汇总表'!E3,INDIRECT("'数据-取费表'!K"&amp;$K$1)+INDIRECT("'数据-取费表'!S"&amp;$K$1))</f>
        <v>292155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2191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165798</v>
      </c>
      <c r="D18" s="461"/>
      <c r="E18" s="462"/>
      <c r="F18" s="462"/>
      <c r="G18" s="1327" t="s">
        <v>2428</v>
      </c>
      <c r="H18" s="447"/>
      <c r="I18" s="447"/>
      <c r="J18" s="447"/>
      <c r="K18" s="448"/>
    </row>
    <row r="19" spans="1:14" s="2121" customFormat="1" ht="13.5" customHeight="1">
      <c r="A19" s="1635" t="s">
        <v>1848</v>
      </c>
      <c r="B19" s="459" t="s">
        <v>490</v>
      </c>
      <c r="C19" s="460">
        <f ca="1">ROUND(C18*F19,0)</f>
        <v>3316</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12191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12191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59190</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59190</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261635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92" t="s">
        <v>2981</v>
      </c>
      <c r="F32" s="483">
        <f ca="1">基准地价住宅!C20</f>
        <v>1</v>
      </c>
      <c r="G32" s="2485" t="s">
        <v>2970</v>
      </c>
      <c r="H32" s="483"/>
      <c r="I32" s="483"/>
      <c r="J32" s="483"/>
      <c r="K32" s="485"/>
    </row>
    <row r="33" spans="1:3">
      <c r="A33" s="2126" t="s">
        <v>2982</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467" t="s">
        <v>519</v>
      </c>
      <c r="D6" s="3468"/>
      <c r="E6" s="3467" t="s">
        <v>520</v>
      </c>
      <c r="F6" s="3468"/>
      <c r="G6" s="3467" t="s">
        <v>521</v>
      </c>
      <c r="H6" s="3468"/>
      <c r="I6" s="3467" t="s">
        <v>522</v>
      </c>
      <c r="J6" s="3468"/>
      <c r="K6" s="514" t="s">
        <v>523</v>
      </c>
      <c r="L6" s="2135"/>
      <c r="M6" s="2134"/>
      <c r="N6" s="2134"/>
      <c r="O6" s="2136"/>
      <c r="P6" s="3469" t="s">
        <v>524</v>
      </c>
      <c r="Q6" s="3470"/>
      <c r="R6" s="3455" t="s">
        <v>520</v>
      </c>
      <c r="S6" s="3456"/>
      <c r="T6" s="3455" t="s">
        <v>521</v>
      </c>
      <c r="U6" s="3456"/>
      <c r="V6" s="3475" t="s">
        <v>522</v>
      </c>
      <c r="W6" s="3475"/>
      <c r="X6" s="1568"/>
      <c r="Y6" s="3455" t="s">
        <v>524</v>
      </c>
      <c r="Z6" s="3456"/>
      <c r="AA6" s="3450" t="s">
        <v>520</v>
      </c>
      <c r="AB6" s="3451" t="s">
        <v>521</v>
      </c>
      <c r="AC6" s="3450" t="s">
        <v>522</v>
      </c>
    </row>
    <row r="7" spans="1:30" ht="20.25">
      <c r="A7" s="515"/>
      <c r="B7" s="516"/>
      <c r="C7" s="3478" t="s">
        <v>2925</v>
      </c>
      <c r="D7" s="3479"/>
      <c r="E7" s="3478" t="s">
        <v>2926</v>
      </c>
      <c r="F7" s="3479"/>
      <c r="G7" s="3478" t="s">
        <v>2927</v>
      </c>
      <c r="H7" s="3479"/>
      <c r="I7" s="3478" t="s">
        <v>2928</v>
      </c>
      <c r="J7" s="3479"/>
      <c r="K7" s="514"/>
      <c r="L7" s="2135"/>
      <c r="M7" s="2134"/>
      <c r="N7" s="2134"/>
      <c r="O7" s="2136"/>
      <c r="P7" s="3471"/>
      <c r="Q7" s="3472"/>
      <c r="R7" s="3457"/>
      <c r="S7" s="3458"/>
      <c r="T7" s="3457"/>
      <c r="U7" s="3458"/>
      <c r="V7" s="3475"/>
      <c r="W7" s="3475"/>
      <c r="X7" s="1568"/>
      <c r="Y7" s="3457"/>
      <c r="Z7" s="3458"/>
      <c r="AA7" s="3451"/>
      <c r="AB7" s="3451"/>
      <c r="AC7" s="3451"/>
    </row>
    <row r="8" spans="1:30" ht="21" thickBot="1">
      <c r="A8" s="515"/>
      <c r="B8" s="516"/>
      <c r="C8" s="3480" t="s">
        <v>2929</v>
      </c>
      <c r="D8" s="3481"/>
      <c r="E8" s="3480" t="s">
        <v>2929</v>
      </c>
      <c r="F8" s="3481"/>
      <c r="G8" s="3476" t="s">
        <v>2929</v>
      </c>
      <c r="H8" s="3477"/>
      <c r="I8" s="3476" t="s">
        <v>2929</v>
      </c>
      <c r="J8" s="3477"/>
      <c r="K8" s="514" t="s">
        <v>525</v>
      </c>
      <c r="L8" s="2135"/>
      <c r="M8" s="2134"/>
      <c r="N8" s="2134"/>
      <c r="O8" s="2136"/>
      <c r="P8" s="3473"/>
      <c r="Q8" s="3474"/>
      <c r="R8" s="3457"/>
      <c r="S8" s="3458"/>
      <c r="T8" s="3459"/>
      <c r="U8" s="3460"/>
      <c r="V8" s="3475"/>
      <c r="W8" s="3475"/>
      <c r="X8" s="1568"/>
      <c r="Y8" s="3459"/>
      <c r="Z8" s="3460"/>
      <c r="AA8" s="3452"/>
      <c r="AB8" s="3452"/>
      <c r="AC8" s="3452"/>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53" t="s">
        <v>527</v>
      </c>
      <c r="Q9" s="3462"/>
      <c r="R9" s="1569" t="s">
        <v>8</v>
      </c>
      <c r="S9" s="1570">
        <f t="shared" ref="S9:S17" si="0">F9</f>
        <v>0</v>
      </c>
      <c r="T9" s="1569" t="s">
        <v>8</v>
      </c>
      <c r="U9" s="1570">
        <f t="shared" ref="U9:U17" si="1">H9</f>
        <v>0</v>
      </c>
      <c r="V9" s="1569" t="s">
        <v>8</v>
      </c>
      <c r="W9" s="1570">
        <f t="shared" ref="W9:W17" si="2">J9</f>
        <v>0</v>
      </c>
      <c r="X9" s="1571"/>
      <c r="Y9" s="3453" t="s">
        <v>527</v>
      </c>
      <c r="Z9" s="3454"/>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53" t="s">
        <v>530</v>
      </c>
      <c r="Q10" s="3454"/>
      <c r="R10" s="1569" t="s">
        <v>8</v>
      </c>
      <c r="S10" s="1570">
        <f t="shared" si="0"/>
        <v>0</v>
      </c>
      <c r="T10" s="1569" t="s">
        <v>8</v>
      </c>
      <c r="U10" s="1570">
        <f t="shared" si="1"/>
        <v>0</v>
      </c>
      <c r="V10" s="1569" t="s">
        <v>8</v>
      </c>
      <c r="W10" s="1570">
        <f t="shared" si="2"/>
        <v>0</v>
      </c>
      <c r="X10" s="1571"/>
      <c r="Y10" s="3453" t="s">
        <v>530</v>
      </c>
      <c r="Z10" s="3454"/>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61" t="s">
        <v>532</v>
      </c>
      <c r="Q11" s="1151" t="str">
        <f t="shared" ref="Q11:Q17" si="6">B11</f>
        <v>用途</v>
      </c>
      <c r="R11" s="1569" t="s">
        <v>8</v>
      </c>
      <c r="S11" s="1570">
        <f t="shared" si="0"/>
        <v>100</v>
      </c>
      <c r="T11" s="1569" t="s">
        <v>8</v>
      </c>
      <c r="U11" s="1570">
        <f t="shared" si="1"/>
        <v>100</v>
      </c>
      <c r="V11" s="1569" t="s">
        <v>8</v>
      </c>
      <c r="W11" s="1570">
        <f t="shared" si="2"/>
        <v>100</v>
      </c>
      <c r="X11" s="1571"/>
      <c r="Y11" s="3409"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61"/>
      <c r="Q12" s="1151" t="str">
        <f t="shared" si="6"/>
        <v>土地使用年限（年）</v>
      </c>
      <c r="R12" s="1569" t="s">
        <v>8</v>
      </c>
      <c r="S12" s="1570">
        <f t="shared" si="0"/>
        <v>100</v>
      </c>
      <c r="T12" s="1569" t="s">
        <v>8</v>
      </c>
      <c r="U12" s="1570">
        <f t="shared" si="1"/>
        <v>100</v>
      </c>
      <c r="V12" s="1569" t="s">
        <v>8</v>
      </c>
      <c r="W12" s="1570">
        <f t="shared" si="2"/>
        <v>100</v>
      </c>
      <c r="X12" s="1571"/>
      <c r="Y12" s="3409"/>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61"/>
      <c r="Q13" s="1151" t="str">
        <f t="shared" si="6"/>
        <v>容积率</v>
      </c>
      <c r="R13" s="1569" t="s">
        <v>8</v>
      </c>
      <c r="S13" s="1570" t="e">
        <f t="shared" si="0"/>
        <v>#N/A</v>
      </c>
      <c r="T13" s="1569" t="s">
        <v>8</v>
      </c>
      <c r="U13" s="1570" t="e">
        <f t="shared" si="1"/>
        <v>#N/A</v>
      </c>
      <c r="V13" s="1569" t="s">
        <v>8</v>
      </c>
      <c r="W13" s="1570" t="e">
        <f t="shared" si="2"/>
        <v>#N/A</v>
      </c>
      <c r="X13" s="1571"/>
      <c r="Y13" s="3409"/>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61"/>
      <c r="Q14" s="1151" t="str">
        <f t="shared" si="6"/>
        <v>配建</v>
      </c>
      <c r="R14" s="1569" t="s">
        <v>8</v>
      </c>
      <c r="S14" s="1570">
        <f t="shared" si="0"/>
        <v>100</v>
      </c>
      <c r="T14" s="1569" t="s">
        <v>8</v>
      </c>
      <c r="U14" s="1570">
        <f t="shared" si="1"/>
        <v>100</v>
      </c>
      <c r="V14" s="1569" t="s">
        <v>8</v>
      </c>
      <c r="W14" s="1570">
        <f t="shared" si="2"/>
        <v>100</v>
      </c>
      <c r="X14" s="1571"/>
      <c r="Y14" s="340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61"/>
      <c r="Q15" s="1151">
        <f t="shared" si="6"/>
        <v>111</v>
      </c>
      <c r="R15" s="1569" t="s">
        <v>8</v>
      </c>
      <c r="S15" s="1570">
        <f t="shared" si="0"/>
        <v>100</v>
      </c>
      <c r="T15" s="1569" t="s">
        <v>8</v>
      </c>
      <c r="U15" s="1570">
        <f t="shared" si="1"/>
        <v>100</v>
      </c>
      <c r="V15" s="1569" t="s">
        <v>8</v>
      </c>
      <c r="W15" s="1570">
        <f t="shared" si="2"/>
        <v>100</v>
      </c>
      <c r="X15" s="1571"/>
      <c r="Y15" s="340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61"/>
      <c r="Q16" s="1151">
        <f t="shared" si="6"/>
        <v>111</v>
      </c>
      <c r="R16" s="1569" t="s">
        <v>8</v>
      </c>
      <c r="S16" s="1570">
        <f t="shared" si="0"/>
        <v>100</v>
      </c>
      <c r="T16" s="1569" t="s">
        <v>8</v>
      </c>
      <c r="U16" s="1570">
        <f t="shared" si="1"/>
        <v>100</v>
      </c>
      <c r="V16" s="1569" t="s">
        <v>8</v>
      </c>
      <c r="W16" s="1570">
        <f t="shared" si="2"/>
        <v>100</v>
      </c>
      <c r="X16" s="1571"/>
      <c r="Y16" s="3409"/>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63" t="s">
        <v>537</v>
      </c>
      <c r="Q17" s="1573" t="str">
        <f t="shared" si="6"/>
        <v>居住社区成熟度</v>
      </c>
      <c r="R17" s="1574" t="s">
        <v>8</v>
      </c>
      <c r="S17" s="1575">
        <f t="shared" si="0"/>
        <v>100</v>
      </c>
      <c r="T17" s="1574" t="s">
        <v>8</v>
      </c>
      <c r="U17" s="1575">
        <f t="shared" si="1"/>
        <v>100</v>
      </c>
      <c r="V17" s="1574" t="s">
        <v>8</v>
      </c>
      <c r="W17" s="1575">
        <f t="shared" si="2"/>
        <v>100</v>
      </c>
      <c r="X17" s="1568"/>
      <c r="Y17" s="3463"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64"/>
      <c r="Q18" s="1573"/>
      <c r="R18" s="1574"/>
      <c r="S18" s="1575"/>
      <c r="T18" s="1574"/>
      <c r="U18" s="1575"/>
      <c r="V18" s="1574"/>
      <c r="W18" s="1575"/>
      <c r="X18" s="1568"/>
      <c r="Y18" s="3464"/>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64"/>
      <c r="Q19" s="1573" t="str">
        <f>B19</f>
        <v>商业繁华度</v>
      </c>
      <c r="R19" s="1574" t="s">
        <v>8</v>
      </c>
      <c r="S19" s="1575">
        <f>F19</f>
        <v>100</v>
      </c>
      <c r="T19" s="1574" t="s">
        <v>8</v>
      </c>
      <c r="U19" s="1575">
        <f>H19</f>
        <v>100</v>
      </c>
      <c r="V19" s="1574" t="s">
        <v>8</v>
      </c>
      <c r="W19" s="1575">
        <f>J19</f>
        <v>100</v>
      </c>
      <c r="X19" s="1568"/>
      <c r="Y19" s="3464"/>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64"/>
      <c r="Q20" s="1573"/>
      <c r="R20" s="1574"/>
      <c r="S20" s="1575"/>
      <c r="T20" s="1574"/>
      <c r="U20" s="1575"/>
      <c r="V20" s="1574"/>
      <c r="W20" s="1575"/>
      <c r="X20" s="1568"/>
      <c r="Y20" s="3464"/>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64"/>
      <c r="Q21" s="1573" t="str">
        <f>B21</f>
        <v>办公集聚程度</v>
      </c>
      <c r="R21" s="1574" t="s">
        <v>8</v>
      </c>
      <c r="S21" s="1575">
        <f>F21</f>
        <v>100</v>
      </c>
      <c r="T21" s="1574" t="s">
        <v>8</v>
      </c>
      <c r="U21" s="1575">
        <f>H21</f>
        <v>100</v>
      </c>
      <c r="V21" s="1574" t="s">
        <v>8</v>
      </c>
      <c r="W21" s="1575">
        <f>J21</f>
        <v>100</v>
      </c>
      <c r="X21" s="1568"/>
      <c r="Y21" s="346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64"/>
      <c r="Q22" s="1573"/>
      <c r="R22" s="1574"/>
      <c r="S22" s="1575"/>
      <c r="T22" s="1574"/>
      <c r="U22" s="1575"/>
      <c r="V22" s="1574"/>
      <c r="W22" s="1575"/>
      <c r="X22" s="1568"/>
      <c r="Y22" s="3464"/>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64"/>
      <c r="Q23" s="1573" t="str">
        <f>B23</f>
        <v>交通便捷度</v>
      </c>
      <c r="R23" s="1574" t="s">
        <v>8</v>
      </c>
      <c r="S23" s="1575">
        <f>F23</f>
        <v>100</v>
      </c>
      <c r="T23" s="1574" t="s">
        <v>8</v>
      </c>
      <c r="U23" s="1575">
        <f>H23</f>
        <v>100</v>
      </c>
      <c r="V23" s="1574" t="s">
        <v>8</v>
      </c>
      <c r="W23" s="1575">
        <f>J23</f>
        <v>100</v>
      </c>
      <c r="X23" s="1568"/>
      <c r="Y23" s="3464"/>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64"/>
      <c r="Q24" s="1573"/>
      <c r="R24" s="1574"/>
      <c r="S24" s="1575"/>
      <c r="T24" s="1574"/>
      <c r="U24" s="1575"/>
      <c r="V24" s="1574"/>
      <c r="W24" s="1575"/>
      <c r="X24" s="1568"/>
      <c r="Y24" s="3464"/>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64"/>
      <c r="Q25" s="1573" t="str">
        <f t="shared" ref="Q25:Q39" si="8">B25</f>
        <v>区域土地利用方向</v>
      </c>
      <c r="R25" s="1574" t="s">
        <v>8</v>
      </c>
      <c r="S25" s="1575">
        <f>F25</f>
        <v>100</v>
      </c>
      <c r="T25" s="1574" t="s">
        <v>8</v>
      </c>
      <c r="U25" s="1575">
        <f>H25</f>
        <v>100</v>
      </c>
      <c r="V25" s="1574" t="s">
        <v>8</v>
      </c>
      <c r="W25" s="1575">
        <f>J25</f>
        <v>100</v>
      </c>
      <c r="X25" s="1568"/>
      <c r="Y25" s="346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64"/>
      <c r="Q26" s="1573"/>
      <c r="R26" s="1574"/>
      <c r="S26" s="1575"/>
      <c r="T26" s="1574"/>
      <c r="U26" s="1575"/>
      <c r="V26" s="1574"/>
      <c r="W26" s="1575"/>
      <c r="X26" s="1568"/>
      <c r="Y26" s="3464"/>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64"/>
      <c r="Q27" s="1573" t="str">
        <f t="shared" si="8"/>
        <v>自然及人文环境状况</v>
      </c>
      <c r="R27" s="1574" t="s">
        <v>8</v>
      </c>
      <c r="S27" s="1575">
        <f>F27</f>
        <v>100</v>
      </c>
      <c r="T27" s="1574" t="s">
        <v>8</v>
      </c>
      <c r="U27" s="1575">
        <f>H27</f>
        <v>100</v>
      </c>
      <c r="V27" s="1574" t="s">
        <v>8</v>
      </c>
      <c r="W27" s="1575">
        <f>J27</f>
        <v>100</v>
      </c>
      <c r="X27" s="1568"/>
      <c r="Y27" s="3464"/>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64"/>
      <c r="Q28" s="1573"/>
      <c r="R28" s="1574"/>
      <c r="S28" s="1575"/>
      <c r="T28" s="1574"/>
      <c r="U28" s="1575"/>
      <c r="V28" s="1574"/>
      <c r="W28" s="1575"/>
      <c r="X28" s="1568"/>
      <c r="Y28" s="3464"/>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64"/>
      <c r="Q29" s="1151" t="str">
        <f t="shared" si="8"/>
        <v>公共配套设施</v>
      </c>
      <c r="R29" s="1569" t="s">
        <v>8</v>
      </c>
      <c r="S29" s="1570">
        <f>F29</f>
        <v>100</v>
      </c>
      <c r="T29" s="1569" t="s">
        <v>8</v>
      </c>
      <c r="U29" s="1570">
        <f>H29</f>
        <v>100</v>
      </c>
      <c r="V29" s="1569" t="s">
        <v>8</v>
      </c>
      <c r="W29" s="1570">
        <f>J29</f>
        <v>100</v>
      </c>
      <c r="X29" s="1571"/>
      <c r="Y29" s="3464"/>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64"/>
      <c r="Q30" s="1151"/>
      <c r="R30" s="1569"/>
      <c r="S30" s="1570"/>
      <c r="T30" s="1569"/>
      <c r="U30" s="1570"/>
      <c r="V30" s="1569"/>
      <c r="W30" s="1570"/>
      <c r="X30" s="1571"/>
      <c r="Y30" s="3464"/>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64"/>
      <c r="Q31" s="2580" t="str">
        <f t="shared" ref="Q31" si="9">B31</f>
        <v>基础设施水平</v>
      </c>
      <c r="R31" s="1569" t="s">
        <v>8</v>
      </c>
      <c r="S31" s="1570">
        <f>F31</f>
        <v>100</v>
      </c>
      <c r="T31" s="1569" t="s">
        <v>8</v>
      </c>
      <c r="U31" s="1570">
        <f>H31</f>
        <v>100</v>
      </c>
      <c r="V31" s="1569" t="s">
        <v>8</v>
      </c>
      <c r="W31" s="1570">
        <f>J31</f>
        <v>100</v>
      </c>
      <c r="X31" s="1571"/>
      <c r="Y31" s="3464"/>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64"/>
      <c r="Q32" s="2580"/>
      <c r="R32" s="1569"/>
      <c r="S32" s="1570"/>
      <c r="T32" s="1569"/>
      <c r="U32" s="1570"/>
      <c r="V32" s="1569"/>
      <c r="W32" s="1570"/>
      <c r="X32" s="1571"/>
      <c r="Y32" s="3464"/>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6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64"/>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64"/>
      <c r="Q34" s="1573" t="str">
        <f t="shared" si="8"/>
        <v>毗邻道路的类型与等级</v>
      </c>
      <c r="R34" s="1574" t="s">
        <v>8</v>
      </c>
      <c r="S34" s="1575">
        <f t="shared" si="10"/>
        <v>100</v>
      </c>
      <c r="T34" s="1574" t="s">
        <v>8</v>
      </c>
      <c r="U34" s="1575">
        <f t="shared" si="11"/>
        <v>100</v>
      </c>
      <c r="V34" s="1574" t="s">
        <v>8</v>
      </c>
      <c r="W34" s="1575">
        <f t="shared" si="12"/>
        <v>100</v>
      </c>
      <c r="X34" s="1568"/>
      <c r="Y34" s="346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64"/>
      <c r="Q35" s="1573"/>
      <c r="R35" s="1574"/>
      <c r="S35" s="1575"/>
      <c r="T35" s="1574"/>
      <c r="U35" s="1575"/>
      <c r="V35" s="1574"/>
      <c r="W35" s="1575"/>
      <c r="X35" s="1568"/>
      <c r="Y35" s="3464"/>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64"/>
      <c r="Q36" s="1573" t="str">
        <f t="shared" si="8"/>
        <v>土地级别</v>
      </c>
      <c r="R36" s="1574" t="s">
        <v>8</v>
      </c>
      <c r="S36" s="1575">
        <f t="shared" si="10"/>
        <v>100</v>
      </c>
      <c r="T36" s="1574" t="s">
        <v>8</v>
      </c>
      <c r="U36" s="1575">
        <f t="shared" si="11"/>
        <v>100</v>
      </c>
      <c r="V36" s="1574" t="s">
        <v>8</v>
      </c>
      <c r="W36" s="1575">
        <f t="shared" si="12"/>
        <v>100</v>
      </c>
      <c r="X36" s="1568"/>
      <c r="Y36" s="346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64"/>
      <c r="Q37" s="1573">
        <f t="shared" si="8"/>
        <v>111</v>
      </c>
      <c r="R37" s="1574" t="s">
        <v>8</v>
      </c>
      <c r="S37" s="1575">
        <f t="shared" si="10"/>
        <v>100</v>
      </c>
      <c r="T37" s="1574" t="s">
        <v>8</v>
      </c>
      <c r="U37" s="1575">
        <f t="shared" si="11"/>
        <v>100</v>
      </c>
      <c r="V37" s="1574" t="s">
        <v>8</v>
      </c>
      <c r="W37" s="1575">
        <f t="shared" si="12"/>
        <v>100</v>
      </c>
      <c r="X37" s="1568"/>
      <c r="Y37" s="346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65" t="s">
        <v>547</v>
      </c>
      <c r="Q38" s="1573">
        <f t="shared" si="8"/>
        <v>111</v>
      </c>
      <c r="R38" s="1574" t="s">
        <v>8</v>
      </c>
      <c r="S38" s="1575">
        <f t="shared" si="10"/>
        <v>100</v>
      </c>
      <c r="T38" s="1574" t="s">
        <v>8</v>
      </c>
      <c r="U38" s="1575">
        <f t="shared" si="11"/>
        <v>100</v>
      </c>
      <c r="V38" s="1574" t="s">
        <v>8</v>
      </c>
      <c r="W38" s="1575">
        <f t="shared" si="12"/>
        <v>100</v>
      </c>
      <c r="X38" s="1568"/>
      <c r="Y38" s="3466"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66"/>
      <c r="Q39" s="1573">
        <f t="shared" si="8"/>
        <v>111</v>
      </c>
      <c r="R39" s="1578" t="s">
        <v>8</v>
      </c>
      <c r="S39" s="1579">
        <f t="shared" si="10"/>
        <v>100</v>
      </c>
      <c r="T39" s="1578" t="s">
        <v>8</v>
      </c>
      <c r="U39" s="1579">
        <f t="shared" si="11"/>
        <v>100</v>
      </c>
      <c r="V39" s="1578" t="s">
        <v>8</v>
      </c>
      <c r="W39" s="1579">
        <f t="shared" si="12"/>
        <v>100</v>
      </c>
      <c r="X39" s="1580"/>
      <c r="Y39" s="3466"/>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66"/>
      <c r="Q40" s="1573" t="str">
        <f>B40</f>
        <v>宗地面积</v>
      </c>
      <c r="R40" s="1574" t="s">
        <v>8</v>
      </c>
      <c r="S40" s="1575" t="e">
        <f t="shared" si="10"/>
        <v>#N/A</v>
      </c>
      <c r="T40" s="1574" t="s">
        <v>8</v>
      </c>
      <c r="U40" s="1575" t="e">
        <f t="shared" si="11"/>
        <v>#N/A</v>
      </c>
      <c r="V40" s="1574" t="s">
        <v>8</v>
      </c>
      <c r="W40" s="1575" t="e">
        <f t="shared" si="12"/>
        <v>#N/A</v>
      </c>
      <c r="X40" s="1568"/>
      <c r="Y40" s="3466"/>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66"/>
      <c r="Q41" s="1573" t="str">
        <f t="shared" ref="Q41:Q47" si="14">B41</f>
        <v>宗地形状</v>
      </c>
      <c r="R41" s="1574" t="s">
        <v>8</v>
      </c>
      <c r="S41" s="1575">
        <f t="shared" si="10"/>
        <v>100</v>
      </c>
      <c r="T41" s="1574" t="s">
        <v>8</v>
      </c>
      <c r="U41" s="1575">
        <f t="shared" si="11"/>
        <v>100</v>
      </c>
      <c r="V41" s="1574" t="s">
        <v>8</v>
      </c>
      <c r="W41" s="1575">
        <f t="shared" si="12"/>
        <v>100</v>
      </c>
      <c r="X41" s="1568"/>
      <c r="Y41" s="3466"/>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66"/>
      <c r="Q42" s="1573" t="str">
        <f t="shared" si="14"/>
        <v>临街宽度及深度</v>
      </c>
      <c r="R42" s="1574" t="s">
        <v>8</v>
      </c>
      <c r="S42" s="1575">
        <f t="shared" si="10"/>
        <v>100</v>
      </c>
      <c r="T42" s="1574" t="s">
        <v>8</v>
      </c>
      <c r="U42" s="1575">
        <f t="shared" si="11"/>
        <v>100</v>
      </c>
      <c r="V42" s="1574" t="s">
        <v>8</v>
      </c>
      <c r="W42" s="1575">
        <f t="shared" si="12"/>
        <v>100</v>
      </c>
      <c r="X42" s="1568"/>
      <c r="Y42" s="3466"/>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66"/>
      <c r="Q43" s="1573" t="str">
        <f t="shared" si="14"/>
        <v>宗地开发程度</v>
      </c>
      <c r="R43" s="1569" t="s">
        <v>8</v>
      </c>
      <c r="S43" s="1570">
        <f t="shared" si="10"/>
        <v>100</v>
      </c>
      <c r="T43" s="1569" t="s">
        <v>8</v>
      </c>
      <c r="U43" s="1570">
        <f t="shared" si="11"/>
        <v>100</v>
      </c>
      <c r="V43" s="1569" t="s">
        <v>8</v>
      </c>
      <c r="W43" s="1570">
        <f t="shared" si="12"/>
        <v>100</v>
      </c>
      <c r="X43" s="1571"/>
      <c r="Y43" s="3466"/>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66" t="s">
        <v>547</v>
      </c>
      <c r="Q44" s="1573" t="str">
        <f t="shared" si="14"/>
        <v>工程地质条件</v>
      </c>
      <c r="R44" s="1574" t="s">
        <v>8</v>
      </c>
      <c r="S44" s="1575">
        <f t="shared" si="10"/>
        <v>100</v>
      </c>
      <c r="T44" s="1574" t="s">
        <v>8</v>
      </c>
      <c r="U44" s="1575">
        <f t="shared" si="11"/>
        <v>100</v>
      </c>
      <c r="V44" s="1574" t="s">
        <v>8</v>
      </c>
      <c r="W44" s="1575">
        <f t="shared" si="12"/>
        <v>100</v>
      </c>
      <c r="X44" s="1568"/>
      <c r="Y44" s="3466"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66"/>
      <c r="Q45" s="1573">
        <f t="shared" si="14"/>
        <v>111</v>
      </c>
      <c r="R45" s="1574" t="s">
        <v>8</v>
      </c>
      <c r="S45" s="1575">
        <f t="shared" si="10"/>
        <v>100</v>
      </c>
      <c r="T45" s="1574" t="s">
        <v>8</v>
      </c>
      <c r="U45" s="1575">
        <f t="shared" si="11"/>
        <v>100</v>
      </c>
      <c r="V45" s="1574" t="s">
        <v>8</v>
      </c>
      <c r="W45" s="1575">
        <f t="shared" si="12"/>
        <v>100</v>
      </c>
      <c r="X45" s="1568"/>
      <c r="Y45" s="346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66"/>
      <c r="Q46" s="1573">
        <f t="shared" si="14"/>
        <v>111</v>
      </c>
      <c r="R46" s="1574" t="s">
        <v>8</v>
      </c>
      <c r="S46" s="1575">
        <f t="shared" si="10"/>
        <v>100</v>
      </c>
      <c r="T46" s="1574" t="s">
        <v>8</v>
      </c>
      <c r="U46" s="1575">
        <f t="shared" si="11"/>
        <v>100</v>
      </c>
      <c r="V46" s="1574" t="s">
        <v>8</v>
      </c>
      <c r="W46" s="1575">
        <f t="shared" si="12"/>
        <v>100</v>
      </c>
      <c r="X46" s="1568"/>
      <c r="Y46" s="346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66"/>
      <c r="Q47" s="1573">
        <f t="shared" si="14"/>
        <v>111</v>
      </c>
      <c r="R47" s="1578" t="s">
        <v>8</v>
      </c>
      <c r="S47" s="1579">
        <f t="shared" si="10"/>
        <v>100</v>
      </c>
      <c r="T47" s="1578" t="s">
        <v>8</v>
      </c>
      <c r="U47" s="1579">
        <f t="shared" si="11"/>
        <v>100</v>
      </c>
      <c r="V47" s="1578" t="s">
        <v>8</v>
      </c>
      <c r="W47" s="1579">
        <f t="shared" si="12"/>
        <v>100</v>
      </c>
      <c r="X47" s="1580"/>
      <c r="Y47" s="3466"/>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61" t="str">
        <f>A48</f>
        <v>成交单价</v>
      </c>
      <c r="Q48" s="3461"/>
      <c r="R48" s="3475">
        <f>E48</f>
        <v>0</v>
      </c>
      <c r="S48" s="3475"/>
      <c r="T48" s="3475">
        <f>G48</f>
        <v>0</v>
      </c>
      <c r="U48" s="3475"/>
      <c r="V48" s="3475">
        <f>I48</f>
        <v>0</v>
      </c>
      <c r="W48" s="3475"/>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61" t="str">
        <f>A49</f>
        <v>比较价格（元/平方米）</v>
      </c>
      <c r="Q49" s="3461"/>
      <c r="R49" s="3485" t="e">
        <f>ROUND(PRODUCT(R48,AA9:AA47),0)</f>
        <v>#DIV/0!</v>
      </c>
      <c r="S49" s="3485"/>
      <c r="T49" s="3485" t="e">
        <f>ROUND(PRODUCT(T48,AB9:AB47),0)</f>
        <v>#DIV/0!</v>
      </c>
      <c r="U49" s="3485"/>
      <c r="V49" s="3485" t="e">
        <f>ROUND(PRODUCT(V48,AC9:AC47),0)</f>
        <v>#DIV/0!</v>
      </c>
      <c r="W49" s="3485"/>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82" t="str">
        <f>A50</f>
        <v>估价对象XX用房的比较价格（楼面单价，元/平方米）</v>
      </c>
      <c r="Q50" s="3483"/>
      <c r="R50" s="3484" t="e">
        <f>ROUND(AVERAGE(R49:V49),0)</f>
        <v>#DIV/0!</v>
      </c>
      <c r="S50" s="3484"/>
      <c r="T50" s="3484"/>
      <c r="U50" s="3484"/>
      <c r="V50" s="3484"/>
      <c r="W50" s="348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45" t="s">
        <v>2277</v>
      </c>
      <c r="H57" s="3446"/>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292155</v>
      </c>
      <c r="F58" s="636" t="e">
        <f t="shared" ref="F58:F67" si="15">ROUND(B58*E58/10000,0)</f>
        <v>#DIV/0!</v>
      </c>
      <c r="G58" s="3447"/>
      <c r="H58" s="344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49"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49"/>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49"/>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49"/>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128587.91</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467" t="s">
        <v>519</v>
      </c>
      <c r="D6" s="3468"/>
      <c r="E6" s="3491" t="s">
        <v>520</v>
      </c>
      <c r="F6" s="3492"/>
      <c r="G6" s="3467" t="s">
        <v>521</v>
      </c>
      <c r="H6" s="3468"/>
      <c r="I6" s="3467" t="s">
        <v>522</v>
      </c>
      <c r="J6" s="3468"/>
      <c r="K6" s="514" t="s">
        <v>523</v>
      </c>
      <c r="L6" s="2135"/>
      <c r="M6" s="2136"/>
      <c r="N6" s="2136"/>
      <c r="O6" s="2136"/>
      <c r="P6" s="3469" t="s">
        <v>524</v>
      </c>
      <c r="Q6" s="3470"/>
      <c r="R6" s="3455" t="s">
        <v>520</v>
      </c>
      <c r="S6" s="3456"/>
      <c r="T6" s="3455" t="s">
        <v>521</v>
      </c>
      <c r="U6" s="3456"/>
      <c r="V6" s="3475" t="s">
        <v>522</v>
      </c>
      <c r="W6" s="3475"/>
      <c r="X6" s="1568"/>
      <c r="Y6" s="3455" t="s">
        <v>524</v>
      </c>
      <c r="Z6" s="3456"/>
      <c r="AA6" s="3450" t="s">
        <v>520</v>
      </c>
      <c r="AB6" s="3451" t="s">
        <v>521</v>
      </c>
      <c r="AC6" s="3450" t="s">
        <v>522</v>
      </c>
    </row>
    <row r="7" spans="1:29" ht="15">
      <c r="A7" s="515"/>
      <c r="B7" s="516"/>
      <c r="C7" s="3478" t="s">
        <v>2925</v>
      </c>
      <c r="D7" s="3479"/>
      <c r="E7" s="3493" t="s">
        <v>2926</v>
      </c>
      <c r="F7" s="3494"/>
      <c r="G7" s="3478" t="s">
        <v>2927</v>
      </c>
      <c r="H7" s="3479"/>
      <c r="I7" s="3478" t="s">
        <v>2928</v>
      </c>
      <c r="J7" s="3479"/>
      <c r="K7" s="514"/>
      <c r="L7" s="2135"/>
      <c r="M7" s="2136"/>
      <c r="N7" s="2136"/>
      <c r="O7" s="2136"/>
      <c r="P7" s="3471"/>
      <c r="Q7" s="3472"/>
      <c r="R7" s="3457"/>
      <c r="S7" s="3458"/>
      <c r="T7" s="3457"/>
      <c r="U7" s="3458"/>
      <c r="V7" s="3475"/>
      <c r="W7" s="3475"/>
      <c r="X7" s="1568"/>
      <c r="Y7" s="3457"/>
      <c r="Z7" s="3458"/>
      <c r="AA7" s="3451"/>
      <c r="AB7" s="3451"/>
      <c r="AC7" s="3451"/>
    </row>
    <row r="8" spans="1:29" ht="15.75" thickBot="1">
      <c r="A8" s="517"/>
      <c r="B8" s="518"/>
      <c r="C8" s="3476" t="s">
        <v>2929</v>
      </c>
      <c r="D8" s="3477"/>
      <c r="E8" s="3495" t="s">
        <v>2929</v>
      </c>
      <c r="F8" s="3496"/>
      <c r="G8" s="3476" t="s">
        <v>2929</v>
      </c>
      <c r="H8" s="3477"/>
      <c r="I8" s="3476" t="s">
        <v>2929</v>
      </c>
      <c r="J8" s="3477"/>
      <c r="K8" s="514" t="s">
        <v>525</v>
      </c>
      <c r="L8" s="2135"/>
      <c r="M8" s="2136"/>
      <c r="N8" s="2136"/>
      <c r="O8" s="2136"/>
      <c r="P8" s="3473"/>
      <c r="Q8" s="3474"/>
      <c r="R8" s="3457"/>
      <c r="S8" s="3458"/>
      <c r="T8" s="3459"/>
      <c r="U8" s="3460"/>
      <c r="V8" s="3475"/>
      <c r="W8" s="3475"/>
      <c r="X8" s="1568"/>
      <c r="Y8" s="3459"/>
      <c r="Z8" s="3460"/>
      <c r="AA8" s="3452"/>
      <c r="AB8" s="3452"/>
      <c r="AC8" s="3452"/>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53" t="s">
        <v>527</v>
      </c>
      <c r="Q9" s="3462"/>
      <c r="R9" s="1569" t="s">
        <v>8</v>
      </c>
      <c r="S9" s="1570">
        <f t="shared" ref="S9:S17" si="0">F9</f>
        <v>0</v>
      </c>
      <c r="T9" s="1569" t="s">
        <v>8</v>
      </c>
      <c r="U9" s="1570">
        <f t="shared" ref="U9:U17" si="1">H9</f>
        <v>0</v>
      </c>
      <c r="V9" s="1569" t="s">
        <v>8</v>
      </c>
      <c r="W9" s="1570">
        <f t="shared" ref="W9:W17" si="2">J9</f>
        <v>0</v>
      </c>
      <c r="X9" s="1571"/>
      <c r="Y9" s="3453" t="s">
        <v>527</v>
      </c>
      <c r="Z9" s="3454"/>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53" t="s">
        <v>530</v>
      </c>
      <c r="Q10" s="3454"/>
      <c r="R10" s="1569" t="s">
        <v>8</v>
      </c>
      <c r="S10" s="1570">
        <f t="shared" si="0"/>
        <v>0</v>
      </c>
      <c r="T10" s="1569" t="s">
        <v>8</v>
      </c>
      <c r="U10" s="1570">
        <f t="shared" si="1"/>
        <v>0</v>
      </c>
      <c r="V10" s="1569" t="s">
        <v>8</v>
      </c>
      <c r="W10" s="1570">
        <f t="shared" si="2"/>
        <v>0</v>
      </c>
      <c r="X10" s="1571"/>
      <c r="Y10" s="3453" t="s">
        <v>530</v>
      </c>
      <c r="Z10" s="3454"/>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61" t="s">
        <v>532</v>
      </c>
      <c r="Q11" s="1151" t="str">
        <f t="shared" ref="Q11:Q17" si="6">B11</f>
        <v>用途</v>
      </c>
      <c r="R11" s="1569" t="s">
        <v>8</v>
      </c>
      <c r="S11" s="1570">
        <f t="shared" si="0"/>
        <v>100</v>
      </c>
      <c r="T11" s="1569" t="s">
        <v>8</v>
      </c>
      <c r="U11" s="1570">
        <f t="shared" si="1"/>
        <v>100</v>
      </c>
      <c r="V11" s="1569" t="s">
        <v>8</v>
      </c>
      <c r="W11" s="1570">
        <f t="shared" si="2"/>
        <v>100</v>
      </c>
      <c r="X11" s="1571"/>
      <c r="Y11" s="3409"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61"/>
      <c r="Q12" s="1151" t="str">
        <f t="shared" si="6"/>
        <v>土地使用年限（年）</v>
      </c>
      <c r="R12" s="1569" t="s">
        <v>8</v>
      </c>
      <c r="S12" s="1570">
        <f t="shared" si="0"/>
        <v>100</v>
      </c>
      <c r="T12" s="1569" t="s">
        <v>8</v>
      </c>
      <c r="U12" s="1570">
        <f t="shared" si="1"/>
        <v>100</v>
      </c>
      <c r="V12" s="1569" t="s">
        <v>8</v>
      </c>
      <c r="W12" s="1570">
        <f t="shared" si="2"/>
        <v>100</v>
      </c>
      <c r="X12" s="1571"/>
      <c r="Y12" s="3409"/>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61"/>
      <c r="Q13" s="1151" t="str">
        <f t="shared" si="6"/>
        <v>容积率</v>
      </c>
      <c r="R13" s="1569" t="s">
        <v>8</v>
      </c>
      <c r="S13" s="1570" t="e">
        <f t="shared" si="0"/>
        <v>#N/A</v>
      </c>
      <c r="T13" s="1569" t="s">
        <v>8</v>
      </c>
      <c r="U13" s="1570" t="e">
        <f t="shared" si="1"/>
        <v>#N/A</v>
      </c>
      <c r="V13" s="1569" t="s">
        <v>8</v>
      </c>
      <c r="W13" s="1570" t="e">
        <f t="shared" si="2"/>
        <v>#N/A</v>
      </c>
      <c r="X13" s="1571"/>
      <c r="Y13" s="340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61"/>
      <c r="Q15" s="1151">
        <f t="shared" si="6"/>
        <v>111</v>
      </c>
      <c r="R15" s="1569" t="s">
        <v>8</v>
      </c>
      <c r="S15" s="1570">
        <f t="shared" si="0"/>
        <v>100</v>
      </c>
      <c r="T15" s="1569" t="s">
        <v>8</v>
      </c>
      <c r="U15" s="1570">
        <f t="shared" si="1"/>
        <v>100</v>
      </c>
      <c r="V15" s="1569" t="s">
        <v>8</v>
      </c>
      <c r="W15" s="1570">
        <f t="shared" si="2"/>
        <v>100</v>
      </c>
      <c r="X15" s="1571"/>
      <c r="Y15" s="340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61"/>
      <c r="Q16" s="1151">
        <f t="shared" si="6"/>
        <v>111</v>
      </c>
      <c r="R16" s="1569" t="s">
        <v>8</v>
      </c>
      <c r="S16" s="1570">
        <f t="shared" si="0"/>
        <v>100</v>
      </c>
      <c r="T16" s="1569" t="s">
        <v>8</v>
      </c>
      <c r="U16" s="1570">
        <f t="shared" si="1"/>
        <v>100</v>
      </c>
      <c r="V16" s="1569" t="s">
        <v>8</v>
      </c>
      <c r="W16" s="1570">
        <f t="shared" si="2"/>
        <v>100</v>
      </c>
      <c r="X16" s="1571"/>
      <c r="Y16" s="3409"/>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63" t="s">
        <v>537</v>
      </c>
      <c r="Q17" s="1573" t="str">
        <f t="shared" si="6"/>
        <v>产业集聚程度</v>
      </c>
      <c r="R17" s="1574" t="s">
        <v>8</v>
      </c>
      <c r="S17" s="1575">
        <f t="shared" si="0"/>
        <v>100</v>
      </c>
      <c r="T17" s="1574" t="s">
        <v>8</v>
      </c>
      <c r="U17" s="1575">
        <f t="shared" si="1"/>
        <v>100</v>
      </c>
      <c r="V17" s="1574" t="s">
        <v>8</v>
      </c>
      <c r="W17" s="1575">
        <f t="shared" si="2"/>
        <v>100</v>
      </c>
      <c r="X17" s="1568"/>
      <c r="Y17" s="3463"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64"/>
      <c r="Q18" s="1573"/>
      <c r="R18" s="1574"/>
      <c r="S18" s="1575"/>
      <c r="T18" s="1574"/>
      <c r="U18" s="1575"/>
      <c r="V18" s="1574"/>
      <c r="W18" s="1575"/>
      <c r="X18" s="1568"/>
      <c r="Y18" s="3464"/>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64"/>
      <c r="Q19" s="1573" t="str">
        <f>B19</f>
        <v>交通便捷度</v>
      </c>
      <c r="R19" s="1574" t="s">
        <v>8</v>
      </c>
      <c r="S19" s="1575">
        <f>F19</f>
        <v>100</v>
      </c>
      <c r="T19" s="1574" t="s">
        <v>8</v>
      </c>
      <c r="U19" s="1575">
        <f>H19</f>
        <v>100</v>
      </c>
      <c r="V19" s="1574" t="s">
        <v>8</v>
      </c>
      <c r="W19" s="1575">
        <f>J19</f>
        <v>100</v>
      </c>
      <c r="X19" s="1568"/>
      <c r="Y19" s="346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64"/>
      <c r="Q21" s="1573" t="str">
        <f t="shared" ref="Q21:Q35" si="8">B21</f>
        <v>区域土地利用方向</v>
      </c>
      <c r="R21" s="1574" t="s">
        <v>8</v>
      </c>
      <c r="S21" s="1575">
        <f>F21</f>
        <v>100</v>
      </c>
      <c r="T21" s="1574" t="s">
        <v>8</v>
      </c>
      <c r="U21" s="1575">
        <f>H21</f>
        <v>100</v>
      </c>
      <c r="V21" s="1574" t="s">
        <v>8</v>
      </c>
      <c r="W21" s="1575">
        <f>J21</f>
        <v>100</v>
      </c>
      <c r="X21" s="1568"/>
      <c r="Y21" s="346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64"/>
      <c r="Q22" s="1573"/>
      <c r="R22" s="1574"/>
      <c r="S22" s="1575"/>
      <c r="T22" s="1574"/>
      <c r="U22" s="1575"/>
      <c r="V22" s="1574"/>
      <c r="W22" s="1575"/>
      <c r="X22" s="1568"/>
      <c r="Y22" s="3464"/>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64"/>
      <c r="Q23" s="1573" t="str">
        <f t="shared" si="8"/>
        <v>环境状况</v>
      </c>
      <c r="R23" s="1574" t="s">
        <v>8</v>
      </c>
      <c r="S23" s="1575">
        <f>F23</f>
        <v>100</v>
      </c>
      <c r="T23" s="1574" t="s">
        <v>8</v>
      </c>
      <c r="U23" s="1575">
        <f>H23</f>
        <v>100</v>
      </c>
      <c r="V23" s="1574" t="s">
        <v>8</v>
      </c>
      <c r="W23" s="1575">
        <f>J23</f>
        <v>100</v>
      </c>
      <c r="X23" s="1568"/>
      <c r="Y23" s="346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64"/>
      <c r="Q24" s="1573"/>
      <c r="R24" s="1574"/>
      <c r="S24" s="1575"/>
      <c r="T24" s="1574"/>
      <c r="U24" s="1575"/>
      <c r="V24" s="1574"/>
      <c r="W24" s="1575"/>
      <c r="X24" s="1568"/>
      <c r="Y24" s="3464"/>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64"/>
      <c r="Q25" s="1151" t="str">
        <f t="shared" si="8"/>
        <v>公共配套设施</v>
      </c>
      <c r="R25" s="1569" t="s">
        <v>8</v>
      </c>
      <c r="S25" s="1570">
        <f>F25</f>
        <v>100</v>
      </c>
      <c r="T25" s="1569" t="s">
        <v>8</v>
      </c>
      <c r="U25" s="1570">
        <f>H25</f>
        <v>100</v>
      </c>
      <c r="V25" s="1569" t="s">
        <v>8</v>
      </c>
      <c r="W25" s="1570">
        <f>J25</f>
        <v>100</v>
      </c>
      <c r="X25" s="1571"/>
      <c r="Y25" s="3464"/>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64"/>
      <c r="Q26" s="1151"/>
      <c r="R26" s="1569"/>
      <c r="S26" s="1570"/>
      <c r="T26" s="1569"/>
      <c r="U26" s="1570"/>
      <c r="V26" s="1569"/>
      <c r="W26" s="1570"/>
      <c r="X26" s="1571"/>
      <c r="Y26" s="3464"/>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64"/>
      <c r="Q27" s="2580" t="str">
        <f t="shared" ref="Q27" si="9">B27</f>
        <v>基础设施水平</v>
      </c>
      <c r="R27" s="1569" t="s">
        <v>8</v>
      </c>
      <c r="S27" s="1570">
        <f>F27</f>
        <v>100</v>
      </c>
      <c r="T27" s="1569" t="s">
        <v>8</v>
      </c>
      <c r="U27" s="1570">
        <f>H27</f>
        <v>100</v>
      </c>
      <c r="V27" s="1569" t="s">
        <v>8</v>
      </c>
      <c r="W27" s="1570">
        <f>J27</f>
        <v>100</v>
      </c>
      <c r="X27" s="1571"/>
      <c r="Y27" s="3464"/>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64"/>
      <c r="Q28" s="2580"/>
      <c r="R28" s="1569"/>
      <c r="S28" s="1570"/>
      <c r="T28" s="1569"/>
      <c r="U28" s="1570"/>
      <c r="V28" s="1569"/>
      <c r="W28" s="1570"/>
      <c r="X28" s="1571"/>
      <c r="Y28" s="3464"/>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6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64"/>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64"/>
      <c r="Q30" s="1573" t="str">
        <f t="shared" si="8"/>
        <v>毗邻道路的类型与等级</v>
      </c>
      <c r="R30" s="1574" t="s">
        <v>8</v>
      </c>
      <c r="S30" s="1575">
        <f t="shared" si="10"/>
        <v>100</v>
      </c>
      <c r="T30" s="1574" t="s">
        <v>8</v>
      </c>
      <c r="U30" s="1575">
        <f t="shared" si="11"/>
        <v>100</v>
      </c>
      <c r="V30" s="1574" t="s">
        <v>8</v>
      </c>
      <c r="W30" s="1575">
        <f t="shared" si="12"/>
        <v>100</v>
      </c>
      <c r="X30" s="1568"/>
      <c r="Y30" s="346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64"/>
      <c r="Q31" s="1573"/>
      <c r="R31" s="1574"/>
      <c r="S31" s="1575"/>
      <c r="T31" s="1574"/>
      <c r="U31" s="1575"/>
      <c r="V31" s="1574"/>
      <c r="W31" s="1575"/>
      <c r="X31" s="1568"/>
      <c r="Y31" s="3464"/>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64"/>
      <c r="Q32" s="1573" t="str">
        <f t="shared" si="8"/>
        <v>土地级别</v>
      </c>
      <c r="R32" s="1574" t="s">
        <v>8</v>
      </c>
      <c r="S32" s="1575">
        <f t="shared" si="10"/>
        <v>100</v>
      </c>
      <c r="T32" s="1574" t="s">
        <v>8</v>
      </c>
      <c r="U32" s="1575">
        <f t="shared" si="11"/>
        <v>100</v>
      </c>
      <c r="V32" s="1574" t="s">
        <v>8</v>
      </c>
      <c r="W32" s="1575">
        <f t="shared" si="12"/>
        <v>100</v>
      </c>
      <c r="X32" s="1568"/>
      <c r="Y32" s="346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64"/>
      <c r="Q33" s="1573">
        <f t="shared" si="8"/>
        <v>111</v>
      </c>
      <c r="R33" s="1574" t="s">
        <v>8</v>
      </c>
      <c r="S33" s="1575">
        <f t="shared" si="10"/>
        <v>100</v>
      </c>
      <c r="T33" s="1574" t="s">
        <v>8</v>
      </c>
      <c r="U33" s="1575">
        <f t="shared" si="11"/>
        <v>100</v>
      </c>
      <c r="V33" s="1574" t="s">
        <v>8</v>
      </c>
      <c r="W33" s="1575">
        <f t="shared" si="12"/>
        <v>100</v>
      </c>
      <c r="X33" s="1568"/>
      <c r="Y33" s="346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65" t="s">
        <v>547</v>
      </c>
      <c r="Q34" s="1573">
        <f t="shared" si="8"/>
        <v>111</v>
      </c>
      <c r="R34" s="1574" t="s">
        <v>8</v>
      </c>
      <c r="S34" s="1575">
        <f t="shared" si="10"/>
        <v>100</v>
      </c>
      <c r="T34" s="1574" t="s">
        <v>8</v>
      </c>
      <c r="U34" s="1575">
        <f t="shared" si="11"/>
        <v>100</v>
      </c>
      <c r="V34" s="1574" t="s">
        <v>8</v>
      </c>
      <c r="W34" s="1575">
        <f t="shared" si="12"/>
        <v>100</v>
      </c>
      <c r="X34" s="1568"/>
      <c r="Y34" s="3466"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66"/>
      <c r="Q35" s="1573">
        <f t="shared" si="8"/>
        <v>111</v>
      </c>
      <c r="R35" s="1578" t="s">
        <v>8</v>
      </c>
      <c r="S35" s="1579">
        <f t="shared" si="10"/>
        <v>100</v>
      </c>
      <c r="T35" s="1578" t="s">
        <v>8</v>
      </c>
      <c r="U35" s="1579">
        <f t="shared" si="11"/>
        <v>100</v>
      </c>
      <c r="V35" s="1578" t="s">
        <v>8</v>
      </c>
      <c r="W35" s="1579">
        <f t="shared" si="12"/>
        <v>100</v>
      </c>
      <c r="X35" s="1580"/>
      <c r="Y35" s="3466"/>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66"/>
      <c r="Q36" s="1573" t="str">
        <f>B36</f>
        <v>宗地面积</v>
      </c>
      <c r="R36" s="1574" t="s">
        <v>8</v>
      </c>
      <c r="S36" s="1575" t="e">
        <f t="shared" si="10"/>
        <v>#N/A</v>
      </c>
      <c r="T36" s="1574" t="s">
        <v>8</v>
      </c>
      <c r="U36" s="1575" t="e">
        <f t="shared" si="11"/>
        <v>#N/A</v>
      </c>
      <c r="V36" s="1574" t="s">
        <v>8</v>
      </c>
      <c r="W36" s="1575" t="e">
        <f t="shared" si="12"/>
        <v>#N/A</v>
      </c>
      <c r="X36" s="1568"/>
      <c r="Y36" s="3466"/>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66"/>
      <c r="Q37" s="1573" t="str">
        <f t="shared" ref="Q37:Q42" si="14">B37</f>
        <v>宗地形状</v>
      </c>
      <c r="R37" s="1574" t="s">
        <v>8</v>
      </c>
      <c r="S37" s="1575">
        <f t="shared" si="10"/>
        <v>100</v>
      </c>
      <c r="T37" s="1574" t="s">
        <v>8</v>
      </c>
      <c r="U37" s="1575">
        <f t="shared" si="11"/>
        <v>100</v>
      </c>
      <c r="V37" s="1574" t="s">
        <v>8</v>
      </c>
      <c r="W37" s="1575">
        <f t="shared" si="12"/>
        <v>100</v>
      </c>
      <c r="X37" s="1568"/>
      <c r="Y37" s="3466"/>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66"/>
      <c r="Q38" s="1573" t="str">
        <f t="shared" si="14"/>
        <v>宗地开发程度</v>
      </c>
      <c r="R38" s="1569" t="s">
        <v>8</v>
      </c>
      <c r="S38" s="1570">
        <f t="shared" si="10"/>
        <v>100</v>
      </c>
      <c r="T38" s="1569" t="s">
        <v>8</v>
      </c>
      <c r="U38" s="1570">
        <f t="shared" si="11"/>
        <v>100</v>
      </c>
      <c r="V38" s="1569" t="s">
        <v>8</v>
      </c>
      <c r="W38" s="1570">
        <f t="shared" si="12"/>
        <v>100</v>
      </c>
      <c r="X38" s="1571"/>
      <c r="Y38" s="3466"/>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6" t="s">
        <v>598</v>
      </c>
      <c r="Q39" s="1573" t="str">
        <f t="shared" si="14"/>
        <v>工程地质条件</v>
      </c>
      <c r="R39" s="1574" t="s">
        <v>8</v>
      </c>
      <c r="S39" s="1575">
        <f t="shared" si="10"/>
        <v>100</v>
      </c>
      <c r="T39" s="1574" t="s">
        <v>8</v>
      </c>
      <c r="U39" s="1575">
        <f t="shared" si="11"/>
        <v>100</v>
      </c>
      <c r="V39" s="1574" t="s">
        <v>8</v>
      </c>
      <c r="W39" s="1575">
        <f t="shared" si="12"/>
        <v>100</v>
      </c>
      <c r="X39" s="1568"/>
      <c r="Y39" s="3466"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66"/>
      <c r="Q40" s="1573">
        <f t="shared" si="14"/>
        <v>111</v>
      </c>
      <c r="R40" s="1574" t="s">
        <v>8</v>
      </c>
      <c r="S40" s="1575">
        <f t="shared" si="10"/>
        <v>100</v>
      </c>
      <c r="T40" s="1574" t="s">
        <v>8</v>
      </c>
      <c r="U40" s="1575">
        <f t="shared" si="11"/>
        <v>100</v>
      </c>
      <c r="V40" s="1574" t="s">
        <v>8</v>
      </c>
      <c r="W40" s="1575">
        <f t="shared" si="12"/>
        <v>100</v>
      </c>
      <c r="X40" s="1568"/>
      <c r="Y40" s="346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66"/>
      <c r="Q41" s="1573">
        <f t="shared" si="14"/>
        <v>111</v>
      </c>
      <c r="R41" s="1574" t="s">
        <v>8</v>
      </c>
      <c r="S41" s="1575">
        <f t="shared" si="10"/>
        <v>100</v>
      </c>
      <c r="T41" s="1574" t="s">
        <v>8</v>
      </c>
      <c r="U41" s="1575">
        <f t="shared" si="11"/>
        <v>100</v>
      </c>
      <c r="V41" s="1574" t="s">
        <v>8</v>
      </c>
      <c r="W41" s="1575">
        <f t="shared" si="12"/>
        <v>100</v>
      </c>
      <c r="X41" s="1568"/>
      <c r="Y41" s="346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66"/>
      <c r="Q42" s="1573">
        <f t="shared" si="14"/>
        <v>111</v>
      </c>
      <c r="R42" s="1578" t="s">
        <v>8</v>
      </c>
      <c r="S42" s="1579">
        <f t="shared" si="10"/>
        <v>100</v>
      </c>
      <c r="T42" s="1578" t="s">
        <v>8</v>
      </c>
      <c r="U42" s="1579">
        <f t="shared" si="11"/>
        <v>100</v>
      </c>
      <c r="V42" s="1578" t="s">
        <v>8</v>
      </c>
      <c r="W42" s="1579">
        <f t="shared" si="12"/>
        <v>100</v>
      </c>
      <c r="X42" s="1580"/>
      <c r="Y42" s="3466"/>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61" t="str">
        <f>A43</f>
        <v>成交单价</v>
      </c>
      <c r="Q43" s="3461"/>
      <c r="R43" s="3475">
        <f>E43</f>
        <v>0</v>
      </c>
      <c r="S43" s="3475"/>
      <c r="T43" s="3475">
        <f>G43</f>
        <v>0</v>
      </c>
      <c r="U43" s="3475"/>
      <c r="V43" s="3475">
        <f>I43</f>
        <v>0</v>
      </c>
      <c r="W43" s="3475"/>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61" t="str">
        <f>A44</f>
        <v>比较价格（元/平方米）</v>
      </c>
      <c r="Q44" s="3461"/>
      <c r="R44" s="3485" t="e">
        <f>ROUND(PRODUCT(R43,AA9:AA42),0)</f>
        <v>#DIV/0!</v>
      </c>
      <c r="S44" s="3485"/>
      <c r="T44" s="3485" t="e">
        <f>ROUND(PRODUCT(T43,AB9:AB42),0)</f>
        <v>#DIV/0!</v>
      </c>
      <c r="U44" s="3485"/>
      <c r="V44" s="3485" t="e">
        <f>ROUND(PRODUCT(V43,AC9:AC42),0)</f>
        <v>#DIV/0!</v>
      </c>
      <c r="W44" s="3485"/>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82" t="str">
        <f>A45</f>
        <v>估价对象XX用房的比较价格（楼面单价，元/平方米）</v>
      </c>
      <c r="Q45" s="3483"/>
      <c r="R45" s="3484" t="e">
        <f>ROUND(AVERAGE(R44:V44),0)</f>
        <v>#DIV/0!</v>
      </c>
      <c r="S45" s="3484"/>
      <c r="T45" s="3484"/>
      <c r="U45" s="3484"/>
      <c r="V45" s="3484"/>
      <c r="W45" s="348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486" t="s">
        <v>2280</v>
      </c>
      <c r="H52" s="3487"/>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292155</v>
      </c>
      <c r="F53" s="1952" t="e">
        <f t="shared" ref="F53:F62" si="15">ROUND(B53*E53/10000,0)</f>
        <v>#DIV/0!</v>
      </c>
      <c r="G53" s="3488"/>
      <c r="H53" s="348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490"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490"/>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490"/>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490"/>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128587.91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3" zoomScale="90" zoomScaleNormal="90" workbookViewId="0">
      <selection activeCell="C75" sqref="C7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292155</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156420</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11657</v>
      </c>
      <c r="U2" s="2928"/>
      <c r="V2" s="2939">
        <f ca="1">ROUND(T2*U2/10000,0)</f>
        <v>0</v>
      </c>
      <c r="W2" s="2191"/>
      <c r="X2" s="2191"/>
      <c r="Y2" s="2191"/>
      <c r="Z2" s="2191"/>
      <c r="AA2" s="2191"/>
      <c r="AB2" s="2191"/>
      <c r="AC2" s="2192"/>
    </row>
    <row r="3" spans="1:39" ht="24">
      <c r="A3" s="1412" t="s">
        <v>1681</v>
      </c>
      <c r="B3" s="1038">
        <f ca="1">ROUND(B2*10000/D1,0)</f>
        <v>5354</v>
      </c>
      <c r="C3" s="1408" t="s">
        <v>924</v>
      </c>
      <c r="D3" s="1409" t="s">
        <v>925</v>
      </c>
      <c r="E3" s="1413" t="s">
        <v>3002</v>
      </c>
      <c r="F3" s="1414" t="s">
        <v>3042</v>
      </c>
      <c r="G3" s="1039">
        <f>IF(F3="宗地容积率",'数据-汇总表'!I4,IF(F3="估价对象容积率",'数据-汇总表'!I6,'数据-汇总表'!I7))</f>
        <v>2.25</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7683</v>
      </c>
      <c r="U3" s="2928"/>
      <c r="V3" s="2939">
        <f t="shared" ref="V3:V16" ca="1" si="1">ROUND(T3*U3/10000,0)</f>
        <v>0</v>
      </c>
      <c r="W3" s="2191"/>
      <c r="X3" s="2191"/>
      <c r="Y3" s="2191"/>
      <c r="Z3" s="2191"/>
      <c r="AA3" s="2191"/>
      <c r="AB3" s="2191"/>
      <c r="AC3" s="2192"/>
    </row>
    <row r="4" spans="1:39" ht="28.5">
      <c r="A4" s="1893" t="s">
        <v>2276</v>
      </c>
      <c r="B4" s="2455">
        <f ca="1">ROUND(B2*10000/F1,0)</f>
        <v>8736</v>
      </c>
      <c r="C4" s="1896" t="s">
        <v>2250</v>
      </c>
      <c r="D4" s="1896">
        <f ca="1">ROUND(B2/(F1/666.67),0)</f>
        <v>582</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6046</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4517</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3397</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2716</v>
      </c>
      <c r="U7" s="2928"/>
      <c r="V7" s="2939">
        <f t="shared" ca="1" si="1"/>
        <v>0</v>
      </c>
      <c r="W7" s="2937" t="s">
        <v>2760</v>
      </c>
      <c r="X7" s="2929" t="str">
        <f>G2</f>
        <v>九级</v>
      </c>
      <c r="Y7" s="2929" t="s">
        <v>2761</v>
      </c>
      <c r="Z7" s="2930">
        <f>G3</f>
        <v>2.25</v>
      </c>
      <c r="AA7" s="2194"/>
      <c r="AB7" s="2194"/>
      <c r="AC7" s="2195"/>
      <c r="AD7" s="2931"/>
      <c r="AE7" s="2931"/>
      <c r="AF7" s="2931"/>
      <c r="AG7" s="2931"/>
      <c r="AH7" s="2931"/>
      <c r="AI7" s="2931"/>
      <c r="AJ7" s="2932"/>
    </row>
    <row r="8" spans="1:39" ht="25.5">
      <c r="A8" s="3499"/>
      <c r="B8" s="1415" t="s">
        <v>931</v>
      </c>
      <c r="C8" s="1530" t="s">
        <v>3005</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2.25</v>
      </c>
      <c r="Z11" s="1654">
        <f t="shared" ref="Z11:AJ11" si="3">$G$3</f>
        <v>2.25</v>
      </c>
      <c r="AA11" s="1654">
        <f t="shared" si="3"/>
        <v>2.25</v>
      </c>
      <c r="AB11" s="1654">
        <f t="shared" si="3"/>
        <v>2.25</v>
      </c>
      <c r="AC11" s="1654">
        <f t="shared" si="3"/>
        <v>2.25</v>
      </c>
      <c r="AD11" s="1654">
        <f t="shared" si="3"/>
        <v>2.25</v>
      </c>
      <c r="AE11" s="1654">
        <f t="shared" si="3"/>
        <v>2.25</v>
      </c>
      <c r="AF11" s="1654">
        <f t="shared" si="3"/>
        <v>2.25</v>
      </c>
      <c r="AG11" s="1654">
        <f t="shared" si="3"/>
        <v>2.25</v>
      </c>
      <c r="AH11" s="1654">
        <f t="shared" si="3"/>
        <v>2.25</v>
      </c>
      <c r="AI11" s="1654">
        <f t="shared" si="3"/>
        <v>2.25</v>
      </c>
      <c r="AJ11" s="1654">
        <f t="shared" si="3"/>
        <v>2.25</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0.33853333333333335</v>
      </c>
      <c r="Z13" s="2935">
        <f t="shared" ref="Z13:AJ13" si="5">(-0.163*(Z12^2)-0.59*Z12+7617)*(10^(-4))/Z11</f>
        <v>0.33853333333333335</v>
      </c>
      <c r="AA13" s="2935">
        <f t="shared" si="5"/>
        <v>0.33853333333333335</v>
      </c>
      <c r="AB13" s="2935">
        <f t="shared" si="5"/>
        <v>0.33853333333333335</v>
      </c>
      <c r="AC13" s="2935">
        <f t="shared" si="5"/>
        <v>0.33853333333333335</v>
      </c>
      <c r="AD13" s="2935">
        <f t="shared" si="5"/>
        <v>0.33853333333333335</v>
      </c>
      <c r="AE13" s="2935">
        <f t="shared" si="5"/>
        <v>0.33853333333333335</v>
      </c>
      <c r="AF13" s="2935">
        <f t="shared" si="5"/>
        <v>0.33853333333333335</v>
      </c>
      <c r="AG13" s="2935">
        <f t="shared" si="5"/>
        <v>0.33853333333333335</v>
      </c>
      <c r="AH13" s="2935">
        <f t="shared" si="5"/>
        <v>0.33853333333333335</v>
      </c>
      <c r="AI13" s="2935">
        <f t="shared" si="5"/>
        <v>0.33853333333333335</v>
      </c>
      <c r="AJ13" s="2935">
        <f t="shared" si="5"/>
        <v>0.33853333333333335</v>
      </c>
    </row>
    <row r="14" spans="1:39" ht="12.75" customHeight="1" thickBot="1">
      <c r="A14" s="3500"/>
      <c r="B14" s="1452"/>
      <c r="C14" s="1453" t="s">
        <v>3031</v>
      </c>
      <c r="D14" s="1454" t="s">
        <v>3031</v>
      </c>
      <c r="E14" s="1454" t="s">
        <v>3031</v>
      </c>
      <c r="F14" s="1455" t="s">
        <v>3032</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3218">
        <f>ROUND((H17+I17-G17)/C17,0)</f>
        <v>40</v>
      </c>
      <c r="D16" s="1461" t="s">
        <v>948</v>
      </c>
      <c r="E16" s="3204" t="s">
        <v>3069</v>
      </c>
      <c r="F16" s="3205" t="s">
        <v>3046</v>
      </c>
      <c r="G16" s="3206" t="s">
        <v>3070</v>
      </c>
      <c r="H16" s="1464" t="s">
        <v>3048</v>
      </c>
      <c r="I16" s="1464" t="s">
        <v>3047</v>
      </c>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0.89190000000000003</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0.89190000000000003</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156420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5354</v>
      </c>
      <c r="D29" s="1505">
        <f>'数据-汇总表'!E3</f>
        <v>292155</v>
      </c>
      <c r="E29" s="1851">
        <f ca="1">ROUND(C29*D29/10000,0)</f>
        <v>156420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1339</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1201</v>
      </c>
      <c r="D37" s="1538"/>
      <c r="E37" s="1048">
        <f t="shared" ca="1" si="7"/>
        <v>0</v>
      </c>
      <c r="F37" s="1063">
        <f>SUMIF(修正!A45:A56,G2,修正!F45:F56)</f>
        <v>0.2</v>
      </c>
      <c r="G37" s="1048">
        <f ca="1">ROUND(IF(E2="工业",C37*$M$39,C37*$M$38),0)</f>
        <v>300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1201</v>
      </c>
      <c r="D38" s="1538"/>
      <c r="E38" s="1048">
        <f t="shared" ca="1" si="7"/>
        <v>0</v>
      </c>
      <c r="F38" s="1063">
        <f>SUMIF(修正!A45:A56,G2,修正!G45:G56)</f>
        <v>0.2</v>
      </c>
      <c r="G38" s="1048">
        <f ca="1">ROUND(IF(E2="工业",C38*$M$39,C38*$M$38),0)</f>
        <v>300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900</v>
      </c>
      <c r="D39" s="1539"/>
      <c r="E39" s="1051">
        <f t="shared" ca="1" si="7"/>
        <v>0</v>
      </c>
      <c r="F39" s="1065">
        <f>SUMIF(修正!A45:A56,G2,修正!H45:H56)</f>
        <v>0.15</v>
      </c>
      <c r="G39" s="1051">
        <f ca="1">ROUND(IF(E2="工业",C39*$M$39,C39*$M$38),0)</f>
        <v>225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3065</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3066</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3067</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3068</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3065</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3068</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3125</v>
      </c>
      <c r="C75" s="1159" t="s">
        <v>3067</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3067</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3067</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9"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02" t="s">
        <v>1631</v>
      </c>
      <c r="B90" s="3502"/>
      <c r="C90" s="3502"/>
      <c r="D90" s="3502"/>
      <c r="E90" s="3502"/>
      <c r="F90" s="3502"/>
      <c r="G90" s="3502"/>
      <c r="H90" s="3502"/>
      <c r="I90" s="3502"/>
      <c r="J90" s="3502"/>
      <c r="K90" s="2452"/>
      <c r="L90" s="2452"/>
      <c r="M90" s="2452"/>
      <c r="N90" s="2452"/>
    </row>
    <row r="91" spans="1:40">
      <c r="A91" s="3503" t="s">
        <v>1441</v>
      </c>
      <c r="B91" s="3503" t="s">
        <v>1632</v>
      </c>
      <c r="C91" s="1140" t="s">
        <v>1633</v>
      </c>
      <c r="D91" s="1141"/>
      <c r="E91" s="1141"/>
      <c r="F91" s="1141"/>
      <c r="G91" s="1141"/>
      <c r="H91" s="1141"/>
      <c r="I91" s="1141"/>
      <c r="J91" s="1142"/>
      <c r="K91" s="1134"/>
      <c r="L91" s="1134"/>
      <c r="M91" s="1134"/>
      <c r="N91" s="1134"/>
    </row>
    <row r="92" spans="1:40">
      <c r="A92" s="3503"/>
      <c r="B92" s="3503"/>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903</v>
      </c>
      <c r="C101" s="1148">
        <f>$G$3</f>
        <v>2.25</v>
      </c>
      <c r="D101" s="1148">
        <f t="shared" ref="D101:N101" si="32">$G$3</f>
        <v>2.25</v>
      </c>
      <c r="E101" s="1148">
        <f t="shared" si="32"/>
        <v>2.25</v>
      </c>
      <c r="F101" s="1148">
        <f t="shared" si="32"/>
        <v>2.25</v>
      </c>
      <c r="G101" s="1148">
        <f t="shared" si="32"/>
        <v>2.25</v>
      </c>
      <c r="H101" s="1148">
        <f t="shared" si="32"/>
        <v>2.25</v>
      </c>
      <c r="I101" s="1148">
        <f t="shared" si="32"/>
        <v>2.25</v>
      </c>
      <c r="J101" s="1148">
        <f t="shared" si="32"/>
        <v>2.25</v>
      </c>
      <c r="K101" s="1148">
        <f t="shared" si="32"/>
        <v>2.25</v>
      </c>
      <c r="L101" s="1148">
        <f t="shared" si="32"/>
        <v>2.25</v>
      </c>
      <c r="M101" s="1148">
        <f t="shared" si="32"/>
        <v>2.25</v>
      </c>
      <c r="N101" s="1148">
        <f t="shared" si="32"/>
        <v>2.25</v>
      </c>
    </row>
    <row r="102" spans="1:14">
      <c r="A102" s="3511"/>
      <c r="B102" s="1143">
        <v>1</v>
      </c>
      <c r="C102" s="1144">
        <f>1.9362/C101</f>
        <v>0.86053333333333326</v>
      </c>
      <c r="D102" s="1144">
        <f>1.9362/D101</f>
        <v>0.86053333333333326</v>
      </c>
      <c r="E102" s="1144">
        <f>1.8629/E101</f>
        <v>0.82795555555555556</v>
      </c>
      <c r="F102" s="1144">
        <f>1.8629/F101</f>
        <v>0.82795555555555556</v>
      </c>
      <c r="G102" s="1144">
        <f>1.8629/G101</f>
        <v>0.82795555555555556</v>
      </c>
      <c r="H102" s="1144">
        <f>1.8629/H101</f>
        <v>0.82795555555555556</v>
      </c>
      <c r="I102" s="1144">
        <f>1.8629/I101</f>
        <v>0.82795555555555556</v>
      </c>
      <c r="J102" s="1144">
        <f>1.942/J101</f>
        <v>0.86311111111111105</v>
      </c>
      <c r="K102" s="1144">
        <f>1.942/K101</f>
        <v>0.86311111111111105</v>
      </c>
      <c r="L102" s="1144">
        <f>1.942/L101</f>
        <v>0.86311111111111105</v>
      </c>
      <c r="M102" s="1144">
        <f>1.942/M101</f>
        <v>0.86311111111111105</v>
      </c>
      <c r="N102" s="1144">
        <f>1.942/N101</f>
        <v>0.86311111111111105</v>
      </c>
    </row>
    <row r="103" spans="1:14">
      <c r="A103" s="3511"/>
      <c r="B103" s="1143">
        <v>2</v>
      </c>
      <c r="C103" s="1144">
        <f>1.4198/C101</f>
        <v>0.63102222222222215</v>
      </c>
      <c r="D103" s="1144">
        <f>1.4198/D101</f>
        <v>0.63102222222222215</v>
      </c>
      <c r="E103" s="1144">
        <f>1.3372/E101</f>
        <v>0.59431111111111112</v>
      </c>
      <c r="F103" s="1144">
        <f>1.3372/F101</f>
        <v>0.59431111111111112</v>
      </c>
      <c r="G103" s="1144">
        <f>1.3372/G101</f>
        <v>0.59431111111111112</v>
      </c>
      <c r="H103" s="1144">
        <f>1.3372/H101</f>
        <v>0.59431111111111112</v>
      </c>
      <c r="I103" s="1144">
        <f>1.3372/I101</f>
        <v>0.59431111111111112</v>
      </c>
      <c r="J103" s="1144">
        <f>1.2799/J101</f>
        <v>0.56884444444444449</v>
      </c>
      <c r="K103" s="1144">
        <f>1.2799/K101</f>
        <v>0.56884444444444449</v>
      </c>
      <c r="L103" s="1144">
        <f>1.2799/L101</f>
        <v>0.56884444444444449</v>
      </c>
      <c r="M103" s="1144">
        <f>1.2799/M101</f>
        <v>0.56884444444444449</v>
      </c>
      <c r="N103" s="1144">
        <f>1.2799/N101</f>
        <v>0.56884444444444449</v>
      </c>
    </row>
    <row r="104" spans="1:14">
      <c r="A104" s="3511"/>
      <c r="B104" s="1143">
        <v>3</v>
      </c>
      <c r="C104" s="1144">
        <f>1.1594/C101</f>
        <v>0.51528888888888891</v>
      </c>
      <c r="D104" s="1144">
        <f>1.1594/D101</f>
        <v>0.51528888888888891</v>
      </c>
      <c r="E104" s="1144">
        <f>1.0788/E101</f>
        <v>0.47946666666666665</v>
      </c>
      <c r="F104" s="1144">
        <f>1.0788/F101</f>
        <v>0.47946666666666665</v>
      </c>
      <c r="G104" s="1144">
        <f>1.0788/G101</f>
        <v>0.47946666666666665</v>
      </c>
      <c r="H104" s="1144">
        <f>1.0788/H101</f>
        <v>0.47946666666666665</v>
      </c>
      <c r="I104" s="1144">
        <f>1.0788/I101</f>
        <v>0.47946666666666665</v>
      </c>
      <c r="J104" s="1144">
        <f>1.0072/J101</f>
        <v>0.44764444444444451</v>
      </c>
      <c r="K104" s="1144">
        <f>1.0072/K101</f>
        <v>0.44764444444444451</v>
      </c>
      <c r="L104" s="1144">
        <f>1.0072/L101</f>
        <v>0.44764444444444451</v>
      </c>
      <c r="M104" s="1144">
        <f>1.0072/M101</f>
        <v>0.44764444444444451</v>
      </c>
      <c r="N104" s="1144">
        <f>1.0072/N101</f>
        <v>0.44764444444444451</v>
      </c>
    </row>
    <row r="105" spans="1:14">
      <c r="A105" s="3511"/>
      <c r="B105" s="1143">
        <v>4</v>
      </c>
      <c r="C105" s="1144">
        <f>0.9622/C101</f>
        <v>0.42764444444444449</v>
      </c>
      <c r="D105" s="1144">
        <f>0.9622/D101</f>
        <v>0.42764444444444449</v>
      </c>
      <c r="E105" s="1144">
        <f>0.8656/E101</f>
        <v>0.38471111111111111</v>
      </c>
      <c r="F105" s="1144">
        <f>0.8656/F101</f>
        <v>0.38471111111111111</v>
      </c>
      <c r="G105" s="1144">
        <f>0.8656/G101</f>
        <v>0.38471111111111111</v>
      </c>
      <c r="H105" s="1144">
        <f>0.8656/H101</f>
        <v>0.38471111111111111</v>
      </c>
      <c r="I105" s="1144">
        <f>0.8656/I101</f>
        <v>0.38471111111111111</v>
      </c>
      <c r="J105" s="1144">
        <f>0.7525/J101</f>
        <v>0.33444444444444443</v>
      </c>
      <c r="K105" s="1144">
        <f>0.7525/K101</f>
        <v>0.33444444444444443</v>
      </c>
      <c r="L105" s="1144">
        <f>0.7525/L101</f>
        <v>0.33444444444444443</v>
      </c>
      <c r="M105" s="1144">
        <f>0.7525/M101</f>
        <v>0.33444444444444443</v>
      </c>
      <c r="N105" s="1144">
        <f>0.7525/N101</f>
        <v>0.33444444444444443</v>
      </c>
    </row>
    <row r="106" spans="1:14">
      <c r="A106" s="3511"/>
      <c r="B106" s="1143">
        <v>5</v>
      </c>
      <c r="C106" s="1144">
        <f>0.8417/C101</f>
        <v>0.37408888888888892</v>
      </c>
      <c r="D106" s="1144">
        <f>0.8417/D101</f>
        <v>0.37408888888888892</v>
      </c>
      <c r="E106" s="1144">
        <f>0.7371/E101</f>
        <v>0.3276</v>
      </c>
      <c r="F106" s="1144">
        <f>0.7371/F101</f>
        <v>0.3276</v>
      </c>
      <c r="G106" s="1144">
        <f>0.7371/G101</f>
        <v>0.3276</v>
      </c>
      <c r="H106" s="1144">
        <f>0.7371/H101</f>
        <v>0.3276</v>
      </c>
      <c r="I106" s="1144">
        <f>0.7371/I101</f>
        <v>0.3276</v>
      </c>
      <c r="J106" s="1144">
        <f>0.5659/J101</f>
        <v>0.25151111111111107</v>
      </c>
      <c r="K106" s="1144">
        <f>0.5659/K101</f>
        <v>0.25151111111111107</v>
      </c>
      <c r="L106" s="1144">
        <f>0.5659/L101</f>
        <v>0.25151111111111107</v>
      </c>
      <c r="M106" s="1144">
        <f>0.5659/M101</f>
        <v>0.25151111111111107</v>
      </c>
      <c r="N106" s="1144">
        <f>0.5659/N101</f>
        <v>0.25151111111111107</v>
      </c>
    </row>
    <row r="107" spans="1:14">
      <c r="A107" s="3511"/>
      <c r="B107" s="1143">
        <v>6</v>
      </c>
      <c r="C107" s="1144">
        <f>0.7608/C101</f>
        <v>0.33813333333333334</v>
      </c>
      <c r="D107" s="1144">
        <f>0.7608/D101</f>
        <v>0.33813333333333334</v>
      </c>
      <c r="E107" s="1144">
        <f>0.6482/E101</f>
        <v>0.28808888888888889</v>
      </c>
      <c r="F107" s="1144">
        <f>0.6482/F101</f>
        <v>0.28808888888888889</v>
      </c>
      <c r="G107" s="1144">
        <f>0.6482/G101</f>
        <v>0.28808888888888889</v>
      </c>
      <c r="H107" s="1144">
        <f>0.6482/H101</f>
        <v>0.28808888888888889</v>
      </c>
      <c r="I107" s="1144">
        <f>0.6482/I101</f>
        <v>0.28808888888888889</v>
      </c>
      <c r="J107" s="1144">
        <f>0.4525/J101</f>
        <v>0.20111111111111113</v>
      </c>
      <c r="K107" s="1144">
        <f>0.4525/K101</f>
        <v>0.20111111111111113</v>
      </c>
      <c r="L107" s="1144">
        <f>0.4525/L101</f>
        <v>0.20111111111111113</v>
      </c>
      <c r="M107" s="1144">
        <f>0.4525/M101</f>
        <v>0.20111111111111113</v>
      </c>
      <c r="N107" s="1144">
        <f>0.4525/N101</f>
        <v>0.20111111111111113</v>
      </c>
    </row>
    <row r="108" spans="1:14">
      <c r="A108" s="3511"/>
      <c r="B108" s="3513"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12"/>
      <c r="B109" s="3514"/>
      <c r="C109" s="1146">
        <f>(-0.163*(C108^2)-0.59*C108+7617)*(10^(-4))/C101</f>
        <v>0.33785991111111113</v>
      </c>
      <c r="D109" s="1146">
        <f>(-0.163*(D108^2)-0.59*D108+7617)*(10^(-4))/D101</f>
        <v>0.33785991111111113</v>
      </c>
      <c r="E109" s="1146">
        <f>(-0.161*(E108^2)-7.509*E108+6533)*(10^(-4))/E101</f>
        <v>0.28722773333333335</v>
      </c>
      <c r="F109" s="1146">
        <f>(-0.161*(F108^2)-7.509*F108+6533)*(10^(-4))/F101</f>
        <v>0.28722773333333335</v>
      </c>
      <c r="G109" s="1146">
        <f>(-0.161*(G108^2)-7.509*G108+6533)*(10^(-4))/G101</f>
        <v>0.28722773333333335</v>
      </c>
      <c r="H109" s="1146">
        <f>(-0.161*(H108^2)-7.509*H108+6533)*(10^(-4))/H101</f>
        <v>0.28722773333333335</v>
      </c>
      <c r="I109" s="1146">
        <f>(-0.161*(I108^2)-7.509*I108+6533)*(10^(-4))/I101</f>
        <v>0.28722773333333335</v>
      </c>
      <c r="J109" s="1146">
        <f>(-0.214*(J108^2)-21.991*J108+4665)*(10^(-4))/J101</f>
        <v>0.19890560000000002</v>
      </c>
      <c r="K109" s="1146">
        <f>(-0.214*(K108^2)-21.991*K108+4665)*(10^(-4))/K101</f>
        <v>0.19890560000000002</v>
      </c>
      <c r="L109" s="1146">
        <f>(-0.214*(L108^2)-21.991*L108+4665)*(10^(-4))/L101</f>
        <v>0.19890560000000002</v>
      </c>
      <c r="M109" s="1146">
        <f>(-0.214*(M108^2)-21.991*M108+4665)*(10^(-4))/M101</f>
        <v>0.19890560000000002</v>
      </c>
      <c r="N109" s="1146">
        <f>(-0.214*(N108^2)-21.991*N108+4665)*(10^(-4))/N101</f>
        <v>0.19890560000000002</v>
      </c>
    </row>
    <row r="110" spans="1:14">
      <c r="A110" s="3497" t="s">
        <v>1637</v>
      </c>
      <c r="B110" s="3497"/>
      <c r="C110" s="3497"/>
      <c r="D110" s="3497"/>
      <c r="E110" s="3497"/>
      <c r="F110" s="3497"/>
      <c r="G110" s="3497"/>
      <c r="H110" s="3497"/>
      <c r="I110" s="3497"/>
      <c r="J110" s="3497"/>
      <c r="K110" s="2450"/>
      <c r="L110" s="2450"/>
      <c r="M110" s="2450"/>
      <c r="N110" s="2450"/>
    </row>
    <row r="112" spans="1:14" ht="12.75" thickBot="1"/>
    <row r="113" spans="1:13" ht="25.5" thickBot="1">
      <c r="A113" s="1016" t="s">
        <v>893</v>
      </c>
      <c r="B113" s="2453">
        <f>G3</f>
        <v>2.25</v>
      </c>
      <c r="C113" s="1017" t="s">
        <v>894</v>
      </c>
      <c r="D113" s="1018">
        <f>SUMPRODUCT((A115:A118=F113)*(B114:M114=H113)*B115:M118)</f>
        <v>0.7198</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0.91239999999999999</v>
      </c>
      <c r="C115" s="1030">
        <f>B115</f>
        <v>0.91239999999999999</v>
      </c>
      <c r="D115" s="1030">
        <f>ROUND(0.8331-0.0109*B113,4)</f>
        <v>0.80859999999999999</v>
      </c>
      <c r="E115" s="1030">
        <f>D115</f>
        <v>0.80859999999999999</v>
      </c>
      <c r="F115" s="1030">
        <f>E115</f>
        <v>0.80859999999999999</v>
      </c>
      <c r="G115" s="1030">
        <f>F115</f>
        <v>0.80859999999999999</v>
      </c>
      <c r="H115" s="1030">
        <f>G115</f>
        <v>0.80859999999999999</v>
      </c>
      <c r="I115" s="1030">
        <f>ROUND(0.689-0.0155*B113,4)</f>
        <v>0.65410000000000001</v>
      </c>
      <c r="J115" s="1030">
        <f t="shared" ref="J115:M118" si="34">I115</f>
        <v>0.65410000000000001</v>
      </c>
      <c r="K115" s="1030">
        <f t="shared" si="34"/>
        <v>0.65410000000000001</v>
      </c>
      <c r="L115" s="1030">
        <f t="shared" si="34"/>
        <v>0.65410000000000001</v>
      </c>
      <c r="M115" s="1031">
        <f t="shared" si="34"/>
        <v>0.65410000000000001</v>
      </c>
    </row>
    <row r="116" spans="1:13" ht="12.75">
      <c r="A116" s="1029" t="s">
        <v>898</v>
      </c>
      <c r="B116" s="1030">
        <f>ROUND(0.949-0.012*B113,4)</f>
        <v>0.92200000000000004</v>
      </c>
      <c r="C116" s="1030">
        <f>B116</f>
        <v>0.92200000000000004</v>
      </c>
      <c r="D116" s="1030">
        <f>ROUND(0.8567-0.013*B113,4)</f>
        <v>0.82750000000000001</v>
      </c>
      <c r="E116" s="1030">
        <f t="shared" ref="E116:H117" si="35">D116</f>
        <v>0.82750000000000001</v>
      </c>
      <c r="F116" s="1030">
        <f t="shared" si="35"/>
        <v>0.82750000000000001</v>
      </c>
      <c r="G116" s="1030">
        <f t="shared" si="35"/>
        <v>0.82750000000000001</v>
      </c>
      <c r="H116" s="1030">
        <f t="shared" si="35"/>
        <v>0.82750000000000001</v>
      </c>
      <c r="I116" s="1030">
        <f>ROUND(0.7694-0.014*B113,4)</f>
        <v>0.7379</v>
      </c>
      <c r="J116" s="1030">
        <f t="shared" si="34"/>
        <v>0.7379</v>
      </c>
      <c r="K116" s="1030">
        <f t="shared" si="34"/>
        <v>0.7379</v>
      </c>
      <c r="L116" s="1030">
        <f t="shared" si="34"/>
        <v>0.7379</v>
      </c>
      <c r="M116" s="1031">
        <f t="shared" si="34"/>
        <v>0.7379</v>
      </c>
    </row>
    <row r="117" spans="1:13" ht="12.75">
      <c r="A117" s="1032" t="s">
        <v>899</v>
      </c>
      <c r="B117" s="1030">
        <f>ROUND(0.8808-0.006*B113,4)</f>
        <v>0.86729999999999996</v>
      </c>
      <c r="C117" s="1030">
        <f>B117</f>
        <v>0.86729999999999996</v>
      </c>
      <c r="D117" s="1030">
        <f>ROUND(0.8748-0.008*B113,4)</f>
        <v>0.85680000000000001</v>
      </c>
      <c r="E117" s="1030">
        <f t="shared" si="35"/>
        <v>0.85680000000000001</v>
      </c>
      <c r="F117" s="1030">
        <f t="shared" si="35"/>
        <v>0.85680000000000001</v>
      </c>
      <c r="G117" s="1030">
        <f t="shared" si="35"/>
        <v>0.85680000000000001</v>
      </c>
      <c r="H117" s="1030">
        <f t="shared" si="35"/>
        <v>0.85680000000000001</v>
      </c>
      <c r="I117" s="1030">
        <f>ROUND(0.7412-0.0095*B113,4)</f>
        <v>0.7198</v>
      </c>
      <c r="J117" s="1030">
        <f t="shared" si="34"/>
        <v>0.7198</v>
      </c>
      <c r="K117" s="1030">
        <f t="shared" si="34"/>
        <v>0.7198</v>
      </c>
      <c r="L117" s="1030">
        <f t="shared" si="34"/>
        <v>0.7198</v>
      </c>
      <c r="M117" s="1031">
        <f t="shared" si="34"/>
        <v>0.7198</v>
      </c>
    </row>
    <row r="118" spans="1:13" ht="13.5" thickBot="1">
      <c r="A118" s="1033" t="s">
        <v>900</v>
      </c>
      <c r="B118" s="1034">
        <f>ROUND(0.7275-0.01*B113,4)</f>
        <v>0.70499999999999996</v>
      </c>
      <c r="C118" s="1034">
        <f>B118</f>
        <v>0.70499999999999996</v>
      </c>
      <c r="D118" s="1034">
        <f>ROUND(0.7043-0.012*B113,4)</f>
        <v>0.67730000000000001</v>
      </c>
      <c r="E118" s="1034">
        <f>D118</f>
        <v>0.67730000000000001</v>
      </c>
      <c r="F118" s="1034">
        <f>E118</f>
        <v>0.67730000000000001</v>
      </c>
      <c r="G118" s="1034">
        <f>ROUND(0.6299-0.0122*B113,4)</f>
        <v>0.60250000000000004</v>
      </c>
      <c r="H118" s="1034">
        <f>G118</f>
        <v>0.60250000000000004</v>
      </c>
      <c r="I118" s="1034">
        <f>ROUND(0.5667-0.0136*B113,4)</f>
        <v>0.53610000000000002</v>
      </c>
      <c r="J118" s="1034">
        <f t="shared" si="34"/>
        <v>0.53610000000000002</v>
      </c>
      <c r="K118" s="1034">
        <f t="shared" si="34"/>
        <v>0.53610000000000002</v>
      </c>
      <c r="L118" s="1034">
        <f t="shared" si="34"/>
        <v>0.53610000000000002</v>
      </c>
      <c r="M118" s="1035">
        <f t="shared" si="34"/>
        <v>0.53610000000000002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03" t="s">
        <v>1005</v>
      </c>
      <c r="B18" s="1154" t="s">
        <v>1444</v>
      </c>
      <c r="C18" s="1131" t="s">
        <v>1445</v>
      </c>
      <c r="D18" s="1132"/>
      <c r="E18" s="1154">
        <v>1</v>
      </c>
      <c r="F18" s="1133" t="s">
        <v>1446</v>
      </c>
      <c r="G18" s="1134"/>
      <c r="H18" s="1105"/>
      <c r="I18" s="1105"/>
    </row>
    <row r="19" spans="1:9" s="1600" customFormat="1" ht="19.5" customHeight="1">
      <c r="A19" s="3503"/>
      <c r="B19" s="3503" t="s">
        <v>1447</v>
      </c>
      <c r="C19" s="1131" t="s">
        <v>1448</v>
      </c>
      <c r="D19" s="1132"/>
      <c r="E19" s="1154">
        <v>0.9</v>
      </c>
      <c r="F19" s="1133" t="s">
        <v>1449</v>
      </c>
      <c r="G19" s="1134"/>
      <c r="H19" s="1105"/>
      <c r="I19" s="1105"/>
    </row>
    <row r="20" spans="1:9" s="1600" customFormat="1" ht="19.5" customHeight="1">
      <c r="A20" s="3503"/>
      <c r="B20" s="3503"/>
      <c r="C20" s="1131" t="s">
        <v>1450</v>
      </c>
      <c r="D20" s="1132"/>
      <c r="E20" s="1154">
        <v>1.1000000000000001</v>
      </c>
      <c r="F20" s="1133" t="s">
        <v>1451</v>
      </c>
      <c r="G20" s="1134"/>
      <c r="H20" s="1105"/>
      <c r="I20" s="1105"/>
    </row>
    <row r="21" spans="1:9" s="1600" customFormat="1" ht="19.5" customHeight="1">
      <c r="A21" s="3503"/>
      <c r="B21" s="3503"/>
      <c r="C21" s="1131" t="s">
        <v>1452</v>
      </c>
      <c r="D21" s="1132"/>
      <c r="E21" s="1154">
        <v>0.8</v>
      </c>
      <c r="F21" s="1133" t="s">
        <v>1453</v>
      </c>
      <c r="G21" s="1134"/>
      <c r="H21" s="1105"/>
      <c r="I21" s="1105"/>
    </row>
    <row r="22" spans="1:9" s="1600" customFormat="1" ht="19.5" customHeight="1">
      <c r="A22" s="3503"/>
      <c r="B22" s="3503"/>
      <c r="C22" s="1131" t="s">
        <v>1454</v>
      </c>
      <c r="D22" s="1132"/>
      <c r="E22" s="1154">
        <v>0.5</v>
      </c>
      <c r="F22" s="1133"/>
      <c r="G22" s="1134"/>
      <c r="H22" s="1105"/>
      <c r="I22" s="1105"/>
    </row>
    <row r="23" spans="1:9" s="1600" customFormat="1" ht="19.5" customHeight="1">
      <c r="A23" s="3503" t="s">
        <v>1027</v>
      </c>
      <c r="B23" s="1154" t="s">
        <v>1444</v>
      </c>
      <c r="C23" s="1131" t="s">
        <v>1455</v>
      </c>
      <c r="D23" s="1132"/>
      <c r="E23" s="1154">
        <v>1</v>
      </c>
      <c r="F23" s="1133" t="s">
        <v>1456</v>
      </c>
      <c r="G23" s="1134"/>
      <c r="H23" s="1105"/>
      <c r="I23" s="1105"/>
    </row>
    <row r="24" spans="1:9" s="1600" customFormat="1" ht="19.5" customHeight="1">
      <c r="A24" s="3503"/>
      <c r="B24" s="3503" t="s">
        <v>1447</v>
      </c>
      <c r="C24" s="1131" t="s">
        <v>1457</v>
      </c>
      <c r="D24" s="1132"/>
      <c r="E24" s="1154">
        <v>0.5</v>
      </c>
      <c r="F24" s="1133"/>
      <c r="G24" s="1134"/>
      <c r="H24" s="1105"/>
      <c r="I24" s="1105"/>
    </row>
    <row r="25" spans="1:9" s="1600" customFormat="1" ht="19.5" customHeight="1">
      <c r="A25" s="3503"/>
      <c r="B25" s="3503"/>
      <c r="C25" s="1131" t="s">
        <v>1458</v>
      </c>
      <c r="D25" s="1132"/>
      <c r="E25" s="1154">
        <v>1.1000000000000001</v>
      </c>
      <c r="F25" s="1133"/>
      <c r="G25" s="1134"/>
      <c r="H25" s="1105"/>
      <c r="I25" s="1105"/>
    </row>
    <row r="26" spans="1:9" s="1600" customFormat="1" ht="19.5" customHeight="1">
      <c r="A26" s="3503"/>
      <c r="B26" s="3503"/>
      <c r="C26" s="1131" t="s">
        <v>1459</v>
      </c>
      <c r="D26" s="1132"/>
      <c r="E26" s="1154">
        <v>1.1000000000000001</v>
      </c>
      <c r="F26" s="1133"/>
      <c r="G26" s="1134"/>
      <c r="H26" s="1105"/>
      <c r="I26" s="1105"/>
    </row>
    <row r="27" spans="1:9" s="1600" customFormat="1" ht="19.5" customHeight="1">
      <c r="A27" s="3503"/>
      <c r="B27" s="3503"/>
      <c r="C27" s="1131" t="s">
        <v>1460</v>
      </c>
      <c r="D27" s="1132"/>
      <c r="E27" s="1154">
        <v>0.9</v>
      </c>
      <c r="F27" s="1133" t="s">
        <v>1461</v>
      </c>
      <c r="G27" s="1134"/>
      <c r="H27" s="1105"/>
      <c r="I27" s="1105"/>
    </row>
    <row r="28" spans="1:9" s="1600" customFormat="1" ht="19.5" customHeight="1">
      <c r="A28" s="3503"/>
      <c r="B28" s="3503"/>
      <c r="C28" s="1131" t="s">
        <v>1462</v>
      </c>
      <c r="D28" s="1132"/>
      <c r="E28" s="1154">
        <v>0.9</v>
      </c>
      <c r="F28" s="1133" t="s">
        <v>1463</v>
      </c>
      <c r="G28" s="1134"/>
      <c r="H28" s="1105"/>
      <c r="I28" s="1105"/>
    </row>
    <row r="29" spans="1:9" s="1600" customFormat="1" ht="19.5" customHeight="1">
      <c r="A29" s="3503"/>
      <c r="B29" s="3503"/>
      <c r="C29" s="1131" t="s">
        <v>1464</v>
      </c>
      <c r="D29" s="1132"/>
      <c r="E29" s="1154">
        <v>0.9</v>
      </c>
      <c r="F29" s="1133" t="s">
        <v>1465</v>
      </c>
      <c r="G29" s="1134"/>
      <c r="H29" s="1105"/>
      <c r="I29" s="1105"/>
    </row>
    <row r="30" spans="1:9" s="1600" customFormat="1" ht="19.5" customHeight="1">
      <c r="A30" s="3503"/>
      <c r="B30" s="3503"/>
      <c r="C30" s="1131" t="s">
        <v>1466</v>
      </c>
      <c r="D30" s="1132"/>
      <c r="E30" s="1154">
        <v>0.9</v>
      </c>
      <c r="F30" s="1133" t="s">
        <v>1467</v>
      </c>
      <c r="G30" s="1134"/>
      <c r="H30" s="1105"/>
      <c r="I30" s="1105"/>
    </row>
    <row r="31" spans="1:9" s="1600" customFormat="1" ht="19.5" customHeight="1">
      <c r="A31" s="3503"/>
      <c r="B31" s="3503"/>
      <c r="C31" s="1131" t="s">
        <v>1468</v>
      </c>
      <c r="D31" s="1132"/>
      <c r="E31" s="1154">
        <v>0.8</v>
      </c>
      <c r="F31" s="1133" t="s">
        <v>1469</v>
      </c>
      <c r="G31" s="1134"/>
      <c r="H31" s="1105"/>
      <c r="I31" s="1105"/>
    </row>
    <row r="32" spans="1:9" s="1600" customFormat="1" ht="19.5" customHeight="1">
      <c r="A32" s="3503"/>
      <c r="B32" s="3503"/>
      <c r="C32" s="1131" t="s">
        <v>1470</v>
      </c>
      <c r="D32" s="1132"/>
      <c r="E32" s="1154">
        <v>0.8</v>
      </c>
      <c r="F32" s="1133" t="s">
        <v>1471</v>
      </c>
      <c r="G32" s="1134"/>
      <c r="H32" s="1105"/>
      <c r="I32" s="1105"/>
    </row>
    <row r="33" spans="1:9" s="1600" customFormat="1" ht="19.5" customHeight="1">
      <c r="A33" s="3503" t="s">
        <v>1472</v>
      </c>
      <c r="B33" s="1154" t="s">
        <v>1444</v>
      </c>
      <c r="C33" s="1131" t="s">
        <v>1473</v>
      </c>
      <c r="D33" s="1132"/>
      <c r="E33" s="1154">
        <v>1</v>
      </c>
      <c r="F33" s="1133" t="s">
        <v>1474</v>
      </c>
      <c r="G33" s="1134"/>
      <c r="H33" s="1105"/>
      <c r="I33" s="1105"/>
    </row>
    <row r="34" spans="1:9" s="1600" customFormat="1" ht="19.5" customHeight="1">
      <c r="A34" s="3503"/>
      <c r="B34" s="1154" t="s">
        <v>1447</v>
      </c>
      <c r="C34" s="1131" t="s">
        <v>1475</v>
      </c>
      <c r="D34" s="1132"/>
      <c r="E34" s="1154">
        <v>1.5</v>
      </c>
      <c r="F34" s="1133" t="s">
        <v>1476</v>
      </c>
      <c r="G34" s="1134"/>
      <c r="H34" s="1105"/>
      <c r="I34" s="1105"/>
    </row>
    <row r="35" spans="1:9" s="1600" customFormat="1" ht="19.5" customHeight="1">
      <c r="A35" s="3503" t="s">
        <v>1430</v>
      </c>
      <c r="B35" s="1154" t="s">
        <v>1444</v>
      </c>
      <c r="C35" s="1131" t="s">
        <v>1477</v>
      </c>
      <c r="D35" s="1132"/>
      <c r="E35" s="1154">
        <v>1</v>
      </c>
      <c r="F35" s="1133" t="s">
        <v>1478</v>
      </c>
      <c r="G35" s="1134"/>
      <c r="H35" s="1105"/>
      <c r="I35" s="1105"/>
    </row>
    <row r="36" spans="1:9" s="1600" customFormat="1" ht="19.5" customHeight="1">
      <c r="A36" s="3503"/>
      <c r="B36" s="3503" t="s">
        <v>1447</v>
      </c>
      <c r="C36" s="1131" t="s">
        <v>1479</v>
      </c>
      <c r="D36" s="1132"/>
      <c r="E36" s="1154">
        <v>1</v>
      </c>
      <c r="F36" s="1133" t="s">
        <v>1480</v>
      </c>
      <c r="G36" s="1134"/>
      <c r="H36" s="1105"/>
      <c r="I36" s="1105"/>
    </row>
    <row r="37" spans="1:9" s="1600" customFormat="1" ht="19.5" customHeight="1">
      <c r="A37" s="3503"/>
      <c r="B37" s="3503"/>
      <c r="C37" s="1131" t="s">
        <v>1481</v>
      </c>
      <c r="D37" s="1132"/>
      <c r="E37" s="1154">
        <v>1.5</v>
      </c>
      <c r="F37" s="1133" t="s">
        <v>1482</v>
      </c>
      <c r="G37" s="1134"/>
      <c r="H37" s="1105"/>
      <c r="I37" s="1105"/>
    </row>
    <row r="38" spans="1:9" s="1600" customFormat="1" ht="19.5" customHeight="1">
      <c r="A38" s="3503"/>
      <c r="B38" s="3503"/>
      <c r="C38" s="1131" t="s">
        <v>1483</v>
      </c>
      <c r="D38" s="1132"/>
      <c r="E38" s="1154">
        <v>1</v>
      </c>
      <c r="F38" s="1133" t="s">
        <v>1484</v>
      </c>
      <c r="G38" s="1134"/>
      <c r="H38" s="1105"/>
      <c r="I38" s="1105"/>
    </row>
    <row r="39" spans="1:9" s="1600" customFormat="1" ht="19.5" customHeight="1">
      <c r="A39" s="3503"/>
      <c r="B39" s="3503"/>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03" t="s">
        <v>1499</v>
      </c>
      <c r="C61" s="1068" t="s">
        <v>1500</v>
      </c>
      <c r="D61" s="1068" t="s">
        <v>1501</v>
      </c>
      <c r="E61" s="1139">
        <v>0.5</v>
      </c>
      <c r="F61" s="1154">
        <v>80</v>
      </c>
      <c r="H61" s="1105">
        <f>SUMIF(C59:C119,基准地价住宅!C8,E59:E119)</f>
        <v>0</v>
      </c>
    </row>
    <row r="62" spans="1:8" s="1105" customFormat="1" ht="24">
      <c r="A62" s="1154">
        <v>2</v>
      </c>
      <c r="B62" s="3503"/>
      <c r="C62" s="1068" t="s">
        <v>1502</v>
      </c>
      <c r="D62" s="1068" t="s">
        <v>1503</v>
      </c>
      <c r="E62" s="1139">
        <v>0.5</v>
      </c>
      <c r="F62" s="1154">
        <v>80</v>
      </c>
    </row>
    <row r="63" spans="1:8" s="1105" customFormat="1" ht="36">
      <c r="A63" s="1154">
        <v>3</v>
      </c>
      <c r="B63" s="3503"/>
      <c r="C63" s="1068" t="s">
        <v>1504</v>
      </c>
      <c r="D63" s="1068" t="s">
        <v>1505</v>
      </c>
      <c r="E63" s="1139">
        <v>0.5</v>
      </c>
      <c r="F63" s="1154">
        <v>80</v>
      </c>
    </row>
    <row r="64" spans="1:8" s="1105" customFormat="1" ht="36">
      <c r="A64" s="1154">
        <v>4</v>
      </c>
      <c r="B64" s="3503"/>
      <c r="C64" s="1068" t="s">
        <v>1506</v>
      </c>
      <c r="D64" s="1068" t="s">
        <v>1507</v>
      </c>
      <c r="E64" s="1139">
        <v>0.4</v>
      </c>
      <c r="F64" s="1154">
        <v>60</v>
      </c>
    </row>
    <row r="65" spans="1:6" s="1105" customFormat="1" ht="36">
      <c r="A65" s="1154">
        <v>5</v>
      </c>
      <c r="B65" s="3503"/>
      <c r="C65" s="1068" t="s">
        <v>1508</v>
      </c>
      <c r="D65" s="1068" t="s">
        <v>1509</v>
      </c>
      <c r="E65" s="1139">
        <v>0.2</v>
      </c>
      <c r="F65" s="1154">
        <v>30</v>
      </c>
    </row>
    <row r="66" spans="1:6" s="1105" customFormat="1" ht="36">
      <c r="A66" s="1154">
        <v>6</v>
      </c>
      <c r="B66" s="3503"/>
      <c r="C66" s="1068" t="s">
        <v>1510</v>
      </c>
      <c r="D66" s="1068" t="s">
        <v>1511</v>
      </c>
      <c r="E66" s="1139">
        <v>0.3</v>
      </c>
      <c r="F66" s="1154">
        <v>50</v>
      </c>
    </row>
    <row r="67" spans="1:6" s="1105" customFormat="1" ht="36">
      <c r="A67" s="1154">
        <v>7</v>
      </c>
      <c r="B67" s="3503"/>
      <c r="C67" s="1068" t="s">
        <v>1512</v>
      </c>
      <c r="D67" s="1068" t="s">
        <v>1513</v>
      </c>
      <c r="E67" s="1139">
        <v>0.2</v>
      </c>
      <c r="F67" s="1154">
        <v>30</v>
      </c>
    </row>
    <row r="68" spans="1:6" s="1105" customFormat="1" ht="36">
      <c r="A68" s="1154">
        <v>8</v>
      </c>
      <c r="B68" s="3503"/>
      <c r="C68" s="1068" t="s">
        <v>1514</v>
      </c>
      <c r="D68" s="1068" t="s">
        <v>1515</v>
      </c>
      <c r="E68" s="1139">
        <v>0.2</v>
      </c>
      <c r="F68" s="1154">
        <v>30</v>
      </c>
    </row>
    <row r="69" spans="1:6" s="1105" customFormat="1" ht="36">
      <c r="A69" s="1154">
        <v>9</v>
      </c>
      <c r="B69" s="3503"/>
      <c r="C69" s="1068" t="s">
        <v>1516</v>
      </c>
      <c r="D69" s="1068" t="s">
        <v>1517</v>
      </c>
      <c r="E69" s="1139">
        <v>0.2</v>
      </c>
      <c r="F69" s="1154">
        <v>30</v>
      </c>
    </row>
    <row r="70" spans="1:6" s="1105" customFormat="1" ht="48">
      <c r="A70" s="1154">
        <v>10</v>
      </c>
      <c r="B70" s="3503"/>
      <c r="C70" s="1068" t="s">
        <v>1518</v>
      </c>
      <c r="D70" s="1068" t="s">
        <v>1519</v>
      </c>
      <c r="E70" s="1139">
        <v>0.2</v>
      </c>
      <c r="F70" s="1154">
        <v>30</v>
      </c>
    </row>
    <row r="71" spans="1:6" s="1105" customFormat="1" ht="48">
      <c r="A71" s="1154">
        <v>11</v>
      </c>
      <c r="B71" s="3503"/>
      <c r="C71" s="1068" t="s">
        <v>1520</v>
      </c>
      <c r="D71" s="1068" t="s">
        <v>1521</v>
      </c>
      <c r="E71" s="1139">
        <v>0.2</v>
      </c>
      <c r="F71" s="1154">
        <v>30</v>
      </c>
    </row>
    <row r="72" spans="1:6" s="1105" customFormat="1" ht="36">
      <c r="A72" s="1154">
        <v>12</v>
      </c>
      <c r="B72" s="3503"/>
      <c r="C72" s="1068" t="s">
        <v>1522</v>
      </c>
      <c r="D72" s="1068" t="s">
        <v>1523</v>
      </c>
      <c r="E72" s="1139">
        <v>0.5</v>
      </c>
      <c r="F72" s="1154">
        <v>80</v>
      </c>
    </row>
    <row r="73" spans="1:6" s="1105" customFormat="1" ht="24">
      <c r="A73" s="1154">
        <v>13</v>
      </c>
      <c r="B73" s="3503"/>
      <c r="C73" s="1068" t="s">
        <v>1524</v>
      </c>
      <c r="D73" s="1068" t="s">
        <v>1525</v>
      </c>
      <c r="E73" s="1139">
        <v>0.4</v>
      </c>
      <c r="F73" s="1154">
        <v>60</v>
      </c>
    </row>
    <row r="74" spans="1:6" s="1105" customFormat="1" ht="24">
      <c r="A74" s="1154">
        <v>14</v>
      </c>
      <c r="B74" s="3503"/>
      <c r="C74" s="1068" t="s">
        <v>1526</v>
      </c>
      <c r="D74" s="1068" t="s">
        <v>1527</v>
      </c>
      <c r="E74" s="1139">
        <v>0.2</v>
      </c>
      <c r="F74" s="1154">
        <v>30</v>
      </c>
    </row>
    <row r="75" spans="1:6" s="1105" customFormat="1" ht="24">
      <c r="A75" s="1154">
        <v>15</v>
      </c>
      <c r="B75" s="3503"/>
      <c r="C75" s="1068" t="s">
        <v>1528</v>
      </c>
      <c r="D75" s="1068" t="s">
        <v>1529</v>
      </c>
      <c r="E75" s="1139">
        <v>0.2</v>
      </c>
      <c r="F75" s="1154">
        <v>30</v>
      </c>
    </row>
    <row r="76" spans="1:6" s="1105" customFormat="1" ht="24">
      <c r="A76" s="1154">
        <v>16</v>
      </c>
      <c r="B76" s="3503" t="s">
        <v>1530</v>
      </c>
      <c r="C76" s="1068" t="s">
        <v>1531</v>
      </c>
      <c r="D76" s="1068" t="s">
        <v>1532</v>
      </c>
      <c r="E76" s="1139">
        <v>0.5</v>
      </c>
      <c r="F76" s="1154">
        <v>80</v>
      </c>
    </row>
    <row r="77" spans="1:6" s="1105" customFormat="1" ht="24">
      <c r="A77" s="1154">
        <v>17</v>
      </c>
      <c r="B77" s="3503"/>
      <c r="C77" s="1068" t="s">
        <v>1533</v>
      </c>
      <c r="D77" s="1068" t="s">
        <v>1534</v>
      </c>
      <c r="E77" s="1139">
        <v>0.5</v>
      </c>
      <c r="F77" s="1154">
        <v>80</v>
      </c>
    </row>
    <row r="78" spans="1:6" s="1105" customFormat="1" ht="24">
      <c r="A78" s="1154">
        <v>18</v>
      </c>
      <c r="B78" s="3503"/>
      <c r="C78" s="1068" t="s">
        <v>1535</v>
      </c>
      <c r="D78" s="1068" t="s">
        <v>1536</v>
      </c>
      <c r="E78" s="1139">
        <v>0.2</v>
      </c>
      <c r="F78" s="1154">
        <v>30</v>
      </c>
    </row>
    <row r="79" spans="1:6" s="1105" customFormat="1" ht="24">
      <c r="A79" s="1154">
        <v>19</v>
      </c>
      <c r="B79" s="3503"/>
      <c r="C79" s="1068" t="s">
        <v>1537</v>
      </c>
      <c r="D79" s="1068" t="s">
        <v>1538</v>
      </c>
      <c r="E79" s="1139">
        <v>0.5</v>
      </c>
      <c r="F79" s="1154">
        <v>80</v>
      </c>
    </row>
    <row r="80" spans="1:6" s="1105" customFormat="1" ht="36">
      <c r="A80" s="1154">
        <v>20</v>
      </c>
      <c r="B80" s="3503"/>
      <c r="C80" s="1068" t="s">
        <v>1539</v>
      </c>
      <c r="D80" s="1068" t="s">
        <v>1540</v>
      </c>
      <c r="E80" s="1139">
        <v>0.2</v>
      </c>
      <c r="F80" s="1154">
        <v>30</v>
      </c>
    </row>
    <row r="81" spans="1:6" s="1105" customFormat="1" ht="36">
      <c r="A81" s="1154">
        <v>21</v>
      </c>
      <c r="B81" s="3503"/>
      <c r="C81" s="1068" t="s">
        <v>1541</v>
      </c>
      <c r="D81" s="1068" t="s">
        <v>1542</v>
      </c>
      <c r="E81" s="1139">
        <v>0.2</v>
      </c>
      <c r="F81" s="1154">
        <v>30</v>
      </c>
    </row>
    <row r="82" spans="1:6" s="1105" customFormat="1" ht="48">
      <c r="A82" s="1154">
        <v>22</v>
      </c>
      <c r="B82" s="3503"/>
      <c r="C82" s="1068" t="s">
        <v>1543</v>
      </c>
      <c r="D82" s="1068" t="s">
        <v>1544</v>
      </c>
      <c r="E82" s="1139">
        <v>0.2</v>
      </c>
      <c r="F82" s="1154">
        <v>30</v>
      </c>
    </row>
    <row r="83" spans="1:6" s="1105" customFormat="1" ht="48">
      <c r="A83" s="1154">
        <v>23</v>
      </c>
      <c r="B83" s="3503"/>
      <c r="C83" s="1068" t="s">
        <v>1545</v>
      </c>
      <c r="D83" s="1068" t="s">
        <v>1546</v>
      </c>
      <c r="E83" s="1139">
        <v>0.2</v>
      </c>
      <c r="F83" s="1154">
        <v>30</v>
      </c>
    </row>
    <row r="84" spans="1:6" s="1105" customFormat="1" ht="36">
      <c r="A84" s="1154">
        <v>24</v>
      </c>
      <c r="B84" s="3503"/>
      <c r="C84" s="1068" t="s">
        <v>1547</v>
      </c>
      <c r="D84" s="1068" t="s">
        <v>1548</v>
      </c>
      <c r="E84" s="1139">
        <v>0.2</v>
      </c>
      <c r="F84" s="1154">
        <v>30</v>
      </c>
    </row>
    <row r="85" spans="1:6" s="1105" customFormat="1" ht="36">
      <c r="A85" s="1154">
        <v>25</v>
      </c>
      <c r="B85" s="3503"/>
      <c r="C85" s="1068" t="s">
        <v>1549</v>
      </c>
      <c r="D85" s="1068" t="s">
        <v>1550</v>
      </c>
      <c r="E85" s="1139">
        <v>0.5</v>
      </c>
      <c r="F85" s="1154">
        <v>80</v>
      </c>
    </row>
    <row r="86" spans="1:6" s="1105" customFormat="1" ht="36">
      <c r="A86" s="1154">
        <v>26</v>
      </c>
      <c r="B86" s="3503"/>
      <c r="C86" s="1068" t="s">
        <v>1551</v>
      </c>
      <c r="D86" s="1068" t="s">
        <v>1552</v>
      </c>
      <c r="E86" s="1139">
        <v>0.2</v>
      </c>
      <c r="F86" s="1154">
        <v>30</v>
      </c>
    </row>
    <row r="87" spans="1:6" s="1105" customFormat="1" ht="36">
      <c r="A87" s="1154">
        <v>27</v>
      </c>
      <c r="B87" s="3503"/>
      <c r="C87" s="1068" t="s">
        <v>1553</v>
      </c>
      <c r="D87" s="1068" t="s">
        <v>1554</v>
      </c>
      <c r="E87" s="1139">
        <v>0.2</v>
      </c>
      <c r="F87" s="1154">
        <v>30</v>
      </c>
    </row>
    <row r="88" spans="1:6" s="1105" customFormat="1" ht="36">
      <c r="A88" s="1154">
        <v>28</v>
      </c>
      <c r="B88" s="3503"/>
      <c r="C88" s="1068" t="s">
        <v>1555</v>
      </c>
      <c r="D88" s="1068" t="s">
        <v>1556</v>
      </c>
      <c r="E88" s="1139">
        <v>0.2</v>
      </c>
      <c r="F88" s="1154">
        <v>30</v>
      </c>
    </row>
    <row r="89" spans="1:6" s="1105" customFormat="1" ht="24">
      <c r="A89" s="1154">
        <v>29</v>
      </c>
      <c r="B89" s="3503"/>
      <c r="C89" s="1068" t="s">
        <v>1557</v>
      </c>
      <c r="D89" s="1068" t="s">
        <v>1558</v>
      </c>
      <c r="E89" s="1139">
        <v>0.2</v>
      </c>
      <c r="F89" s="1154">
        <v>30</v>
      </c>
    </row>
    <row r="90" spans="1:6" s="1105" customFormat="1" ht="24">
      <c r="A90" s="1154">
        <v>30</v>
      </c>
      <c r="B90" s="3503"/>
      <c r="C90" s="1068" t="s">
        <v>1559</v>
      </c>
      <c r="D90" s="1068" t="s">
        <v>1560</v>
      </c>
      <c r="E90" s="1139">
        <v>0.2</v>
      </c>
      <c r="F90" s="1154">
        <v>30</v>
      </c>
    </row>
    <row r="91" spans="1:6" s="1105" customFormat="1" ht="36">
      <c r="A91" s="1154">
        <v>31</v>
      </c>
      <c r="B91" s="3503"/>
      <c r="C91" s="1068" t="s">
        <v>1561</v>
      </c>
      <c r="D91" s="1068" t="s">
        <v>1562</v>
      </c>
      <c r="E91" s="1139">
        <v>0.2</v>
      </c>
      <c r="F91" s="1154">
        <v>30</v>
      </c>
    </row>
    <row r="92" spans="1:6" s="1105" customFormat="1" ht="24">
      <c r="A92" s="1154">
        <v>32</v>
      </c>
      <c r="B92" s="3503" t="s">
        <v>1563</v>
      </c>
      <c r="C92" s="1154" t="s">
        <v>1564</v>
      </c>
      <c r="D92" s="1068" t="s">
        <v>1565</v>
      </c>
      <c r="E92" s="1139">
        <v>0.2</v>
      </c>
      <c r="F92" s="1154">
        <v>30</v>
      </c>
    </row>
    <row r="93" spans="1:6" s="1105" customFormat="1" ht="36">
      <c r="A93" s="1154">
        <v>33</v>
      </c>
      <c r="B93" s="3503"/>
      <c r="C93" s="1154" t="s">
        <v>1566</v>
      </c>
      <c r="D93" s="1068" t="s">
        <v>1567</v>
      </c>
      <c r="E93" s="1139">
        <v>0.2</v>
      </c>
      <c r="F93" s="1154">
        <v>30</v>
      </c>
    </row>
    <row r="94" spans="1:6" s="1105" customFormat="1" ht="48">
      <c r="A94" s="1154">
        <v>34</v>
      </c>
      <c r="B94" s="3503"/>
      <c r="C94" s="1154" t="s">
        <v>1568</v>
      </c>
      <c r="D94" s="1068" t="s">
        <v>1569</v>
      </c>
      <c r="E94" s="1139">
        <v>0.2</v>
      </c>
      <c r="F94" s="1154">
        <v>30</v>
      </c>
    </row>
    <row r="95" spans="1:6" s="1105" customFormat="1" ht="36">
      <c r="A95" s="1154">
        <v>35</v>
      </c>
      <c r="B95" s="3503"/>
      <c r="C95" s="1154" t="s">
        <v>1570</v>
      </c>
      <c r="D95" s="1068" t="s">
        <v>1571</v>
      </c>
      <c r="E95" s="1139">
        <v>0.2</v>
      </c>
      <c r="F95" s="1154">
        <v>30</v>
      </c>
    </row>
    <row r="96" spans="1:6" s="1105" customFormat="1" ht="48">
      <c r="A96" s="1154">
        <v>36</v>
      </c>
      <c r="B96" s="3503"/>
      <c r="C96" s="1068" t="s">
        <v>1572</v>
      </c>
      <c r="D96" s="1068" t="s">
        <v>1573</v>
      </c>
      <c r="E96" s="1139">
        <v>0.2</v>
      </c>
      <c r="F96" s="1154">
        <v>30</v>
      </c>
    </row>
    <row r="97" spans="1:6" s="1105" customFormat="1" ht="36">
      <c r="A97" s="1154">
        <v>37</v>
      </c>
      <c r="B97" s="3503"/>
      <c r="C97" s="1154" t="s">
        <v>1574</v>
      </c>
      <c r="D97" s="1068" t="s">
        <v>1575</v>
      </c>
      <c r="E97" s="1139">
        <v>0.2</v>
      </c>
      <c r="F97" s="1154">
        <v>30</v>
      </c>
    </row>
    <row r="98" spans="1:6" s="1105" customFormat="1" ht="36">
      <c r="A98" s="1154">
        <v>38</v>
      </c>
      <c r="B98" s="3503"/>
      <c r="C98" s="1154" t="s">
        <v>1576</v>
      </c>
      <c r="D98" s="1068" t="s">
        <v>1577</v>
      </c>
      <c r="E98" s="1139">
        <v>0.2</v>
      </c>
      <c r="F98" s="1154">
        <v>30</v>
      </c>
    </row>
    <row r="99" spans="1:6" s="1105" customFormat="1" ht="36">
      <c r="A99" s="1154">
        <v>39</v>
      </c>
      <c r="B99" s="3503" t="s">
        <v>1578</v>
      </c>
      <c r="C99" s="1154" t="s">
        <v>1579</v>
      </c>
      <c r="D99" s="1068" t="s">
        <v>1580</v>
      </c>
      <c r="E99" s="1139">
        <v>0.3</v>
      </c>
      <c r="F99" s="1154">
        <v>50</v>
      </c>
    </row>
    <row r="100" spans="1:6" s="1105" customFormat="1" ht="24">
      <c r="A100" s="1154">
        <v>40</v>
      </c>
      <c r="B100" s="3503"/>
      <c r="C100" s="1154" t="s">
        <v>1581</v>
      </c>
      <c r="D100" s="1068" t="s">
        <v>1582</v>
      </c>
      <c r="E100" s="1139">
        <v>0.2</v>
      </c>
      <c r="F100" s="1154">
        <v>30</v>
      </c>
    </row>
    <row r="101" spans="1:6" s="1105" customFormat="1" ht="36">
      <c r="A101" s="1154">
        <v>41</v>
      </c>
      <c r="B101" s="3503"/>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03" t="s">
        <v>1593</v>
      </c>
      <c r="C105" s="1154" t="s">
        <v>1594</v>
      </c>
      <c r="D105" s="1068" t="s">
        <v>1595</v>
      </c>
      <c r="E105" s="1139">
        <v>0.2</v>
      </c>
      <c r="F105" s="1154">
        <v>30</v>
      </c>
    </row>
    <row r="106" spans="1:6" s="1105" customFormat="1" ht="36">
      <c r="A106" s="1154">
        <v>46</v>
      </c>
      <c r="B106" s="3503"/>
      <c r="C106" s="1154" t="s">
        <v>1596</v>
      </c>
      <c r="D106" s="1068" t="s">
        <v>1597</v>
      </c>
      <c r="E106" s="1139">
        <v>0.2</v>
      </c>
      <c r="F106" s="1154">
        <v>30</v>
      </c>
    </row>
    <row r="107" spans="1:6" s="1105" customFormat="1" ht="36">
      <c r="A107" s="1154">
        <v>47</v>
      </c>
      <c r="B107" s="3503" t="s">
        <v>1598</v>
      </c>
      <c r="C107" s="1154" t="s">
        <v>1599</v>
      </c>
      <c r="D107" s="1068" t="s">
        <v>1600</v>
      </c>
      <c r="E107" s="1139">
        <v>0.3</v>
      </c>
      <c r="F107" s="1154">
        <v>50</v>
      </c>
    </row>
    <row r="108" spans="1:6" s="1105" customFormat="1" ht="36">
      <c r="A108" s="1154">
        <v>48</v>
      </c>
      <c r="B108" s="3503"/>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03" t="s">
        <v>1609</v>
      </c>
      <c r="C111" s="1154" t="s">
        <v>1610</v>
      </c>
      <c r="D111" s="1068" t="s">
        <v>1611</v>
      </c>
      <c r="E111" s="1139">
        <v>0.2</v>
      </c>
      <c r="F111" s="1154">
        <v>30</v>
      </c>
    </row>
    <row r="112" spans="1:6" s="1105" customFormat="1" ht="24">
      <c r="A112" s="1154">
        <v>52</v>
      </c>
      <c r="B112" s="3503"/>
      <c r="C112" s="1154" t="s">
        <v>1612</v>
      </c>
      <c r="D112" s="1068" t="s">
        <v>1613</v>
      </c>
      <c r="E112" s="1139">
        <v>0.2</v>
      </c>
      <c r="F112" s="1154">
        <v>30</v>
      </c>
    </row>
    <row r="113" spans="1:14" s="1105" customFormat="1" ht="24">
      <c r="A113" s="1154">
        <v>53</v>
      </c>
      <c r="B113" s="3503"/>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03" t="s">
        <v>1622</v>
      </c>
      <c r="C116" s="1154" t="s">
        <v>1623</v>
      </c>
      <c r="D116" s="1068" t="s">
        <v>1624</v>
      </c>
      <c r="E116" s="1139">
        <v>0.2</v>
      </c>
      <c r="F116" s="1154">
        <v>30</v>
      </c>
    </row>
    <row r="117" spans="1:14" ht="36">
      <c r="A117" s="1154">
        <v>57</v>
      </c>
      <c r="B117" s="3503"/>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02" t="s">
        <v>1631</v>
      </c>
      <c r="B121" s="3502"/>
      <c r="C121" s="3502"/>
      <c r="D121" s="3502"/>
      <c r="E121" s="3502"/>
      <c r="F121" s="3502"/>
      <c r="G121" s="3502"/>
      <c r="H121" s="3502"/>
      <c r="I121" s="3502"/>
      <c r="J121" s="35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5" t="s">
        <v>1037</v>
      </c>
      <c r="B1" s="3515"/>
      <c r="C1" s="3515"/>
      <c r="D1" s="3515"/>
      <c r="E1" s="3515"/>
      <c r="F1" s="3515"/>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16" t="s">
        <v>1050</v>
      </c>
      <c r="B2" s="3516"/>
      <c r="C2" s="3516"/>
      <c r="D2" s="3516"/>
      <c r="E2" s="3516"/>
      <c r="F2" s="3516"/>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17"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18"/>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19" t="s">
        <v>2075</v>
      </c>
      <c r="B1" s="3519"/>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2983</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9945</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3003</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6554</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5158</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3853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2898</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2317</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25.5">
      <c r="A8" s="3499"/>
      <c r="B8" s="1415" t="s">
        <v>931</v>
      </c>
      <c r="C8" s="1530" t="s">
        <v>3005</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0"/>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0.93700000000000006</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0.93700000000000006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4798</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1200</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02" t="s">
        <v>1631</v>
      </c>
      <c r="B90" s="3502"/>
      <c r="C90" s="3502"/>
      <c r="D90" s="3502"/>
      <c r="E90" s="3502"/>
      <c r="F90" s="3502"/>
      <c r="G90" s="3502"/>
      <c r="H90" s="3502"/>
      <c r="I90" s="3502"/>
      <c r="J90" s="3502"/>
      <c r="K90" s="3188"/>
      <c r="L90" s="3188"/>
      <c r="M90" s="3188"/>
      <c r="N90" s="3188"/>
    </row>
    <row r="91" spans="1:40">
      <c r="A91" s="3503" t="s">
        <v>895</v>
      </c>
      <c r="B91" s="3503" t="s">
        <v>1632</v>
      </c>
      <c r="C91" s="1140" t="s">
        <v>1633</v>
      </c>
      <c r="D91" s="1141"/>
      <c r="E91" s="1141"/>
      <c r="F91" s="1141"/>
      <c r="G91" s="1141"/>
      <c r="H91" s="1141"/>
      <c r="I91" s="1141"/>
      <c r="J91" s="1142"/>
      <c r="K91" s="1134"/>
      <c r="L91" s="1134"/>
      <c r="M91" s="1134"/>
      <c r="N91" s="1134"/>
    </row>
    <row r="92" spans="1:40">
      <c r="A92" s="3503"/>
      <c r="B92" s="3503"/>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1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1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1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1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1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1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11"/>
      <c r="B108" s="351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2"/>
      <c r="B109" s="351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497" t="s">
        <v>1637</v>
      </c>
      <c r="B110" s="3497"/>
      <c r="C110" s="3497"/>
      <c r="D110" s="3497"/>
      <c r="E110" s="3497"/>
      <c r="F110" s="3497"/>
      <c r="G110" s="3497"/>
      <c r="H110" s="3497"/>
      <c r="I110" s="3497"/>
      <c r="J110" s="3497"/>
      <c r="K110" s="3187"/>
      <c r="L110" s="3187"/>
      <c r="M110" s="3187"/>
      <c r="N110" s="3187"/>
    </row>
    <row r="112" spans="1:14" ht="12.75" thickBot="1"/>
    <row r="113" spans="1:13" ht="25.5" thickBot="1">
      <c r="A113" s="1016" t="s">
        <v>893</v>
      </c>
      <c r="B113" s="2453">
        <f>G3</f>
        <v>2.27</v>
      </c>
      <c r="C113" s="1017" t="s">
        <v>894</v>
      </c>
      <c r="D113" s="1018">
        <f>SUMPRODUCT((A115:A118=F113)*(B114:M114=H113)*B115:M118)</f>
        <v>0.65380000000000005</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9866</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3004</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6502</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5117</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2875</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2299</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15">
      <c r="A8" s="3499"/>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0"/>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0.95879999999999999</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0.95879999999999999</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4871</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1218</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02" t="s">
        <v>1631</v>
      </c>
      <c r="B90" s="3502"/>
      <c r="C90" s="3502"/>
      <c r="D90" s="3502"/>
      <c r="E90" s="3502"/>
      <c r="F90" s="3502"/>
      <c r="G90" s="3502"/>
      <c r="H90" s="3502"/>
      <c r="I90" s="3502"/>
      <c r="J90" s="3502"/>
      <c r="K90" s="3188"/>
      <c r="L90" s="3188"/>
      <c r="M90" s="3188"/>
      <c r="N90" s="3188"/>
    </row>
    <row r="91" spans="1:40">
      <c r="A91" s="3503" t="s">
        <v>895</v>
      </c>
      <c r="B91" s="3503" t="s">
        <v>1632</v>
      </c>
      <c r="C91" s="1140" t="s">
        <v>1633</v>
      </c>
      <c r="D91" s="1141"/>
      <c r="E91" s="1141"/>
      <c r="F91" s="1141"/>
      <c r="G91" s="1141"/>
      <c r="H91" s="1141"/>
      <c r="I91" s="1141"/>
      <c r="J91" s="1142"/>
      <c r="K91" s="1134"/>
      <c r="L91" s="1134"/>
      <c r="M91" s="1134"/>
      <c r="N91" s="1134"/>
    </row>
    <row r="92" spans="1:40">
      <c r="A92" s="3503"/>
      <c r="B92" s="3503"/>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1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1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1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1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1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1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11"/>
      <c r="B108" s="351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2"/>
      <c r="B109" s="351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497" t="s">
        <v>1637</v>
      </c>
      <c r="B110" s="3497"/>
      <c r="C110" s="3497"/>
      <c r="D110" s="3497"/>
      <c r="E110" s="3497"/>
      <c r="F110" s="3497"/>
      <c r="G110" s="3497"/>
      <c r="H110" s="3497"/>
      <c r="I110" s="3497"/>
      <c r="J110" s="3497"/>
      <c r="K110" s="3187"/>
      <c r="L110" s="3187"/>
      <c r="M110" s="3187"/>
      <c r="N110" s="3187"/>
    </row>
    <row r="112" spans="1:14" ht="12.75" thickBot="1"/>
    <row r="113" spans="1:13" ht="25.5" thickBot="1">
      <c r="A113" s="1016" t="s">
        <v>893</v>
      </c>
      <c r="B113" s="2453">
        <f>G3</f>
        <v>2.27</v>
      </c>
      <c r="C113" s="1017" t="s">
        <v>894</v>
      </c>
      <c r="D113" s="1018">
        <f>SUMPRODUCT((A115:A118=F113)*(B114:M114=H113)*B115:M118)</f>
        <v>0.73760000000000003</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467" t="s">
        <v>519</v>
      </c>
      <c r="D4" s="3468"/>
      <c r="E4" s="3491" t="s">
        <v>520</v>
      </c>
      <c r="F4" s="3492"/>
      <c r="G4" s="3467" t="s">
        <v>521</v>
      </c>
      <c r="H4" s="3468"/>
      <c r="I4" s="3467" t="s">
        <v>522</v>
      </c>
      <c r="J4" s="3468"/>
      <c r="K4" s="514" t="s">
        <v>523</v>
      </c>
      <c r="L4" s="2135"/>
      <c r="M4" s="2136"/>
      <c r="N4" s="2136"/>
      <c r="O4" s="2136"/>
      <c r="P4" s="3520" t="s">
        <v>524</v>
      </c>
      <c r="Q4" s="3470"/>
      <c r="R4" s="3455" t="s">
        <v>520</v>
      </c>
      <c r="S4" s="3456"/>
      <c r="T4" s="3455" t="s">
        <v>521</v>
      </c>
      <c r="U4" s="3456"/>
      <c r="V4" s="3475" t="s">
        <v>522</v>
      </c>
      <c r="W4" s="3475"/>
      <c r="X4" s="1568"/>
      <c r="Y4" s="3455" t="s">
        <v>524</v>
      </c>
      <c r="Z4" s="3456"/>
      <c r="AA4" s="3450" t="s">
        <v>520</v>
      </c>
      <c r="AB4" s="3450"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52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522"/>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62"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62" t="s">
        <v>530</v>
      </c>
      <c r="Q8" s="3454"/>
      <c r="R8" s="1569" t="s">
        <v>8</v>
      </c>
      <c r="S8" s="1570">
        <f t="shared" si="0"/>
        <v>0</v>
      </c>
      <c r="T8" s="1569" t="s">
        <v>8</v>
      </c>
      <c r="U8" s="1570">
        <f t="shared" si="1"/>
        <v>0</v>
      </c>
      <c r="V8" s="1569" t="s">
        <v>8</v>
      </c>
      <c r="W8" s="1570">
        <f t="shared" si="2"/>
        <v>0</v>
      </c>
      <c r="X8" s="1571"/>
      <c r="Y8" s="3453" t="s">
        <v>530</v>
      </c>
      <c r="Z8" s="3454"/>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63" t="s">
        <v>537</v>
      </c>
      <c r="Q15" s="1573" t="str">
        <f t="shared" si="6"/>
        <v>办公集聚程度</v>
      </c>
      <c r="R15" s="1574" t="s">
        <v>8</v>
      </c>
      <c r="S15" s="1575">
        <f t="shared" si="0"/>
        <v>100</v>
      </c>
      <c r="T15" s="1574" t="s">
        <v>8</v>
      </c>
      <c r="U15" s="1575">
        <f t="shared" si="1"/>
        <v>100</v>
      </c>
      <c r="V15" s="1574" t="s">
        <v>8</v>
      </c>
      <c r="W15" s="1575">
        <f t="shared" si="2"/>
        <v>100</v>
      </c>
      <c r="X15" s="1568"/>
      <c r="Y15" s="3463"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64"/>
      <c r="Q16" s="1573"/>
      <c r="R16" s="1574"/>
      <c r="S16" s="1575"/>
      <c r="T16" s="1574"/>
      <c r="U16" s="1575"/>
      <c r="V16" s="1574"/>
      <c r="W16" s="1575"/>
      <c r="X16" s="1568"/>
      <c r="Y16" s="3464"/>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64"/>
      <c r="Q18" s="1573"/>
      <c r="R18" s="1574"/>
      <c r="S18" s="1575"/>
      <c r="T18" s="1574"/>
      <c r="U18" s="1575"/>
      <c r="V18" s="1574"/>
      <c r="W18" s="1575"/>
      <c r="X18" s="1568"/>
      <c r="Y18" s="3464"/>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64"/>
      <c r="Q20" s="1573"/>
      <c r="R20" s="1574"/>
      <c r="S20" s="1575"/>
      <c r="T20" s="1574"/>
      <c r="U20" s="1575"/>
      <c r="V20" s="1574"/>
      <c r="W20" s="1575"/>
      <c r="X20" s="1568"/>
      <c r="Y20" s="3464"/>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64"/>
      <c r="Q22" s="2581"/>
      <c r="R22" s="1574"/>
      <c r="S22" s="1575"/>
      <c r="T22" s="1574"/>
      <c r="U22" s="1575"/>
      <c r="V22" s="1574"/>
      <c r="W22" s="1575"/>
      <c r="X22" s="2583"/>
      <c r="Y22" s="3464"/>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64"/>
      <c r="Q23" s="1573" t="str">
        <f>B23</f>
        <v>环境质量</v>
      </c>
      <c r="R23" s="1574" t="s">
        <v>8</v>
      </c>
      <c r="S23" s="1575">
        <f>F23</f>
        <v>100</v>
      </c>
      <c r="T23" s="1574" t="s">
        <v>8</v>
      </c>
      <c r="U23" s="1575">
        <f>H23</f>
        <v>100</v>
      </c>
      <c r="V23" s="1574" t="s">
        <v>8</v>
      </c>
      <c r="W23" s="1575">
        <f>J23</f>
        <v>100</v>
      </c>
      <c r="X23" s="1568"/>
      <c r="Y23" s="346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64"/>
      <c r="Q24" s="1573"/>
      <c r="R24" s="1574"/>
      <c r="S24" s="1575"/>
      <c r="T24" s="1574"/>
      <c r="U24" s="1575"/>
      <c r="V24" s="1574"/>
      <c r="W24" s="1575"/>
      <c r="X24" s="1568"/>
      <c r="Y24" s="3464"/>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64"/>
      <c r="Q25" s="1573" t="str">
        <f>B25</f>
        <v>毗邻道路的类型与等级</v>
      </c>
      <c r="R25" s="1574" t="s">
        <v>8</v>
      </c>
      <c r="S25" s="1575">
        <f>F25</f>
        <v>100</v>
      </c>
      <c r="T25" s="1574" t="s">
        <v>8</v>
      </c>
      <c r="U25" s="1575">
        <f>H25</f>
        <v>100</v>
      </c>
      <c r="V25" s="1574" t="s">
        <v>8</v>
      </c>
      <c r="W25" s="1575">
        <f>J25</f>
        <v>100</v>
      </c>
      <c r="X25" s="1568"/>
      <c r="Y25" s="346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64"/>
      <c r="Q26" s="1573"/>
      <c r="R26" s="1574"/>
      <c r="S26" s="1575"/>
      <c r="T26" s="1574"/>
      <c r="U26" s="1575"/>
      <c r="V26" s="1574"/>
      <c r="W26" s="1575"/>
      <c r="X26" s="1568"/>
      <c r="Y26" s="3464"/>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64"/>
      <c r="Q27" s="1573" t="str">
        <f t="shared" ref="Q27:Q47" si="11">B27</f>
        <v>楼层</v>
      </c>
      <c r="R27" s="1574" t="s">
        <v>8</v>
      </c>
      <c r="S27" s="1575">
        <f>F27</f>
        <v>100</v>
      </c>
      <c r="T27" s="1574" t="s">
        <v>8</v>
      </c>
      <c r="U27" s="1575">
        <f>H27</f>
        <v>100</v>
      </c>
      <c r="V27" s="1574" t="s">
        <v>8</v>
      </c>
      <c r="W27" s="1575">
        <f>J27</f>
        <v>100</v>
      </c>
      <c r="X27" s="1568"/>
      <c r="Y27" s="3464"/>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64"/>
      <c r="Q28" s="1151" t="str">
        <f t="shared" si="11"/>
        <v>朝向</v>
      </c>
      <c r="R28" s="1569" t="s">
        <v>8</v>
      </c>
      <c r="S28" s="1570">
        <f>F28</f>
        <v>100</v>
      </c>
      <c r="T28" s="1569" t="s">
        <v>8</v>
      </c>
      <c r="U28" s="1570">
        <f>H28</f>
        <v>100</v>
      </c>
      <c r="V28" s="1569" t="s">
        <v>8</v>
      </c>
      <c r="W28" s="1570">
        <f>J28</f>
        <v>100</v>
      </c>
      <c r="X28" s="1571"/>
      <c r="Y28" s="346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64"/>
      <c r="Q29" s="1573">
        <f t="shared" si="11"/>
        <v>111</v>
      </c>
      <c r="R29" s="1574" t="s">
        <v>8</v>
      </c>
      <c r="S29" s="1575">
        <f t="shared" ref="S29:S47" si="12">F29</f>
        <v>100</v>
      </c>
      <c r="T29" s="1574" t="s">
        <v>8</v>
      </c>
      <c r="U29" s="1575">
        <f t="shared" ref="U29:U47" si="13">H29</f>
        <v>100</v>
      </c>
      <c r="V29" s="1574" t="s">
        <v>8</v>
      </c>
      <c r="W29" s="1575">
        <f t="shared" ref="W29:W47" si="14">J29</f>
        <v>100</v>
      </c>
      <c r="X29" s="1568"/>
      <c r="Y29" s="346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64"/>
      <c r="Q30" s="1573">
        <f t="shared" si="11"/>
        <v>111</v>
      </c>
      <c r="R30" s="1574" t="s">
        <v>8</v>
      </c>
      <c r="S30" s="1575">
        <f t="shared" si="12"/>
        <v>100</v>
      </c>
      <c r="T30" s="1574" t="s">
        <v>8</v>
      </c>
      <c r="U30" s="1575">
        <f t="shared" si="13"/>
        <v>100</v>
      </c>
      <c r="V30" s="1574" t="s">
        <v>8</v>
      </c>
      <c r="W30" s="1575">
        <f t="shared" si="14"/>
        <v>100</v>
      </c>
      <c r="X30" s="1568"/>
      <c r="Y30" s="346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64"/>
      <c r="Q31" s="1573">
        <f t="shared" si="11"/>
        <v>111</v>
      </c>
      <c r="R31" s="1574" t="s">
        <v>8</v>
      </c>
      <c r="S31" s="1575">
        <f t="shared" si="12"/>
        <v>100</v>
      </c>
      <c r="T31" s="1574" t="s">
        <v>8</v>
      </c>
      <c r="U31" s="1575">
        <f t="shared" si="13"/>
        <v>100</v>
      </c>
      <c r="V31" s="1574" t="s">
        <v>8</v>
      </c>
      <c r="W31" s="1575">
        <f t="shared" si="14"/>
        <v>100</v>
      </c>
      <c r="X31" s="1568"/>
      <c r="Y31" s="346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64"/>
      <c r="Q32" s="1573">
        <f t="shared" si="11"/>
        <v>111</v>
      </c>
      <c r="R32" s="1574" t="s">
        <v>8</v>
      </c>
      <c r="S32" s="1575">
        <f t="shared" si="12"/>
        <v>100</v>
      </c>
      <c r="T32" s="1574" t="s">
        <v>8</v>
      </c>
      <c r="U32" s="1575">
        <f t="shared" si="13"/>
        <v>100</v>
      </c>
      <c r="V32" s="1574" t="s">
        <v>8</v>
      </c>
      <c r="W32" s="1575">
        <f t="shared" si="14"/>
        <v>100</v>
      </c>
      <c r="X32" s="1568"/>
      <c r="Y32" s="3464"/>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65" t="s">
        <v>547</v>
      </c>
      <c r="Q33" s="1573" t="str">
        <f t="shared" si="11"/>
        <v>建筑类型</v>
      </c>
      <c r="R33" s="1574" t="s">
        <v>8</v>
      </c>
      <c r="S33" s="1575">
        <f t="shared" si="12"/>
        <v>100</v>
      </c>
      <c r="T33" s="1574" t="s">
        <v>8</v>
      </c>
      <c r="U33" s="1575">
        <f t="shared" si="13"/>
        <v>100</v>
      </c>
      <c r="V33" s="1574" t="s">
        <v>8</v>
      </c>
      <c r="W33" s="1575">
        <f t="shared" si="14"/>
        <v>100</v>
      </c>
      <c r="X33" s="1568"/>
      <c r="Y33" s="3466"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66"/>
      <c r="Q34" s="1606" t="str">
        <f t="shared" si="11"/>
        <v>项目建筑规模</v>
      </c>
      <c r="R34" s="1578" t="s">
        <v>8</v>
      </c>
      <c r="S34" s="1579" t="e">
        <f t="shared" si="12"/>
        <v>#N/A</v>
      </c>
      <c r="T34" s="1578" t="s">
        <v>8</v>
      </c>
      <c r="U34" s="1579" t="e">
        <f t="shared" si="13"/>
        <v>#N/A</v>
      </c>
      <c r="V34" s="1578" t="s">
        <v>8</v>
      </c>
      <c r="W34" s="1579" t="e">
        <f t="shared" si="14"/>
        <v>#N/A</v>
      </c>
      <c r="X34" s="1580"/>
      <c r="Y34" s="3466"/>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66"/>
      <c r="Q35" s="1573" t="str">
        <f t="shared" si="11"/>
        <v>建筑结构</v>
      </c>
      <c r="R35" s="1574" t="s">
        <v>8</v>
      </c>
      <c r="S35" s="1575">
        <f t="shared" si="12"/>
        <v>100</v>
      </c>
      <c r="T35" s="1574" t="s">
        <v>8</v>
      </c>
      <c r="U35" s="1575">
        <f t="shared" si="13"/>
        <v>100</v>
      </c>
      <c r="V35" s="1574" t="s">
        <v>8</v>
      </c>
      <c r="W35" s="1575">
        <f t="shared" si="14"/>
        <v>100</v>
      </c>
      <c r="X35" s="1568"/>
      <c r="Y35" s="3466"/>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66"/>
      <c r="Q36" s="1573" t="str">
        <f t="shared" si="11"/>
        <v>公共部分装修</v>
      </c>
      <c r="R36" s="1574" t="s">
        <v>8</v>
      </c>
      <c r="S36" s="1575">
        <f t="shared" si="12"/>
        <v>100</v>
      </c>
      <c r="T36" s="1574" t="s">
        <v>8</v>
      </c>
      <c r="U36" s="1575">
        <f t="shared" si="13"/>
        <v>100</v>
      </c>
      <c r="V36" s="1574" t="s">
        <v>8</v>
      </c>
      <c r="W36" s="1575">
        <f t="shared" si="14"/>
        <v>100</v>
      </c>
      <c r="X36" s="1568"/>
      <c r="Y36" s="3466"/>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66"/>
      <c r="Q37" s="1573" t="str">
        <f t="shared" si="11"/>
        <v>成新度</v>
      </c>
      <c r="R37" s="1574" t="s">
        <v>8</v>
      </c>
      <c r="S37" s="1575" t="e">
        <f t="shared" si="12"/>
        <v>#N/A</v>
      </c>
      <c r="T37" s="1574" t="s">
        <v>8</v>
      </c>
      <c r="U37" s="1575" t="e">
        <f t="shared" si="13"/>
        <v>#N/A</v>
      </c>
      <c r="V37" s="1574" t="s">
        <v>8</v>
      </c>
      <c r="W37" s="1575" t="e">
        <f t="shared" si="14"/>
        <v>#N/A</v>
      </c>
      <c r="X37" s="1568"/>
      <c r="Y37" s="3466"/>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66"/>
      <c r="Q38" s="1151" t="str">
        <f t="shared" si="11"/>
        <v>写字楼等级</v>
      </c>
      <c r="R38" s="1569" t="s">
        <v>8</v>
      </c>
      <c r="S38" s="1570">
        <f t="shared" si="12"/>
        <v>100</v>
      </c>
      <c r="T38" s="1569" t="s">
        <v>8</v>
      </c>
      <c r="U38" s="1570">
        <f t="shared" si="13"/>
        <v>100</v>
      </c>
      <c r="V38" s="1569" t="s">
        <v>8</v>
      </c>
      <c r="W38" s="1570">
        <f t="shared" si="14"/>
        <v>100</v>
      </c>
      <c r="X38" s="1571"/>
      <c r="Y38" s="3466"/>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66" t="s">
        <v>547</v>
      </c>
      <c r="Q39" s="1573" t="str">
        <f t="shared" si="11"/>
        <v>物业管理</v>
      </c>
      <c r="R39" s="1574" t="s">
        <v>8</v>
      </c>
      <c r="S39" s="1575">
        <f t="shared" si="12"/>
        <v>100</v>
      </c>
      <c r="T39" s="1574" t="s">
        <v>8</v>
      </c>
      <c r="U39" s="1575">
        <f t="shared" si="13"/>
        <v>100</v>
      </c>
      <c r="V39" s="1574" t="s">
        <v>8</v>
      </c>
      <c r="W39" s="1575">
        <f t="shared" si="14"/>
        <v>100</v>
      </c>
      <c r="X39" s="1568"/>
      <c r="Y39" s="3466"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66"/>
      <c r="Q40" s="1573" t="str">
        <f t="shared" si="11"/>
        <v>市政基础设施</v>
      </c>
      <c r="R40" s="1574" t="s">
        <v>8</v>
      </c>
      <c r="S40" s="1575">
        <f t="shared" si="12"/>
        <v>100</v>
      </c>
      <c r="T40" s="1574" t="s">
        <v>8</v>
      </c>
      <c r="U40" s="1575">
        <f t="shared" si="13"/>
        <v>100</v>
      </c>
      <c r="V40" s="1574" t="s">
        <v>8</v>
      </c>
      <c r="W40" s="1575">
        <f t="shared" si="14"/>
        <v>100</v>
      </c>
      <c r="X40" s="1568"/>
      <c r="Y40" s="3466"/>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66"/>
      <c r="Q41" s="1573" t="str">
        <f t="shared" si="11"/>
        <v>层高</v>
      </c>
      <c r="R41" s="1574" t="s">
        <v>8</v>
      </c>
      <c r="S41" s="1575">
        <f t="shared" si="12"/>
        <v>100</v>
      </c>
      <c r="T41" s="1574" t="s">
        <v>8</v>
      </c>
      <c r="U41" s="1575">
        <f t="shared" si="13"/>
        <v>100</v>
      </c>
      <c r="V41" s="1574" t="s">
        <v>8</v>
      </c>
      <c r="W41" s="1575">
        <f t="shared" si="14"/>
        <v>100</v>
      </c>
      <c r="X41" s="1568"/>
      <c r="Y41" s="3466"/>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66"/>
      <c r="Q42" s="1606" t="str">
        <f t="shared" si="11"/>
        <v>单套建筑面积</v>
      </c>
      <c r="R42" s="1578" t="s">
        <v>8</v>
      </c>
      <c r="S42" s="1579">
        <f t="shared" si="12"/>
        <v>100</v>
      </c>
      <c r="T42" s="1578" t="s">
        <v>8</v>
      </c>
      <c r="U42" s="1579">
        <f t="shared" si="13"/>
        <v>100</v>
      </c>
      <c r="V42" s="1578" t="s">
        <v>8</v>
      </c>
      <c r="W42" s="1579">
        <f t="shared" si="14"/>
        <v>100</v>
      </c>
      <c r="X42" s="1580"/>
      <c r="Y42" s="3466"/>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66"/>
      <c r="Q43" s="1573" t="str">
        <f t="shared" si="11"/>
        <v>内部装修</v>
      </c>
      <c r="R43" s="1574" t="s">
        <v>8</v>
      </c>
      <c r="S43" s="1575">
        <f t="shared" si="12"/>
        <v>100</v>
      </c>
      <c r="T43" s="1574" t="s">
        <v>8</v>
      </c>
      <c r="U43" s="1575">
        <f t="shared" si="13"/>
        <v>100</v>
      </c>
      <c r="V43" s="1574" t="s">
        <v>8</v>
      </c>
      <c r="W43" s="1575">
        <f t="shared" si="14"/>
        <v>100</v>
      </c>
      <c r="X43" s="1568"/>
      <c r="Y43" s="3466"/>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66"/>
      <c r="Q44" s="1573" t="str">
        <f t="shared" si="11"/>
        <v>内部装修维护情况</v>
      </c>
      <c r="R44" s="1574" t="s">
        <v>8</v>
      </c>
      <c r="S44" s="1575">
        <f t="shared" si="12"/>
        <v>100</v>
      </c>
      <c r="T44" s="1574" t="s">
        <v>8</v>
      </c>
      <c r="U44" s="1575">
        <f t="shared" si="13"/>
        <v>100</v>
      </c>
      <c r="V44" s="1574" t="s">
        <v>8</v>
      </c>
      <c r="W44" s="1575">
        <f t="shared" si="14"/>
        <v>100</v>
      </c>
      <c r="X44" s="1568"/>
      <c r="Y44" s="346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66"/>
      <c r="Q45" s="1151">
        <f t="shared" si="11"/>
        <v>111</v>
      </c>
      <c r="R45" s="1569" t="s">
        <v>8</v>
      </c>
      <c r="S45" s="1570">
        <f t="shared" si="12"/>
        <v>100</v>
      </c>
      <c r="T45" s="1569" t="s">
        <v>8</v>
      </c>
      <c r="U45" s="1570">
        <f t="shared" si="13"/>
        <v>100</v>
      </c>
      <c r="V45" s="1569" t="s">
        <v>8</v>
      </c>
      <c r="W45" s="1570">
        <f t="shared" si="14"/>
        <v>100</v>
      </c>
      <c r="X45" s="1571"/>
      <c r="Y45" s="346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3"/>
      <c r="Q47" s="1573">
        <f t="shared" si="11"/>
        <v>111</v>
      </c>
      <c r="R47" s="1574" t="s">
        <v>8</v>
      </c>
      <c r="S47" s="1575">
        <f t="shared" si="12"/>
        <v>100</v>
      </c>
      <c r="T47" s="1574" t="s">
        <v>8</v>
      </c>
      <c r="U47" s="1575">
        <f t="shared" si="13"/>
        <v>100</v>
      </c>
      <c r="V47" s="1574" t="s">
        <v>8</v>
      </c>
      <c r="W47" s="1575">
        <f t="shared" si="14"/>
        <v>100</v>
      </c>
      <c r="X47" s="1568"/>
      <c r="Y47" s="3523"/>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83" t="str">
        <f>A48</f>
        <v>成交单价（元/平方米）</v>
      </c>
      <c r="Q48" s="3461"/>
      <c r="R48" s="3524">
        <f>E48</f>
        <v>0</v>
      </c>
      <c r="S48" s="3524"/>
      <c r="T48" s="3524">
        <f>G48</f>
        <v>0</v>
      </c>
      <c r="U48" s="3524"/>
      <c r="V48" s="3524">
        <f>I48</f>
        <v>0</v>
      </c>
      <c r="W48" s="3524"/>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83" t="str">
        <f>A49</f>
        <v>比较价格（元/平方米）</v>
      </c>
      <c r="Q49" s="3461"/>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25" t="str">
        <f>A50</f>
        <v>估价对象XX用房的比较价格（楼面单价，元/平方米）</v>
      </c>
      <c r="Q50" s="3483"/>
      <c r="R50" s="3526" t="e">
        <f>IF(F1="售价",ROUND(AVERAGE(R49:V49),0),ROUND(AVERAGE(R49:V49),1))</f>
        <v>#DIV/0!</v>
      </c>
      <c r="S50" s="3526"/>
      <c r="T50" s="3526"/>
      <c r="U50" s="3526"/>
      <c r="V50" s="3526"/>
      <c r="W50" s="352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634</v>
      </c>
      <c r="F6" s="785">
        <f ca="1">INDIRECT("'数据-取费表'!u"&amp;$G$1)</f>
        <v>0</v>
      </c>
      <c r="G6" s="1593"/>
      <c r="H6" s="2506" t="s">
        <v>1818</v>
      </c>
      <c r="I6" s="3527" t="s">
        <v>2459</v>
      </c>
      <c r="J6" s="783">
        <f ca="1">ROUND(M6*M8*M7*(1-M9)/10000,0)</f>
        <v>0</v>
      </c>
      <c r="K6" s="341" t="s">
        <v>633</v>
      </c>
      <c r="L6" s="784" t="s">
        <v>634</v>
      </c>
      <c r="M6" s="785">
        <f ca="1">INDIRECT("'数据-取费表'!z"&amp;$G$1)</f>
        <v>0</v>
      </c>
    </row>
    <row r="7" spans="1:33" ht="18" customHeight="1">
      <c r="A7" s="2502"/>
      <c r="B7" s="3528"/>
      <c r="C7" s="788"/>
      <c r="D7" s="789"/>
      <c r="E7" s="784" t="s">
        <v>635</v>
      </c>
      <c r="F7" s="785">
        <f ca="1">IF(INDIRECT("'数据-取费表'!ah"&amp;$G$1)="",INDIRECT("'数据-取费表'!k"&amp;$G$1),INDIRECT("'数据-取费表'!ah"&amp;$G$1))</f>
        <v>0</v>
      </c>
      <c r="G7" s="1593"/>
      <c r="H7" s="2491"/>
      <c r="I7" s="3528"/>
      <c r="J7" s="788"/>
      <c r="K7" s="789"/>
      <c r="L7" s="784" t="s">
        <v>635</v>
      </c>
      <c r="M7" s="785">
        <f ca="1">F7</f>
        <v>0</v>
      </c>
    </row>
    <row r="8" spans="1:33" ht="18" customHeight="1">
      <c r="A8" s="2495"/>
      <c r="B8" s="3529"/>
      <c r="C8" s="788"/>
      <c r="D8" s="789"/>
      <c r="E8" s="784" t="s">
        <v>636</v>
      </c>
      <c r="F8" s="785">
        <f ca="1">INDIRECT("'数据-取费表'!ai"&amp;$G$1)</f>
        <v>0</v>
      </c>
      <c r="G8" s="1593"/>
      <c r="H8" s="2491"/>
      <c r="I8" s="3529"/>
      <c r="J8" s="788"/>
      <c r="K8" s="789"/>
      <c r="L8" s="784" t="s">
        <v>636</v>
      </c>
      <c r="M8" s="785">
        <f ca="1">INDIRECT("'数据-取费表'!ai"&amp;$G$1)</f>
        <v>0</v>
      </c>
    </row>
    <row r="9" spans="1:33" ht="18" customHeight="1">
      <c r="A9" s="786"/>
      <c r="B9" s="3530"/>
      <c r="C9" s="788"/>
      <c r="D9" s="789"/>
      <c r="E9" s="784" t="s">
        <v>637</v>
      </c>
      <c r="F9" s="794">
        <f ca="1">INDIRECT("'数据-取费表'!w"&amp;$G$1)</f>
        <v>0</v>
      </c>
      <c r="G9" s="1593"/>
      <c r="H9" s="2507"/>
      <c r="I9" s="3529"/>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t="str">
        <f ca="1">IF(OR(M47="住宅",J51&lt;L48,J56="是"),"——",J51-L48)</f>
        <v>——</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27" t="s">
        <v>2459</v>
      </c>
      <c r="C8" s="1827">
        <f ca="1">ROUND(F8*F10*F9*(1-F11)/10000,0)</f>
        <v>0</v>
      </c>
      <c r="D8" s="1824" t="s">
        <v>2530</v>
      </c>
      <c r="E8" s="61" t="s">
        <v>634</v>
      </c>
      <c r="F8" s="785">
        <f ca="1">INDIRECT("'数据-取费表'!u"&amp;$G$1)</f>
        <v>0</v>
      </c>
      <c r="G8" s="1593"/>
      <c r="H8" s="2506" t="s">
        <v>1818</v>
      </c>
      <c r="I8" s="3527" t="s">
        <v>2459</v>
      </c>
      <c r="J8" s="783">
        <f ca="1">ROUND(M8*M10*M9*(1-M11)/10000,0)</f>
        <v>0</v>
      </c>
      <c r="K8" s="341" t="s">
        <v>2530</v>
      </c>
      <c r="L8" s="784" t="s">
        <v>1732</v>
      </c>
      <c r="M8" s="785">
        <f ca="1">INDIRECT("'数据-取费表'!z"&amp;$G$1)</f>
        <v>0</v>
      </c>
    </row>
    <row r="9" spans="1:25" ht="18" customHeight="1">
      <c r="A9" s="2502"/>
      <c r="B9" s="3528"/>
      <c r="C9" s="1828"/>
      <c r="D9" s="1825"/>
      <c r="E9" s="61" t="s">
        <v>635</v>
      </c>
      <c r="F9" s="785">
        <f ca="1">IF(INDIRECT("'数据-取费表'!ah"&amp;$G$1)="",INDIRECT("'数据-取费表'!k"&amp;$G$1),INDIRECT("'数据-取费表'!ah"&amp;$G$1))</f>
        <v>0</v>
      </c>
      <c r="G9" s="1593"/>
      <c r="H9" s="2491"/>
      <c r="I9" s="3528"/>
      <c r="J9" s="788"/>
      <c r="K9" s="789"/>
      <c r="L9" s="784" t="s">
        <v>1733</v>
      </c>
      <c r="M9" s="785">
        <f ca="1">F9</f>
        <v>0</v>
      </c>
    </row>
    <row r="10" spans="1:25" ht="18" customHeight="1">
      <c r="A10" s="2495"/>
      <c r="B10" s="3529"/>
      <c r="C10" s="1828"/>
      <c r="D10" s="1825"/>
      <c r="E10" s="61" t="s">
        <v>636</v>
      </c>
      <c r="F10" s="785">
        <f ca="1">INDIRECT("'数据-取费表'!ai"&amp;$G$1)</f>
        <v>0</v>
      </c>
      <c r="G10" s="1593"/>
      <c r="H10" s="2491"/>
      <c r="I10" s="3529"/>
      <c r="J10" s="788"/>
      <c r="K10" s="789"/>
      <c r="L10" s="784" t="s">
        <v>1734</v>
      </c>
      <c r="M10" s="785">
        <f ca="1">INDIRECT("'数据-取费表'!ai"&amp;$G$1)</f>
        <v>0</v>
      </c>
    </row>
    <row r="11" spans="1:25" ht="18" customHeight="1">
      <c r="A11" s="786"/>
      <c r="B11" s="3530"/>
      <c r="C11" s="1828"/>
      <c r="D11" s="1825"/>
      <c r="E11" s="61" t="s">
        <v>637</v>
      </c>
      <c r="F11" s="794">
        <f ca="1">INDIRECT("'数据-取费表'!w"&amp;$G$1)</f>
        <v>0</v>
      </c>
      <c r="G11" s="1593"/>
      <c r="H11" s="2507"/>
      <c r="I11" s="3529"/>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33"/>
      <c r="J36" s="2081"/>
      <c r="K36" s="2082"/>
      <c r="L36" s="2081"/>
      <c r="M36" s="2081"/>
    </row>
    <row r="37" spans="1:18" ht="18" customHeight="1">
      <c r="A37" s="815"/>
      <c r="B37" s="793"/>
      <c r="C37" s="69"/>
      <c r="D37" s="816"/>
      <c r="E37" s="784" t="s">
        <v>671</v>
      </c>
      <c r="F37" s="785">
        <f ca="1">INDIRECT("'数据-取费表'!r"&amp;$G$1)</f>
        <v>0</v>
      </c>
      <c r="G37" s="2064"/>
      <c r="H37" s="2067"/>
      <c r="I37" s="3533"/>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e">
        <f ca="1">IF(M48="住宅",0,IF(L49&gt;J52,L61,J61))</f>
        <v>#DIV/0!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40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40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0</v>
      </c>
      <c r="K54" s="3534"/>
      <c r="L54" s="3535"/>
      <c r="O54" s="2403" t="s">
        <v>2384</v>
      </c>
      <c r="P54" s="2401" t="s">
        <v>2385</v>
      </c>
      <c r="Q54" s="2402">
        <f ca="1">J54</f>
        <v>0</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40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467" t="s">
        <v>519</v>
      </c>
      <c r="D4" s="3468"/>
      <c r="E4" s="3491" t="s">
        <v>520</v>
      </c>
      <c r="F4" s="3492"/>
      <c r="G4" s="3467" t="s">
        <v>521</v>
      </c>
      <c r="H4" s="3468"/>
      <c r="I4" s="3467" t="s">
        <v>522</v>
      </c>
      <c r="J4" s="3468"/>
      <c r="K4" s="514"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75"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75"/>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75"/>
      <c r="AC6" s="3452"/>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53"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63" t="s">
        <v>537</v>
      </c>
      <c r="Q15" s="1573" t="str">
        <f t="shared" si="6"/>
        <v>商业繁华度</v>
      </c>
      <c r="R15" s="1574" t="s">
        <v>8</v>
      </c>
      <c r="S15" s="1575">
        <f t="shared" si="0"/>
        <v>100</v>
      </c>
      <c r="T15" s="1574" t="s">
        <v>8</v>
      </c>
      <c r="U15" s="1575">
        <f t="shared" si="1"/>
        <v>100</v>
      </c>
      <c r="V15" s="1574" t="s">
        <v>8</v>
      </c>
      <c r="W15" s="1575">
        <f t="shared" si="2"/>
        <v>100</v>
      </c>
      <c r="X15" s="1568"/>
      <c r="Y15" s="3463"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64"/>
      <c r="Q22" s="2581"/>
      <c r="R22" s="1574"/>
      <c r="S22" s="1575"/>
      <c r="T22" s="1574"/>
      <c r="U22" s="1575"/>
      <c r="V22" s="1574"/>
      <c r="W22" s="1575"/>
      <c r="X22" s="2583"/>
      <c r="Y22" s="3464"/>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64"/>
      <c r="Q23" s="1573" t="str">
        <f>B23</f>
        <v>自然及人文环境</v>
      </c>
      <c r="R23" s="1574" t="s">
        <v>8</v>
      </c>
      <c r="S23" s="1575">
        <f>F23</f>
        <v>100</v>
      </c>
      <c r="T23" s="1574" t="s">
        <v>8</v>
      </c>
      <c r="U23" s="1575">
        <f>H23</f>
        <v>100</v>
      </c>
      <c r="V23" s="1574" t="s">
        <v>8</v>
      </c>
      <c r="W23" s="1575">
        <f>J23</f>
        <v>100</v>
      </c>
      <c r="X23" s="1568"/>
      <c r="Y23" s="34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64"/>
      <c r="Q25" s="1573" t="str">
        <f t="shared" ref="Q25:Q46" si="11">B25</f>
        <v>临街状况</v>
      </c>
      <c r="R25" s="1574" t="s">
        <v>8</v>
      </c>
      <c r="S25" s="1575">
        <f>F25</f>
        <v>100</v>
      </c>
      <c r="T25" s="1574" t="s">
        <v>8</v>
      </c>
      <c r="U25" s="1575">
        <f>H25</f>
        <v>100</v>
      </c>
      <c r="V25" s="1574" t="s">
        <v>8</v>
      </c>
      <c r="W25" s="1575">
        <f>J25</f>
        <v>100</v>
      </c>
      <c r="X25" s="1568"/>
      <c r="Y25" s="3464"/>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64"/>
      <c r="Q26" s="1573" t="str">
        <f t="shared" si="11"/>
        <v>平面位置/可视性</v>
      </c>
      <c r="R26" s="1574" t="s">
        <v>8</v>
      </c>
      <c r="S26" s="1575">
        <f>F26</f>
        <v>100</v>
      </c>
      <c r="T26" s="1574" t="s">
        <v>8</v>
      </c>
      <c r="U26" s="1575">
        <f>H26</f>
        <v>100</v>
      </c>
      <c r="V26" s="1574" t="s">
        <v>8</v>
      </c>
      <c r="W26" s="1575">
        <f>J26</f>
        <v>100</v>
      </c>
      <c r="X26" s="1568"/>
      <c r="Y26" s="3464"/>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64"/>
      <c r="Q27" s="1151" t="str">
        <f t="shared" si="11"/>
        <v>人流量</v>
      </c>
      <c r="R27" s="1569" t="s">
        <v>8</v>
      </c>
      <c r="S27" s="1570">
        <f>F27</f>
        <v>100</v>
      </c>
      <c r="T27" s="1569" t="s">
        <v>8</v>
      </c>
      <c r="U27" s="1570">
        <f>H27</f>
        <v>100</v>
      </c>
      <c r="V27" s="1569" t="s">
        <v>8</v>
      </c>
      <c r="W27" s="1570">
        <f>J27</f>
        <v>100</v>
      </c>
      <c r="X27" s="1571"/>
      <c r="Y27" s="3464"/>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6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6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64"/>
      <c r="Q29" s="1573">
        <f t="shared" si="11"/>
        <v>111</v>
      </c>
      <c r="R29" s="1574" t="s">
        <v>8</v>
      </c>
      <c r="S29" s="1575">
        <f t="shared" si="12"/>
        <v>100</v>
      </c>
      <c r="T29" s="1574" t="s">
        <v>8</v>
      </c>
      <c r="U29" s="1575">
        <f t="shared" si="13"/>
        <v>100</v>
      </c>
      <c r="V29" s="1574" t="s">
        <v>8</v>
      </c>
      <c r="W29" s="1575">
        <f t="shared" si="14"/>
        <v>100</v>
      </c>
      <c r="X29" s="1568"/>
      <c r="Y29" s="34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64"/>
      <c r="Q30" s="1573">
        <f t="shared" si="11"/>
        <v>111</v>
      </c>
      <c r="R30" s="1574" t="s">
        <v>8</v>
      </c>
      <c r="S30" s="1575">
        <f t="shared" si="12"/>
        <v>100</v>
      </c>
      <c r="T30" s="1574" t="s">
        <v>8</v>
      </c>
      <c r="U30" s="1575">
        <f t="shared" si="13"/>
        <v>100</v>
      </c>
      <c r="V30" s="1574" t="s">
        <v>8</v>
      </c>
      <c r="W30" s="1575">
        <f t="shared" si="14"/>
        <v>100</v>
      </c>
      <c r="X30" s="1568"/>
      <c r="Y30" s="346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64"/>
      <c r="Q31" s="1573">
        <f t="shared" si="11"/>
        <v>111</v>
      </c>
      <c r="R31" s="1574" t="s">
        <v>8</v>
      </c>
      <c r="S31" s="1575">
        <f t="shared" si="12"/>
        <v>100</v>
      </c>
      <c r="T31" s="1574" t="s">
        <v>8</v>
      </c>
      <c r="U31" s="1575">
        <f t="shared" si="13"/>
        <v>100</v>
      </c>
      <c r="V31" s="1574" t="s">
        <v>8</v>
      </c>
      <c r="W31" s="1575">
        <f t="shared" si="14"/>
        <v>100</v>
      </c>
      <c r="X31" s="1568"/>
      <c r="Y31" s="3464"/>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65" t="s">
        <v>547</v>
      </c>
      <c r="Q32" s="1573" t="str">
        <f t="shared" si="11"/>
        <v>商业类型</v>
      </c>
      <c r="R32" s="1574" t="s">
        <v>8</v>
      </c>
      <c r="S32" s="1575">
        <f t="shared" si="12"/>
        <v>100</v>
      </c>
      <c r="T32" s="1574" t="s">
        <v>8</v>
      </c>
      <c r="U32" s="1575">
        <f t="shared" si="13"/>
        <v>100</v>
      </c>
      <c r="V32" s="1574" t="s">
        <v>8</v>
      </c>
      <c r="W32" s="1575">
        <f t="shared" si="14"/>
        <v>100</v>
      </c>
      <c r="X32" s="1568"/>
      <c r="Y32" s="3466"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66"/>
      <c r="Q33" s="1606" t="str">
        <f t="shared" si="11"/>
        <v>项目建筑规模</v>
      </c>
      <c r="R33" s="1578" t="s">
        <v>8</v>
      </c>
      <c r="S33" s="1579" t="e">
        <f t="shared" si="12"/>
        <v>#N/A</v>
      </c>
      <c r="T33" s="1578" t="s">
        <v>8</v>
      </c>
      <c r="U33" s="1579" t="e">
        <f t="shared" si="13"/>
        <v>#N/A</v>
      </c>
      <c r="V33" s="1578" t="s">
        <v>8</v>
      </c>
      <c r="W33" s="1579" t="e">
        <f t="shared" si="14"/>
        <v>#N/A</v>
      </c>
      <c r="X33" s="1580"/>
      <c r="Y33" s="3466"/>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66"/>
      <c r="Q34" s="1573" t="str">
        <f t="shared" si="11"/>
        <v>建筑结构</v>
      </c>
      <c r="R34" s="1574" t="s">
        <v>8</v>
      </c>
      <c r="S34" s="1575">
        <f t="shared" si="12"/>
        <v>100</v>
      </c>
      <c r="T34" s="1574" t="s">
        <v>8</v>
      </c>
      <c r="U34" s="1575">
        <f t="shared" si="13"/>
        <v>100</v>
      </c>
      <c r="V34" s="1574" t="s">
        <v>8</v>
      </c>
      <c r="W34" s="1575">
        <f t="shared" si="14"/>
        <v>100</v>
      </c>
      <c r="X34" s="1568"/>
      <c r="Y34" s="3466"/>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66"/>
      <c r="Q35" s="1573" t="str">
        <f t="shared" si="11"/>
        <v>公共部分装修</v>
      </c>
      <c r="R35" s="1574" t="s">
        <v>8</v>
      </c>
      <c r="S35" s="1575">
        <f t="shared" si="12"/>
        <v>100</v>
      </c>
      <c r="T35" s="1574" t="s">
        <v>8</v>
      </c>
      <c r="U35" s="1575">
        <f t="shared" si="13"/>
        <v>100</v>
      </c>
      <c r="V35" s="1574" t="s">
        <v>8</v>
      </c>
      <c r="W35" s="1575">
        <f t="shared" si="14"/>
        <v>100</v>
      </c>
      <c r="X35" s="1568"/>
      <c r="Y35" s="3466"/>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66"/>
      <c r="Q36" s="1573" t="str">
        <f t="shared" si="11"/>
        <v>成新度</v>
      </c>
      <c r="R36" s="1574" t="s">
        <v>8</v>
      </c>
      <c r="S36" s="1575" t="e">
        <f t="shared" si="12"/>
        <v>#N/A</v>
      </c>
      <c r="T36" s="1574" t="s">
        <v>8</v>
      </c>
      <c r="U36" s="1575" t="e">
        <f t="shared" si="13"/>
        <v>#N/A</v>
      </c>
      <c r="V36" s="1574" t="s">
        <v>8</v>
      </c>
      <c r="W36" s="1575" t="e">
        <f t="shared" si="14"/>
        <v>#N/A</v>
      </c>
      <c r="X36" s="1568"/>
      <c r="Y36" s="3466"/>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66"/>
      <c r="Q37" s="1151" t="str">
        <f t="shared" si="11"/>
        <v>市政基础设施</v>
      </c>
      <c r="R37" s="1569" t="s">
        <v>8</v>
      </c>
      <c r="S37" s="1570">
        <f t="shared" si="12"/>
        <v>100</v>
      </c>
      <c r="T37" s="1569" t="s">
        <v>8</v>
      </c>
      <c r="U37" s="1570">
        <f t="shared" si="13"/>
        <v>100</v>
      </c>
      <c r="V37" s="1569" t="s">
        <v>8</v>
      </c>
      <c r="W37" s="1570">
        <f t="shared" si="14"/>
        <v>100</v>
      </c>
      <c r="X37" s="1571"/>
      <c r="Y37" s="3466"/>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66" t="s">
        <v>763</v>
      </c>
      <c r="Q38" s="1573" t="str">
        <f t="shared" si="11"/>
        <v>业态</v>
      </c>
      <c r="R38" s="1574" t="s">
        <v>8</v>
      </c>
      <c r="S38" s="1575">
        <f t="shared" si="12"/>
        <v>100</v>
      </c>
      <c r="T38" s="1574" t="s">
        <v>8</v>
      </c>
      <c r="U38" s="1575">
        <f t="shared" si="13"/>
        <v>100</v>
      </c>
      <c r="V38" s="1574" t="s">
        <v>8</v>
      </c>
      <c r="W38" s="1575">
        <f t="shared" si="14"/>
        <v>100</v>
      </c>
      <c r="X38" s="1568"/>
      <c r="Y38" s="3466"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6"/>
      <c r="Q39" s="1573" t="str">
        <f t="shared" si="11"/>
        <v>层高</v>
      </c>
      <c r="R39" s="1574" t="s">
        <v>8</v>
      </c>
      <c r="S39" s="1575">
        <f t="shared" si="12"/>
        <v>100</v>
      </c>
      <c r="T39" s="1574" t="s">
        <v>8</v>
      </c>
      <c r="U39" s="1575">
        <f t="shared" si="13"/>
        <v>100</v>
      </c>
      <c r="V39" s="1574" t="s">
        <v>8</v>
      </c>
      <c r="W39" s="1575">
        <f t="shared" si="14"/>
        <v>100</v>
      </c>
      <c r="X39" s="1568"/>
      <c r="Y39" s="3466"/>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66"/>
      <c r="Q40" s="1573" t="str">
        <f t="shared" si="11"/>
        <v>单套建筑面积</v>
      </c>
      <c r="R40" s="1574" t="s">
        <v>8</v>
      </c>
      <c r="S40" s="1575">
        <f t="shared" si="12"/>
        <v>100</v>
      </c>
      <c r="T40" s="1574" t="s">
        <v>8</v>
      </c>
      <c r="U40" s="1575">
        <f t="shared" si="13"/>
        <v>100</v>
      </c>
      <c r="V40" s="1574" t="s">
        <v>8</v>
      </c>
      <c r="W40" s="1575">
        <f t="shared" si="14"/>
        <v>100</v>
      </c>
      <c r="X40" s="1568"/>
      <c r="Y40" s="3466"/>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66"/>
      <c r="Q41" s="1606" t="str">
        <f t="shared" si="11"/>
        <v>进深比</v>
      </c>
      <c r="R41" s="1578" t="s">
        <v>8</v>
      </c>
      <c r="S41" s="1579">
        <f t="shared" si="12"/>
        <v>100</v>
      </c>
      <c r="T41" s="1578" t="s">
        <v>8</v>
      </c>
      <c r="U41" s="1579">
        <f t="shared" si="13"/>
        <v>100</v>
      </c>
      <c r="V41" s="1578" t="s">
        <v>8</v>
      </c>
      <c r="W41" s="1579">
        <f t="shared" si="14"/>
        <v>100</v>
      </c>
      <c r="X41" s="1580"/>
      <c r="Y41" s="3466"/>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66"/>
      <c r="Q42" s="1573" t="str">
        <f t="shared" si="11"/>
        <v>内部装修</v>
      </c>
      <c r="R42" s="1574" t="s">
        <v>8</v>
      </c>
      <c r="S42" s="1575">
        <f t="shared" si="12"/>
        <v>100</v>
      </c>
      <c r="T42" s="1574" t="s">
        <v>8</v>
      </c>
      <c r="U42" s="1575">
        <f t="shared" si="13"/>
        <v>100</v>
      </c>
      <c r="V42" s="1574" t="s">
        <v>8</v>
      </c>
      <c r="W42" s="1575">
        <f t="shared" si="14"/>
        <v>100</v>
      </c>
      <c r="X42" s="1568"/>
      <c r="Y42" s="3466"/>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66"/>
      <c r="Q43" s="1573" t="str">
        <f t="shared" si="11"/>
        <v>内部装修维护情况</v>
      </c>
      <c r="R43" s="1574" t="s">
        <v>8</v>
      </c>
      <c r="S43" s="1575">
        <f t="shared" si="12"/>
        <v>100</v>
      </c>
      <c r="T43" s="1574" t="s">
        <v>8</v>
      </c>
      <c r="U43" s="1575">
        <f t="shared" si="13"/>
        <v>100</v>
      </c>
      <c r="V43" s="1574" t="s">
        <v>8</v>
      </c>
      <c r="W43" s="1575">
        <f t="shared" si="14"/>
        <v>100</v>
      </c>
      <c r="X43" s="1568"/>
      <c r="Y43" s="34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66"/>
      <c r="Q44" s="1151">
        <f t="shared" si="11"/>
        <v>111</v>
      </c>
      <c r="R44" s="1569" t="s">
        <v>8</v>
      </c>
      <c r="S44" s="1570">
        <f t="shared" si="12"/>
        <v>100</v>
      </c>
      <c r="T44" s="1569" t="s">
        <v>8</v>
      </c>
      <c r="U44" s="1570">
        <f t="shared" si="13"/>
        <v>100</v>
      </c>
      <c r="V44" s="1569" t="s">
        <v>8</v>
      </c>
      <c r="W44" s="1570">
        <f t="shared" si="14"/>
        <v>100</v>
      </c>
      <c r="X44" s="1571"/>
      <c r="Y44" s="34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66"/>
      <c r="Q45" s="1573">
        <f t="shared" si="11"/>
        <v>111</v>
      </c>
      <c r="R45" s="1574" t="s">
        <v>8</v>
      </c>
      <c r="S45" s="1575">
        <f t="shared" si="12"/>
        <v>100</v>
      </c>
      <c r="T45" s="1574" t="s">
        <v>8</v>
      </c>
      <c r="U45" s="1575">
        <f t="shared" si="13"/>
        <v>100</v>
      </c>
      <c r="V45" s="1574" t="s">
        <v>8</v>
      </c>
      <c r="W45" s="1575">
        <f t="shared" si="14"/>
        <v>100</v>
      </c>
      <c r="X45" s="1568"/>
      <c r="Y45" s="346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3"/>
      <c r="Q46" s="1573">
        <f t="shared" si="11"/>
        <v>111</v>
      </c>
      <c r="R46" s="1574" t="s">
        <v>8</v>
      </c>
      <c r="S46" s="1575">
        <f t="shared" si="12"/>
        <v>100</v>
      </c>
      <c r="T46" s="1574" t="s">
        <v>8</v>
      </c>
      <c r="U46" s="1575">
        <f t="shared" si="13"/>
        <v>100</v>
      </c>
      <c r="V46" s="1574" t="s">
        <v>8</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61" t="str">
        <f>A47</f>
        <v>成交单价（元/平方米）</v>
      </c>
      <c r="Q47" s="3461"/>
      <c r="R47" s="3524">
        <f>E47</f>
        <v>0</v>
      </c>
      <c r="S47" s="3524"/>
      <c r="T47" s="3524">
        <f>G47</f>
        <v>0</v>
      </c>
      <c r="U47" s="3524"/>
      <c r="V47" s="3524">
        <f>I47</f>
        <v>0</v>
      </c>
      <c r="W47" s="3524"/>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61" t="str">
        <f>A48</f>
        <v>比较价格（元/平方米）</v>
      </c>
      <c r="Q48" s="3461"/>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82" t="str">
        <f>A49</f>
        <v>估价对象XX用房的比较价格（楼面单价，元/平方米）</v>
      </c>
      <c r="Q49" s="3483"/>
      <c r="R49" s="3526" t="e">
        <f>IF(F1="售价",ROUND(AVERAGE(R48:V48),0),ROUND(AVERAGE(R48:V48),1))</f>
        <v>#DIV/0!</v>
      </c>
      <c r="S49" s="3526"/>
      <c r="T49" s="3526"/>
      <c r="U49" s="3526"/>
      <c r="V49" s="3526"/>
      <c r="W49" s="352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1732</v>
      </c>
      <c r="F6" s="785">
        <f ca="1">INDIRECT("'数据-取费表'!u"&amp;$G$1)</f>
        <v>0</v>
      </c>
      <c r="G6" s="1593"/>
      <c r="H6" s="2506" t="s">
        <v>2464</v>
      </c>
      <c r="I6" s="3527" t="s">
        <v>2459</v>
      </c>
      <c r="J6" s="783">
        <f ca="1">ROUND(M6*M8*M7*(1-M9)/10000,0)</f>
        <v>0</v>
      </c>
      <c r="K6" s="341" t="s">
        <v>1731</v>
      </c>
      <c r="L6" s="784" t="s">
        <v>1732</v>
      </c>
      <c r="M6" s="785">
        <f ca="1">INDIRECT("'数据-取费表'!z"&amp;$G$1)</f>
        <v>0</v>
      </c>
    </row>
    <row r="7" spans="1:33" ht="18" customHeight="1">
      <c r="A7" s="2502"/>
      <c r="B7" s="3528"/>
      <c r="C7" s="788"/>
      <c r="D7" s="789"/>
      <c r="E7" s="784" t="s">
        <v>1733</v>
      </c>
      <c r="F7" s="785">
        <f ca="1">IF(INDIRECT("'数据-取费表'!ah"&amp;$G$1)="",INDIRECT("'数据-取费表'!k"&amp;$G$1),INDIRECT("'数据-取费表'!ah"&amp;$G$1))</f>
        <v>0</v>
      </c>
      <c r="G7" s="1593"/>
      <c r="H7" s="2491"/>
      <c r="I7" s="3528"/>
      <c r="J7" s="788"/>
      <c r="K7" s="789"/>
      <c r="L7" s="784" t="s">
        <v>1733</v>
      </c>
      <c r="M7" s="785">
        <f ca="1">F7</f>
        <v>0</v>
      </c>
    </row>
    <row r="8" spans="1:33" ht="18" customHeight="1">
      <c r="A8" s="2495"/>
      <c r="B8" s="3529"/>
      <c r="C8" s="788"/>
      <c r="D8" s="789"/>
      <c r="E8" s="784" t="s">
        <v>1734</v>
      </c>
      <c r="F8" s="785">
        <f ca="1">INDIRECT("'数据-取费表'!ai"&amp;$G$1)</f>
        <v>0</v>
      </c>
      <c r="G8" s="1593"/>
      <c r="H8" s="2491"/>
      <c r="I8" s="3529"/>
      <c r="J8" s="788"/>
      <c r="K8" s="789"/>
      <c r="L8" s="784" t="s">
        <v>1734</v>
      </c>
      <c r="M8" s="785">
        <f ca="1">INDIRECT("'数据-取费表'!ai"&amp;$G$1)</f>
        <v>0</v>
      </c>
    </row>
    <row r="9" spans="1:33" ht="18" customHeight="1">
      <c r="A9" s="786"/>
      <c r="B9" s="3530"/>
      <c r="C9" s="788"/>
      <c r="D9" s="789"/>
      <c r="E9" s="784" t="s">
        <v>1735</v>
      </c>
      <c r="F9" s="794">
        <f ca="1">INDIRECT("'数据-取费表'!w"&amp;$G$1)</f>
        <v>0</v>
      </c>
      <c r="G9" s="1593"/>
      <c r="H9" s="2507"/>
      <c r="I9" s="3529"/>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t="str">
        <f ca="1">IF(OR(M47="住宅",J51&lt;L48,J56="是"),"——",J51-L48)</f>
        <v>——</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H1" zoomScale="80" zoomScaleNormal="80" workbookViewId="0">
      <selection activeCell="AA6" sqref="AA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38" t="s">
        <v>2572</v>
      </c>
      <c r="C1" s="3538"/>
      <c r="D1" s="3538"/>
      <c r="E1" s="3538"/>
      <c r="F1" s="3538"/>
      <c r="G1" s="3537" t="s">
        <v>2573</v>
      </c>
      <c r="H1" s="3537"/>
      <c r="I1" s="3537"/>
      <c r="J1" s="3537"/>
      <c r="K1" s="3537"/>
      <c r="L1" s="3537"/>
      <c r="N1" s="3537" t="s">
        <v>2574</v>
      </c>
      <c r="O1" s="3537"/>
      <c r="P1" s="3537"/>
      <c r="Q1" s="3537"/>
      <c r="R1" s="2656"/>
      <c r="S1" s="3537" t="s">
        <v>2575</v>
      </c>
      <c r="T1" s="3537"/>
      <c r="U1" s="3537"/>
      <c r="V1" s="3537"/>
      <c r="X1" s="3536" t="s">
        <v>2635</v>
      </c>
      <c r="Y1" s="3537"/>
      <c r="Z1" s="3537"/>
      <c r="AA1" s="3537"/>
      <c r="AB1" s="3537"/>
      <c r="AD1" s="3536" t="s">
        <v>2639</v>
      </c>
      <c r="AE1" s="3537"/>
      <c r="AF1" s="3537"/>
      <c r="AG1" s="3537"/>
      <c r="AH1" s="3537"/>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545">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40"/>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540"/>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541"/>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539">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40"/>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540"/>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541"/>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539">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40"/>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540"/>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541"/>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54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4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54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54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539">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540"/>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540"/>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541"/>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539">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40">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540">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541">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539">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40">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540">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541">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539">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40">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540">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541">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539">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40">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540">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541">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539">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40">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540">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541">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539">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40">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540">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541">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539">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40">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540">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541">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539">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40">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540">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541">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539">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540">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540">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541">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539">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540">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540">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541">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62" t="s">
        <v>2467</v>
      </c>
      <c r="B1" s="3563"/>
      <c r="C1" s="3564"/>
      <c r="D1" s="3565">
        <f>SUM(I10,I15,I20,I21,I23)</f>
        <v>0</v>
      </c>
      <c r="E1" s="3565"/>
      <c r="F1" s="3565"/>
      <c r="G1" s="3565"/>
      <c r="H1" s="3565"/>
      <c r="I1" s="3566"/>
    </row>
    <row r="2" spans="1:9">
      <c r="A2" s="3552" t="s">
        <v>2468</v>
      </c>
      <c r="B2" s="3553" t="s">
        <v>2469</v>
      </c>
      <c r="C2" s="3553"/>
      <c r="D2" s="2509" t="s">
        <v>2470</v>
      </c>
      <c r="E2" s="2509" t="s">
        <v>2471</v>
      </c>
      <c r="F2" s="2509" t="s">
        <v>2472</v>
      </c>
      <c r="G2" s="2509" t="s">
        <v>2473</v>
      </c>
      <c r="H2" s="2509" t="s">
        <v>2474</v>
      </c>
      <c r="I2" s="2510" t="s">
        <v>2475</v>
      </c>
    </row>
    <row r="3" spans="1:9">
      <c r="A3" s="3552"/>
      <c r="B3" s="3553" t="s">
        <v>2476</v>
      </c>
      <c r="C3" s="3553"/>
      <c r="D3" s="2511"/>
      <c r="E3" s="2509"/>
      <c r="F3" s="2512"/>
      <c r="G3" s="2512"/>
      <c r="H3" s="2513"/>
      <c r="I3" s="2514">
        <f>ROUND(D3*E3*F3*G3*H3/10000,0)</f>
        <v>0</v>
      </c>
    </row>
    <row r="4" spans="1:9">
      <c r="A4" s="3552"/>
      <c r="B4" s="3553" t="s">
        <v>2477</v>
      </c>
      <c r="C4" s="3553"/>
      <c r="D4" s="2511"/>
      <c r="E4" s="2509"/>
      <c r="F4" s="2512"/>
      <c r="G4" s="2512"/>
      <c r="H4" s="2513"/>
      <c r="I4" s="2514">
        <f t="shared" ref="I4:I9" si="0">ROUND(D4*E4*F4*G4*H4/10000,0)</f>
        <v>0</v>
      </c>
    </row>
    <row r="5" spans="1:9">
      <c r="A5" s="3552"/>
      <c r="B5" s="3553" t="s">
        <v>2478</v>
      </c>
      <c r="C5" s="3553"/>
      <c r="D5" s="2511"/>
      <c r="E5" s="2509"/>
      <c r="F5" s="2512"/>
      <c r="G5" s="2512"/>
      <c r="H5" s="2513"/>
      <c r="I5" s="2514">
        <f t="shared" si="0"/>
        <v>0</v>
      </c>
    </row>
    <row r="6" spans="1:9">
      <c r="A6" s="3552"/>
      <c r="B6" s="3553" t="s">
        <v>2479</v>
      </c>
      <c r="C6" s="3553"/>
      <c r="D6" s="2511"/>
      <c r="E6" s="2509"/>
      <c r="F6" s="2512"/>
      <c r="G6" s="2512"/>
      <c r="H6" s="2513"/>
      <c r="I6" s="2514">
        <f t="shared" si="0"/>
        <v>0</v>
      </c>
    </row>
    <row r="7" spans="1:9">
      <c r="A7" s="3552"/>
      <c r="B7" s="3553" t="s">
        <v>2480</v>
      </c>
      <c r="C7" s="3553"/>
      <c r="D7" s="2511"/>
      <c r="E7" s="2509"/>
      <c r="F7" s="2512"/>
      <c r="G7" s="2512"/>
      <c r="H7" s="2513"/>
      <c r="I7" s="2514">
        <f t="shared" si="0"/>
        <v>0</v>
      </c>
    </row>
    <row r="8" spans="1:9">
      <c r="A8" s="3552"/>
      <c r="B8" s="3553" t="s">
        <v>2481</v>
      </c>
      <c r="C8" s="3553"/>
      <c r="D8" s="2511"/>
      <c r="E8" s="2509"/>
      <c r="F8" s="2512"/>
      <c r="G8" s="2512"/>
      <c r="H8" s="2513"/>
      <c r="I8" s="2514">
        <f t="shared" si="0"/>
        <v>0</v>
      </c>
    </row>
    <row r="9" spans="1:9">
      <c r="A9" s="3552"/>
      <c r="B9" s="3553" t="s">
        <v>2482</v>
      </c>
      <c r="C9" s="3553"/>
      <c r="D9" s="2511"/>
      <c r="E9" s="2509"/>
      <c r="F9" s="2512"/>
      <c r="G9" s="2512"/>
      <c r="H9" s="2513"/>
      <c r="I9" s="2514">
        <f t="shared" si="0"/>
        <v>0</v>
      </c>
    </row>
    <row r="10" spans="1:9">
      <c r="A10" s="3552"/>
      <c r="B10" s="3554" t="s">
        <v>2483</v>
      </c>
      <c r="C10" s="3554"/>
      <c r="D10" s="2515">
        <v>527</v>
      </c>
      <c r="E10" s="2515" t="e">
        <f>ROUND(D1*10000/D10/H9,0)</f>
        <v>#DIV/0!</v>
      </c>
      <c r="F10" s="2516"/>
      <c r="G10" s="2516"/>
      <c r="H10" s="2517"/>
      <c r="I10" s="2518">
        <f>SUM(I3:I9)</f>
        <v>0</v>
      </c>
    </row>
    <row r="11" spans="1:9" ht="14.25">
      <c r="A11" s="3552" t="s">
        <v>2484</v>
      </c>
      <c r="B11" s="3553" t="s">
        <v>2485</v>
      </c>
      <c r="C11" s="3553"/>
      <c r="D11" s="2511" t="s">
        <v>2486</v>
      </c>
      <c r="E11" s="2511" t="s">
        <v>2487</v>
      </c>
      <c r="F11" s="2512" t="s">
        <v>2488</v>
      </c>
      <c r="G11" s="2512" t="s">
        <v>2489</v>
      </c>
      <c r="H11" s="2519" t="s">
        <v>2490</v>
      </c>
      <c r="I11" s="2510" t="s">
        <v>2491</v>
      </c>
    </row>
    <row r="12" spans="1:9">
      <c r="A12" s="3552"/>
      <c r="B12" s="3553" t="s">
        <v>2492</v>
      </c>
      <c r="C12" s="3553"/>
      <c r="D12" s="2511"/>
      <c r="E12" s="2511"/>
      <c r="F12" s="2512"/>
      <c r="G12" s="2513"/>
      <c r="H12" s="2520"/>
      <c r="I12" s="2510">
        <f>ROUND(D12*E12*F12*G12/10000,0)</f>
        <v>0</v>
      </c>
    </row>
    <row r="13" spans="1:9">
      <c r="A13" s="3552"/>
      <c r="B13" s="3553" t="s">
        <v>2493</v>
      </c>
      <c r="C13" s="3553"/>
      <c r="D13" s="2511"/>
      <c r="E13" s="2511"/>
      <c r="F13" s="2512"/>
      <c r="G13" s="2513"/>
      <c r="H13" s="2520"/>
      <c r="I13" s="2510">
        <f>ROUND(D13*E13*F13*G13/10000,0)</f>
        <v>0</v>
      </c>
    </row>
    <row r="14" spans="1:9">
      <c r="A14" s="3552"/>
      <c r="B14" s="3553" t="s">
        <v>2494</v>
      </c>
      <c r="C14" s="3553"/>
      <c r="D14" s="2511"/>
      <c r="E14" s="2511"/>
      <c r="F14" s="2512"/>
      <c r="G14" s="2513"/>
      <c r="H14" s="2520"/>
      <c r="I14" s="2510">
        <f>ROUND(D14*E14*F14*G14/10000,0)</f>
        <v>0</v>
      </c>
    </row>
    <row r="15" spans="1:9">
      <c r="A15" s="3552"/>
      <c r="B15" s="3554" t="s">
        <v>2483</v>
      </c>
      <c r="C15" s="3554"/>
      <c r="D15" s="2515"/>
      <c r="E15" s="2515">
        <f>SUM(E12:E14)</f>
        <v>0</v>
      </c>
      <c r="F15" s="2516"/>
      <c r="G15" s="2513"/>
      <c r="H15" s="2520"/>
      <c r="I15" s="2521">
        <f>SUM(I12:I14)</f>
        <v>0</v>
      </c>
    </row>
    <row r="16" spans="1:9" ht="24">
      <c r="A16" s="3552" t="s">
        <v>2495</v>
      </c>
      <c r="B16" s="3553" t="s">
        <v>2496</v>
      </c>
      <c r="C16" s="3553"/>
      <c r="D16" s="2511" t="s">
        <v>2497</v>
      </c>
      <c r="E16" s="2522" t="s">
        <v>2498</v>
      </c>
      <c r="F16" s="2512" t="s">
        <v>2499</v>
      </c>
      <c r="G16" s="2513" t="s">
        <v>2489</v>
      </c>
      <c r="H16" s="2519" t="s">
        <v>2490</v>
      </c>
      <c r="I16" s="2510" t="s">
        <v>2491</v>
      </c>
    </row>
    <row r="17" spans="1:9" ht="14.25">
      <c r="A17" s="3552"/>
      <c r="B17" s="3553" t="s">
        <v>2500</v>
      </c>
      <c r="C17" s="3553"/>
      <c r="D17" s="2511"/>
      <c r="E17" s="2511"/>
      <c r="F17" s="2512"/>
      <c r="G17" s="2513"/>
      <c r="H17" s="2523"/>
      <c r="I17" s="2524">
        <f>ROUND(D17*E17*F17*G17/10000,0)</f>
        <v>0</v>
      </c>
    </row>
    <row r="18" spans="1:9" ht="14.25">
      <c r="A18" s="3552"/>
      <c r="B18" s="3553" t="s">
        <v>2501</v>
      </c>
      <c r="C18" s="3553"/>
      <c r="D18" s="2511"/>
      <c r="E18" s="2511"/>
      <c r="F18" s="2512"/>
      <c r="G18" s="2513"/>
      <c r="H18" s="2523"/>
      <c r="I18" s="2524">
        <f>ROUND(D18*E18*F18*G18/10000,0)</f>
        <v>0</v>
      </c>
    </row>
    <row r="19" spans="1:9" ht="14.25">
      <c r="A19" s="3552"/>
      <c r="B19" s="3553" t="s">
        <v>2502</v>
      </c>
      <c r="C19" s="3553"/>
      <c r="D19" s="2511"/>
      <c r="E19" s="2511"/>
      <c r="F19" s="2512"/>
      <c r="G19" s="2513"/>
      <c r="H19" s="2523"/>
      <c r="I19" s="2524">
        <f>ROUND(D19*E19*F19*G19/10000,0)</f>
        <v>0</v>
      </c>
    </row>
    <row r="20" spans="1:9">
      <c r="A20" s="3552"/>
      <c r="B20" s="3554" t="s">
        <v>2483</v>
      </c>
      <c r="C20" s="3554"/>
      <c r="D20" s="2515">
        <f>SUM(D17:D19)</f>
        <v>0</v>
      </c>
      <c r="E20" s="2515"/>
      <c r="F20" s="2516"/>
      <c r="G20" s="2513"/>
      <c r="H20" s="2520"/>
      <c r="I20" s="2521">
        <f>SUM(I17:I19)</f>
        <v>0</v>
      </c>
    </row>
    <row r="21" spans="1:9">
      <c r="A21" s="3552" t="s">
        <v>2503</v>
      </c>
      <c r="B21" s="3555"/>
      <c r="C21" s="3555"/>
      <c r="D21" s="3555"/>
      <c r="E21" s="3555"/>
      <c r="F21" s="3555"/>
      <c r="G21" s="3555"/>
      <c r="H21" s="2525">
        <v>0.1</v>
      </c>
      <c r="I21" s="2518">
        <f>ROUND(I10*H21,0)</f>
        <v>0</v>
      </c>
    </row>
    <row r="22" spans="1:9" ht="14.25">
      <c r="A22" s="3556" t="s">
        <v>2504</v>
      </c>
      <c r="B22" s="3557"/>
      <c r="C22" s="3558"/>
      <c r="D22" s="2526" t="s">
        <v>2505</v>
      </c>
      <c r="E22" s="2526" t="s">
        <v>2506</v>
      </c>
      <c r="F22" s="2527" t="s">
        <v>2507</v>
      </c>
      <c r="G22" s="2527" t="s">
        <v>2508</v>
      </c>
      <c r="H22" s="2519" t="s">
        <v>2509</v>
      </c>
      <c r="I22" s="2510" t="s">
        <v>2510</v>
      </c>
    </row>
    <row r="23" spans="1:9" ht="14.25" thickBot="1">
      <c r="A23" s="3559"/>
      <c r="B23" s="3560"/>
      <c r="C23" s="3561"/>
      <c r="D23" s="2528"/>
      <c r="E23" s="2528"/>
      <c r="F23" s="2528"/>
      <c r="G23" s="2529"/>
      <c r="H23" s="2530"/>
      <c r="I23" s="2531">
        <f>ROUND(E23*D23*F23*(1-G23)/10000,0)</f>
        <v>0</v>
      </c>
    </row>
    <row r="26" spans="1:9">
      <c r="A26" s="2532" t="s">
        <v>2511</v>
      </c>
      <c r="B26" s="2532"/>
      <c r="C26" s="2532"/>
      <c r="D26" s="2532"/>
      <c r="E26" s="3549">
        <f>C27-C30-C31-C32</f>
        <v>0</v>
      </c>
      <c r="F26" s="3549"/>
      <c r="G26" s="3549"/>
      <c r="H26" s="3046" t="s">
        <v>2838</v>
      </c>
    </row>
    <row r="27" spans="1:9">
      <c r="A27" s="2533">
        <v>1</v>
      </c>
      <c r="B27" s="2534" t="s">
        <v>2512</v>
      </c>
      <c r="C27" s="2534"/>
      <c r="D27" s="2534"/>
      <c r="E27" s="3550"/>
      <c r="F27" s="3550"/>
      <c r="G27" s="3550"/>
    </row>
    <row r="28" spans="1:9">
      <c r="A28" s="2535" t="s">
        <v>2513</v>
      </c>
      <c r="B28" s="2534" t="s">
        <v>2514</v>
      </c>
      <c r="C28" s="2534"/>
      <c r="D28" s="2534"/>
      <c r="E28" s="3550"/>
      <c r="F28" s="3550"/>
      <c r="G28" s="3550"/>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51"/>
      <c r="F32" s="3551"/>
      <c r="G32" s="3551"/>
    </row>
    <row r="33" spans="1:7" hidden="1">
      <c r="A33" s="3546" t="s">
        <v>2522</v>
      </c>
      <c r="B33" s="3547"/>
      <c r="C33" s="3547"/>
      <c r="D33" s="3548"/>
      <c r="E33" s="3549"/>
      <c r="F33" s="3549"/>
      <c r="G33" s="3549"/>
    </row>
    <row r="34" spans="1:7" hidden="1">
      <c r="A34" s="2537">
        <v>1</v>
      </c>
      <c r="B34" s="2534" t="s">
        <v>2523</v>
      </c>
      <c r="C34" s="2534"/>
      <c r="D34" s="2534"/>
      <c r="E34" s="3550"/>
      <c r="F34" s="3550"/>
      <c r="G34" s="3550"/>
    </row>
    <row r="35" spans="1:7" hidden="1">
      <c r="A35" s="2537">
        <v>2</v>
      </c>
      <c r="B35" s="2534" t="s">
        <v>2524</v>
      </c>
      <c r="C35" s="2534"/>
      <c r="D35" s="2534"/>
      <c r="E35" s="3550"/>
      <c r="F35" s="3550"/>
      <c r="G35" s="3550"/>
    </row>
    <row r="36" spans="1:7" hidden="1">
      <c r="A36" s="2537">
        <v>3</v>
      </c>
      <c r="B36" s="2534" t="s">
        <v>2525</v>
      </c>
      <c r="C36" s="2534"/>
      <c r="D36" s="2534"/>
      <c r="E36" s="3550"/>
      <c r="F36" s="3550"/>
      <c r="G36" s="3550"/>
    </row>
    <row r="37" spans="1:7" hidden="1">
      <c r="A37" s="2537">
        <v>4</v>
      </c>
      <c r="B37" s="2534" t="s">
        <v>2526</v>
      </c>
      <c r="C37" s="2534"/>
      <c r="D37" s="2534"/>
      <c r="E37" s="3550"/>
      <c r="F37" s="3550"/>
      <c r="G37" s="3550"/>
    </row>
    <row r="38" spans="1:7" hidden="1">
      <c r="A38" s="3546" t="s">
        <v>2527</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292155</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4674</v>
      </c>
      <c r="D12" s="758">
        <f>'数据-汇总表'!E5</f>
        <v>292155</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467" t="s">
        <v>519</v>
      </c>
      <c r="D4" s="3468"/>
      <c r="E4" s="3491" t="s">
        <v>520</v>
      </c>
      <c r="F4" s="3492"/>
      <c r="G4" s="3467" t="s">
        <v>521</v>
      </c>
      <c r="H4" s="3468"/>
      <c r="I4" s="3467" t="s">
        <v>522</v>
      </c>
      <c r="J4" s="3468"/>
      <c r="K4" s="853"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50" t="s">
        <v>521</v>
      </c>
      <c r="AC4" s="3450" t="s">
        <v>522</v>
      </c>
    </row>
    <row r="5" spans="1:29" ht="15">
      <c r="A5" s="515"/>
      <c r="B5" s="516"/>
      <c r="C5" s="3478" t="s">
        <v>2925</v>
      </c>
      <c r="D5" s="3479"/>
      <c r="E5" s="3493" t="s">
        <v>2926</v>
      </c>
      <c r="F5" s="3494"/>
      <c r="G5" s="3478" t="s">
        <v>2927</v>
      </c>
      <c r="H5" s="3479"/>
      <c r="I5" s="3478" t="s">
        <v>2928</v>
      </c>
      <c r="J5" s="3479"/>
      <c r="K5" s="85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85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53" t="s">
        <v>527</v>
      </c>
      <c r="Q7" s="3462"/>
      <c r="R7" s="1569" t="s">
        <v>13</v>
      </c>
      <c r="S7" s="1570">
        <f t="shared" ref="S7:S15" si="0">F7</f>
        <v>0</v>
      </c>
      <c r="T7" s="1569" t="s">
        <v>13</v>
      </c>
      <c r="U7" s="1570">
        <f t="shared" ref="U7:U15" si="1">H7</f>
        <v>0</v>
      </c>
      <c r="V7" s="1569" t="s">
        <v>13</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53" t="s">
        <v>530</v>
      </c>
      <c r="Q8" s="3454"/>
      <c r="R8" s="1569" t="s">
        <v>13</v>
      </c>
      <c r="S8" s="1570">
        <f t="shared" si="0"/>
        <v>0</v>
      </c>
      <c r="T8" s="1569" t="s">
        <v>13</v>
      </c>
      <c r="U8" s="1570">
        <f t="shared" si="1"/>
        <v>0</v>
      </c>
      <c r="V8" s="1569" t="s">
        <v>13</v>
      </c>
      <c r="W8" s="1570">
        <f t="shared" si="2"/>
        <v>0</v>
      </c>
      <c r="X8" s="1571"/>
      <c r="Y8" s="3453" t="s">
        <v>530</v>
      </c>
      <c r="Z8" s="3454"/>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61"/>
      <c r="Q11" s="1151" t="str">
        <f t="shared" si="6"/>
        <v>容积率</v>
      </c>
      <c r="R11" s="1569" t="s">
        <v>11</v>
      </c>
      <c r="S11" s="1570" t="e">
        <f t="shared" si="0"/>
        <v>#N/A</v>
      </c>
      <c r="T11" s="1569" t="s">
        <v>11</v>
      </c>
      <c r="U11" s="1570" t="e">
        <f t="shared" si="1"/>
        <v>#N/A</v>
      </c>
      <c r="V11" s="1569" t="s">
        <v>11</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61"/>
      <c r="Q12" s="1151">
        <f t="shared" si="6"/>
        <v>111</v>
      </c>
      <c r="R12" s="1569" t="s">
        <v>11</v>
      </c>
      <c r="S12" s="1570">
        <f t="shared" si="0"/>
        <v>100</v>
      </c>
      <c r="T12" s="1569" t="s">
        <v>11</v>
      </c>
      <c r="U12" s="1570">
        <f t="shared" si="1"/>
        <v>100</v>
      </c>
      <c r="V12" s="1569" t="s">
        <v>11</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61"/>
      <c r="Q13" s="1151">
        <f t="shared" si="6"/>
        <v>111</v>
      </c>
      <c r="R13" s="1569" t="s">
        <v>11</v>
      </c>
      <c r="S13" s="1570">
        <f t="shared" si="0"/>
        <v>100</v>
      </c>
      <c r="T13" s="1569" t="s">
        <v>11</v>
      </c>
      <c r="U13" s="1570">
        <f t="shared" si="1"/>
        <v>100</v>
      </c>
      <c r="V13" s="1569" t="s">
        <v>11</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61"/>
      <c r="Q14" s="1151">
        <f t="shared" si="6"/>
        <v>111</v>
      </c>
      <c r="R14" s="1569" t="s">
        <v>11</v>
      </c>
      <c r="S14" s="1570">
        <f t="shared" si="0"/>
        <v>100</v>
      </c>
      <c r="T14" s="1569" t="s">
        <v>11</v>
      </c>
      <c r="U14" s="1570">
        <f t="shared" si="1"/>
        <v>100</v>
      </c>
      <c r="V14" s="1569" t="s">
        <v>11</v>
      </c>
      <c r="W14" s="1570">
        <f t="shared" si="2"/>
        <v>100</v>
      </c>
      <c r="X14" s="1571"/>
      <c r="Y14" s="3409"/>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63" t="s">
        <v>537</v>
      </c>
      <c r="Q15" s="1573" t="str">
        <f t="shared" si="6"/>
        <v>居住社区成熟度</v>
      </c>
      <c r="R15" s="1574" t="s">
        <v>11</v>
      </c>
      <c r="S15" s="1575">
        <f t="shared" si="0"/>
        <v>100</v>
      </c>
      <c r="T15" s="1574" t="s">
        <v>11</v>
      </c>
      <c r="U15" s="1575">
        <f t="shared" si="1"/>
        <v>100</v>
      </c>
      <c r="V15" s="1574" t="s">
        <v>11</v>
      </c>
      <c r="W15" s="1575">
        <f t="shared" si="2"/>
        <v>100</v>
      </c>
      <c r="X15" s="1568"/>
      <c r="Y15" s="3463"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64"/>
      <c r="Q17" s="1573" t="str">
        <f>B17</f>
        <v>交通便捷度</v>
      </c>
      <c r="R17" s="1574" t="s">
        <v>11</v>
      </c>
      <c r="S17" s="1575">
        <f>F17</f>
        <v>100</v>
      </c>
      <c r="T17" s="1574" t="s">
        <v>11</v>
      </c>
      <c r="U17" s="1575">
        <f>H17</f>
        <v>100</v>
      </c>
      <c r="V17" s="1574" t="s">
        <v>11</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64"/>
      <c r="Q19" s="1573" t="str">
        <f>B19</f>
        <v>公共配套设施</v>
      </c>
      <c r="R19" s="1574" t="s">
        <v>11</v>
      </c>
      <c r="S19" s="1575">
        <f>F19</f>
        <v>100</v>
      </c>
      <c r="T19" s="1574" t="s">
        <v>11</v>
      </c>
      <c r="U19" s="1575">
        <f>H19</f>
        <v>100</v>
      </c>
      <c r="V19" s="1574" t="s">
        <v>11</v>
      </c>
      <c r="W19" s="1575">
        <f>J19</f>
        <v>100</v>
      </c>
      <c r="X19" s="1568"/>
      <c r="Y19" s="34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64"/>
      <c r="Q21" s="2581" t="str">
        <f>B21</f>
        <v>基础设施水平</v>
      </c>
      <c r="R21" s="1574" t="s">
        <v>11</v>
      </c>
      <c r="S21" s="1575">
        <f>F21</f>
        <v>100</v>
      </c>
      <c r="T21" s="1574" t="s">
        <v>11</v>
      </c>
      <c r="U21" s="1575">
        <f>H21</f>
        <v>100</v>
      </c>
      <c r="V21" s="1574" t="s">
        <v>11</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64"/>
      <c r="Q22" s="2581"/>
      <c r="R22" s="1574"/>
      <c r="S22" s="1575"/>
      <c r="T22" s="1574"/>
      <c r="U22" s="1575"/>
      <c r="V22" s="1574"/>
      <c r="W22" s="1575"/>
      <c r="X22" s="2583"/>
      <c r="Y22" s="3464"/>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64"/>
      <c r="Q23" s="1573" t="str">
        <f>B23</f>
        <v>自然及人文环境</v>
      </c>
      <c r="R23" s="1574" t="s">
        <v>11</v>
      </c>
      <c r="S23" s="1575">
        <f>F23</f>
        <v>100</v>
      </c>
      <c r="T23" s="1574" t="s">
        <v>11</v>
      </c>
      <c r="U23" s="1575">
        <f>H23</f>
        <v>100</v>
      </c>
      <c r="V23" s="1574" t="s">
        <v>11</v>
      </c>
      <c r="W23" s="1575">
        <f>J23</f>
        <v>100</v>
      </c>
      <c r="X23" s="1568"/>
      <c r="Y23" s="34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64"/>
      <c r="Q25" s="1573" t="str">
        <f t="shared" ref="Q25:Q46" si="11">B25</f>
        <v>楼层-1</v>
      </c>
      <c r="R25" s="1574" t="s">
        <v>11</v>
      </c>
      <c r="S25" s="1575">
        <f>F25</f>
        <v>100</v>
      </c>
      <c r="T25" s="1574" t="s">
        <v>11</v>
      </c>
      <c r="U25" s="1575">
        <f>H25</f>
        <v>100</v>
      </c>
      <c r="V25" s="1574" t="s">
        <v>11</v>
      </c>
      <c r="W25" s="1575">
        <f>J25</f>
        <v>100</v>
      </c>
      <c r="X25" s="1568"/>
      <c r="Y25" s="3464"/>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64"/>
      <c r="Q26" s="1573" t="str">
        <f t="shared" si="11"/>
        <v>朝向</v>
      </c>
      <c r="R26" s="1574" t="s">
        <v>11</v>
      </c>
      <c r="S26" s="1575">
        <f>F26</f>
        <v>100</v>
      </c>
      <c r="T26" s="1574" t="s">
        <v>11</v>
      </c>
      <c r="U26" s="1575">
        <f>H26</f>
        <v>100</v>
      </c>
      <c r="V26" s="1574" t="s">
        <v>11</v>
      </c>
      <c r="W26" s="1575">
        <f>J26</f>
        <v>100</v>
      </c>
      <c r="X26" s="1568"/>
      <c r="Y26" s="3464"/>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64"/>
      <c r="Q27" s="1151" t="str">
        <f t="shared" si="11"/>
        <v>道路级别</v>
      </c>
      <c r="R27" s="1569" t="s">
        <v>11</v>
      </c>
      <c r="S27" s="1570">
        <f>F27</f>
        <v>100</v>
      </c>
      <c r="T27" s="1569" t="s">
        <v>11</v>
      </c>
      <c r="U27" s="1570">
        <f>H27</f>
        <v>100</v>
      </c>
      <c r="V27" s="1569" t="s">
        <v>11</v>
      </c>
      <c r="W27" s="1570">
        <f>J27</f>
        <v>100</v>
      </c>
      <c r="X27" s="1571"/>
      <c r="Y27" s="346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6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6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64"/>
      <c r="Q29" s="1573">
        <f t="shared" si="11"/>
        <v>111</v>
      </c>
      <c r="R29" s="1574" t="s">
        <v>11</v>
      </c>
      <c r="S29" s="1575">
        <f t="shared" si="12"/>
        <v>100</v>
      </c>
      <c r="T29" s="1574" t="s">
        <v>11</v>
      </c>
      <c r="U29" s="1575">
        <f t="shared" si="13"/>
        <v>100</v>
      </c>
      <c r="V29" s="1574" t="s">
        <v>11</v>
      </c>
      <c r="W29" s="1575">
        <f t="shared" si="14"/>
        <v>100</v>
      </c>
      <c r="X29" s="1568"/>
      <c r="Y29" s="34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64"/>
      <c r="Q30" s="1573">
        <f t="shared" si="11"/>
        <v>111</v>
      </c>
      <c r="R30" s="1574" t="s">
        <v>11</v>
      </c>
      <c r="S30" s="1575">
        <f t="shared" si="12"/>
        <v>100</v>
      </c>
      <c r="T30" s="1574" t="s">
        <v>11</v>
      </c>
      <c r="U30" s="1575">
        <f t="shared" si="13"/>
        <v>100</v>
      </c>
      <c r="V30" s="1574" t="s">
        <v>11</v>
      </c>
      <c r="W30" s="1575">
        <f t="shared" si="14"/>
        <v>100</v>
      </c>
      <c r="X30" s="1568"/>
      <c r="Y30" s="346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64"/>
      <c r="Q31" s="1573">
        <f t="shared" si="11"/>
        <v>111</v>
      </c>
      <c r="R31" s="1574" t="s">
        <v>11</v>
      </c>
      <c r="S31" s="1575">
        <f t="shared" si="12"/>
        <v>100</v>
      </c>
      <c r="T31" s="1574" t="s">
        <v>11</v>
      </c>
      <c r="U31" s="1575">
        <f t="shared" si="13"/>
        <v>100</v>
      </c>
      <c r="V31" s="1574" t="s">
        <v>11</v>
      </c>
      <c r="W31" s="1575">
        <f t="shared" si="14"/>
        <v>100</v>
      </c>
      <c r="X31" s="1568"/>
      <c r="Y31" s="3464"/>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65" t="s">
        <v>547</v>
      </c>
      <c r="Q32" s="1573" t="str">
        <f t="shared" si="11"/>
        <v>建筑类型</v>
      </c>
      <c r="R32" s="1574" t="s">
        <v>11</v>
      </c>
      <c r="S32" s="1575">
        <f t="shared" si="12"/>
        <v>100</v>
      </c>
      <c r="T32" s="1574" t="s">
        <v>11</v>
      </c>
      <c r="U32" s="1575">
        <f t="shared" si="13"/>
        <v>100</v>
      </c>
      <c r="V32" s="1574" t="s">
        <v>11</v>
      </c>
      <c r="W32" s="1575">
        <f t="shared" si="14"/>
        <v>100</v>
      </c>
      <c r="X32" s="1568"/>
      <c r="Y32" s="3466"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66"/>
      <c r="Q33" s="1606" t="str">
        <f t="shared" si="11"/>
        <v>项目建筑规模</v>
      </c>
      <c r="R33" s="1578" t="s">
        <v>11</v>
      </c>
      <c r="S33" s="1579" t="e">
        <f t="shared" si="12"/>
        <v>#N/A</v>
      </c>
      <c r="T33" s="1578" t="s">
        <v>11</v>
      </c>
      <c r="U33" s="1579" t="e">
        <f t="shared" si="13"/>
        <v>#N/A</v>
      </c>
      <c r="V33" s="1578" t="s">
        <v>11</v>
      </c>
      <c r="W33" s="1579" t="e">
        <f t="shared" si="14"/>
        <v>#N/A</v>
      </c>
      <c r="X33" s="1580"/>
      <c r="Y33" s="3466"/>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66"/>
      <c r="Q34" s="1573" t="str">
        <f t="shared" si="11"/>
        <v>建筑结构</v>
      </c>
      <c r="R34" s="1574" t="s">
        <v>11</v>
      </c>
      <c r="S34" s="1575">
        <f t="shared" si="12"/>
        <v>100</v>
      </c>
      <c r="T34" s="1574" t="s">
        <v>11</v>
      </c>
      <c r="U34" s="1575">
        <f t="shared" si="13"/>
        <v>100</v>
      </c>
      <c r="V34" s="1574" t="s">
        <v>11</v>
      </c>
      <c r="W34" s="1575">
        <f t="shared" si="14"/>
        <v>100</v>
      </c>
      <c r="X34" s="1568"/>
      <c r="Y34" s="3466"/>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66"/>
      <c r="Q35" s="1573" t="str">
        <f t="shared" si="11"/>
        <v>建筑品质</v>
      </c>
      <c r="R35" s="1574" t="s">
        <v>11</v>
      </c>
      <c r="S35" s="1575">
        <f t="shared" si="12"/>
        <v>100</v>
      </c>
      <c r="T35" s="1574" t="s">
        <v>11</v>
      </c>
      <c r="U35" s="1575">
        <f t="shared" si="13"/>
        <v>100</v>
      </c>
      <c r="V35" s="1574" t="s">
        <v>11</v>
      </c>
      <c r="W35" s="1575">
        <f t="shared" si="14"/>
        <v>100</v>
      </c>
      <c r="X35" s="1568"/>
      <c r="Y35" s="3466"/>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66"/>
      <c r="Q36" s="1573" t="str">
        <f t="shared" si="11"/>
        <v>公共部分装修</v>
      </c>
      <c r="R36" s="1574" t="s">
        <v>11</v>
      </c>
      <c r="S36" s="1575">
        <f t="shared" si="12"/>
        <v>100</v>
      </c>
      <c r="T36" s="1574" t="s">
        <v>11</v>
      </c>
      <c r="U36" s="1575">
        <f t="shared" si="13"/>
        <v>100</v>
      </c>
      <c r="V36" s="1574" t="s">
        <v>11</v>
      </c>
      <c r="W36" s="1575">
        <f t="shared" si="14"/>
        <v>100</v>
      </c>
      <c r="X36" s="1568"/>
      <c r="Y36" s="3466"/>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66"/>
      <c r="Q37" s="1151" t="str">
        <f t="shared" si="11"/>
        <v>成新度</v>
      </c>
      <c r="R37" s="1569" t="s">
        <v>11</v>
      </c>
      <c r="S37" s="1570" t="e">
        <f t="shared" si="12"/>
        <v>#N/A</v>
      </c>
      <c r="T37" s="1569" t="s">
        <v>11</v>
      </c>
      <c r="U37" s="1570" t="e">
        <f t="shared" si="13"/>
        <v>#N/A</v>
      </c>
      <c r="V37" s="1569" t="s">
        <v>11</v>
      </c>
      <c r="W37" s="1570" t="e">
        <f t="shared" si="14"/>
        <v>#N/A</v>
      </c>
      <c r="X37" s="1571"/>
      <c r="Y37" s="3466"/>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66" t="s">
        <v>547</v>
      </c>
      <c r="Q38" s="1573" t="str">
        <f t="shared" si="11"/>
        <v>物业管理</v>
      </c>
      <c r="R38" s="1574" t="s">
        <v>11</v>
      </c>
      <c r="S38" s="1575">
        <f t="shared" si="12"/>
        <v>100</v>
      </c>
      <c r="T38" s="1574" t="s">
        <v>11</v>
      </c>
      <c r="U38" s="1575">
        <f t="shared" si="13"/>
        <v>100</v>
      </c>
      <c r="V38" s="1574" t="s">
        <v>11</v>
      </c>
      <c r="W38" s="1575">
        <f t="shared" si="14"/>
        <v>100</v>
      </c>
      <c r="X38" s="1568"/>
      <c r="Y38" s="3466"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66"/>
      <c r="Q39" s="1573" t="str">
        <f t="shared" si="11"/>
        <v>市政基础设施</v>
      </c>
      <c r="R39" s="1574" t="s">
        <v>11</v>
      </c>
      <c r="S39" s="1575">
        <f t="shared" si="12"/>
        <v>100</v>
      </c>
      <c r="T39" s="1574" t="s">
        <v>11</v>
      </c>
      <c r="U39" s="1575">
        <f t="shared" si="13"/>
        <v>100</v>
      </c>
      <c r="V39" s="1574" t="s">
        <v>11</v>
      </c>
      <c r="W39" s="1575">
        <f t="shared" si="14"/>
        <v>100</v>
      </c>
      <c r="X39" s="1568"/>
      <c r="Y39" s="3466"/>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66"/>
      <c r="Q40" s="1573" t="str">
        <f t="shared" si="11"/>
        <v>房型</v>
      </c>
      <c r="R40" s="1574" t="s">
        <v>11</v>
      </c>
      <c r="S40" s="1575">
        <f t="shared" si="12"/>
        <v>100</v>
      </c>
      <c r="T40" s="1574" t="s">
        <v>11</v>
      </c>
      <c r="U40" s="1575">
        <f t="shared" si="13"/>
        <v>100</v>
      </c>
      <c r="V40" s="1574" t="s">
        <v>11</v>
      </c>
      <c r="W40" s="1575">
        <f t="shared" si="14"/>
        <v>100</v>
      </c>
      <c r="X40" s="1568"/>
      <c r="Y40" s="3466"/>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66"/>
      <c r="Q41" s="1606" t="str">
        <f t="shared" si="11"/>
        <v>单套/主力户型建筑面积</v>
      </c>
      <c r="R41" s="1578" t="s">
        <v>11</v>
      </c>
      <c r="S41" s="1579">
        <f t="shared" si="12"/>
        <v>100</v>
      </c>
      <c r="T41" s="1578" t="s">
        <v>11</v>
      </c>
      <c r="U41" s="1579">
        <f t="shared" si="13"/>
        <v>100</v>
      </c>
      <c r="V41" s="1578" t="s">
        <v>11</v>
      </c>
      <c r="W41" s="1579">
        <f t="shared" si="14"/>
        <v>100</v>
      </c>
      <c r="X41" s="1580"/>
      <c r="Y41" s="3466"/>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66"/>
      <c r="Q42" s="1573" t="str">
        <f t="shared" si="11"/>
        <v>内部装修</v>
      </c>
      <c r="R42" s="1574" t="s">
        <v>11</v>
      </c>
      <c r="S42" s="1575">
        <f t="shared" si="12"/>
        <v>100</v>
      </c>
      <c r="T42" s="1574" t="s">
        <v>11</v>
      </c>
      <c r="U42" s="1575">
        <f t="shared" si="13"/>
        <v>100</v>
      </c>
      <c r="V42" s="1574" t="s">
        <v>11</v>
      </c>
      <c r="W42" s="1575">
        <f t="shared" si="14"/>
        <v>100</v>
      </c>
      <c r="X42" s="1568"/>
      <c r="Y42" s="3466"/>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66"/>
      <c r="Q43" s="1573" t="str">
        <f t="shared" si="11"/>
        <v>内部装修维护情况</v>
      </c>
      <c r="R43" s="1574" t="s">
        <v>11</v>
      </c>
      <c r="S43" s="1575">
        <f t="shared" si="12"/>
        <v>100</v>
      </c>
      <c r="T43" s="1574" t="s">
        <v>11</v>
      </c>
      <c r="U43" s="1575">
        <f t="shared" si="13"/>
        <v>100</v>
      </c>
      <c r="V43" s="1574" t="s">
        <v>11</v>
      </c>
      <c r="W43" s="1575">
        <f t="shared" si="14"/>
        <v>100</v>
      </c>
      <c r="X43" s="1568"/>
      <c r="Y43" s="34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66"/>
      <c r="Q44" s="1151">
        <f t="shared" si="11"/>
        <v>111</v>
      </c>
      <c r="R44" s="1569" t="s">
        <v>11</v>
      </c>
      <c r="S44" s="1570">
        <f t="shared" si="12"/>
        <v>100</v>
      </c>
      <c r="T44" s="1569" t="s">
        <v>11</v>
      </c>
      <c r="U44" s="1570">
        <f t="shared" si="13"/>
        <v>100</v>
      </c>
      <c r="V44" s="1569" t="s">
        <v>11</v>
      </c>
      <c r="W44" s="1570">
        <f t="shared" si="14"/>
        <v>100</v>
      </c>
      <c r="X44" s="1571"/>
      <c r="Y44" s="34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66"/>
      <c r="Q45" s="1573">
        <f t="shared" si="11"/>
        <v>111</v>
      </c>
      <c r="R45" s="1574" t="s">
        <v>11</v>
      </c>
      <c r="S45" s="1575">
        <f t="shared" si="12"/>
        <v>100</v>
      </c>
      <c r="T45" s="1574" t="s">
        <v>11</v>
      </c>
      <c r="U45" s="1575">
        <f t="shared" si="13"/>
        <v>100</v>
      </c>
      <c r="V45" s="1574" t="s">
        <v>11</v>
      </c>
      <c r="W45" s="1575">
        <f t="shared" si="14"/>
        <v>100</v>
      </c>
      <c r="X45" s="1568"/>
      <c r="Y45" s="346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3"/>
      <c r="Q46" s="1573">
        <f t="shared" si="11"/>
        <v>111</v>
      </c>
      <c r="R46" s="1574" t="s">
        <v>10</v>
      </c>
      <c r="S46" s="1575">
        <f t="shared" si="12"/>
        <v>100</v>
      </c>
      <c r="T46" s="1574" t="s">
        <v>10</v>
      </c>
      <c r="U46" s="1575">
        <f t="shared" si="13"/>
        <v>100</v>
      </c>
      <c r="V46" s="1574" t="s">
        <v>10</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61" t="str">
        <f>A47</f>
        <v>成交单价（元/平方米）</v>
      </c>
      <c r="Q47" s="3461"/>
      <c r="R47" s="3524">
        <f>E47</f>
        <v>0</v>
      </c>
      <c r="S47" s="3524"/>
      <c r="T47" s="3524">
        <f>G47</f>
        <v>0</v>
      </c>
      <c r="U47" s="3524"/>
      <c r="V47" s="3524">
        <f>I47</f>
        <v>0</v>
      </c>
      <c r="W47" s="3524"/>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61" t="str">
        <f>A48</f>
        <v>比较价格（元/平方米）</v>
      </c>
      <c r="Q48" s="3461"/>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82" t="str">
        <f>A49</f>
        <v>估价对象XX用房的比较价格（楼面单价，元/平方米）</v>
      </c>
      <c r="Q49" s="3483"/>
      <c r="R49" s="3526" t="e">
        <f>IF(F1="售价",ROUND(AVERAGE(R48:V48),0),ROUND(AVERAGE(R48:V48),1))</f>
        <v>#DIV/0!</v>
      </c>
      <c r="S49" s="3526"/>
      <c r="T49" s="3526"/>
      <c r="U49" s="3526"/>
      <c r="V49" s="3526"/>
      <c r="W49" s="352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467" t="s">
        <v>519</v>
      </c>
      <c r="D4" s="3468"/>
      <c r="E4" s="3491" t="s">
        <v>520</v>
      </c>
      <c r="F4" s="3492"/>
      <c r="G4" s="3467" t="s">
        <v>521</v>
      </c>
      <c r="H4" s="3468"/>
      <c r="I4" s="3467" t="s">
        <v>522</v>
      </c>
      <c r="J4" s="3468"/>
      <c r="K4" s="514"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51"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53"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63" t="s">
        <v>537</v>
      </c>
      <c r="Q15" s="1573" t="str">
        <f t="shared" si="6"/>
        <v>产业集聚程度</v>
      </c>
      <c r="R15" s="1574" t="s">
        <v>8</v>
      </c>
      <c r="S15" s="1575">
        <f t="shared" si="0"/>
        <v>100</v>
      </c>
      <c r="T15" s="1574" t="s">
        <v>8</v>
      </c>
      <c r="U15" s="1575">
        <f t="shared" si="1"/>
        <v>100</v>
      </c>
      <c r="V15" s="1574" t="s">
        <v>8</v>
      </c>
      <c r="W15" s="1575">
        <f t="shared" si="2"/>
        <v>100</v>
      </c>
      <c r="X15" s="1568"/>
      <c r="Y15" s="3463"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64"/>
      <c r="Q22" s="2581"/>
      <c r="R22" s="1574"/>
      <c r="S22" s="1575"/>
      <c r="T22" s="1574"/>
      <c r="U22" s="1575"/>
      <c r="V22" s="1574"/>
      <c r="W22" s="1575"/>
      <c r="X22" s="2583"/>
      <c r="Y22" s="3464"/>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64"/>
      <c r="Q23" s="1573" t="str">
        <f>B23</f>
        <v>环境质量</v>
      </c>
      <c r="R23" s="1574" t="s">
        <v>8</v>
      </c>
      <c r="S23" s="1575">
        <f>F23</f>
        <v>100</v>
      </c>
      <c r="T23" s="1574" t="s">
        <v>8</v>
      </c>
      <c r="U23" s="1575">
        <f>H23</f>
        <v>100</v>
      </c>
      <c r="V23" s="1574" t="s">
        <v>8</v>
      </c>
      <c r="W23" s="1575">
        <f>J23</f>
        <v>100</v>
      </c>
      <c r="X23" s="1568"/>
      <c r="Y23" s="346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64"/>
      <c r="Q25" s="1573">
        <f>B25</f>
        <v>111</v>
      </c>
      <c r="R25" s="1574" t="s">
        <v>8</v>
      </c>
      <c r="S25" s="1575">
        <f>F25</f>
        <v>100</v>
      </c>
      <c r="T25" s="1574" t="s">
        <v>8</v>
      </c>
      <c r="U25" s="1575">
        <f>H25</f>
        <v>100</v>
      </c>
      <c r="V25" s="1574" t="s">
        <v>8</v>
      </c>
      <c r="W25" s="1575">
        <f>J25</f>
        <v>100</v>
      </c>
      <c r="X25" s="1568"/>
      <c r="Y25" s="346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64"/>
      <c r="Q26" s="1573">
        <f t="shared" ref="Q26:Q40" si="11">B26</f>
        <v>111</v>
      </c>
      <c r="R26" s="1574" t="s">
        <v>8</v>
      </c>
      <c r="S26" s="1575">
        <f>F26</f>
        <v>100</v>
      </c>
      <c r="T26" s="1574" t="s">
        <v>8</v>
      </c>
      <c r="U26" s="1575">
        <f>H26</f>
        <v>100</v>
      </c>
      <c r="V26" s="1574" t="s">
        <v>8</v>
      </c>
      <c r="W26" s="1575">
        <f>J26</f>
        <v>100</v>
      </c>
      <c r="X26" s="1568"/>
      <c r="Y26" s="346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64"/>
      <c r="Q27" s="1151">
        <f t="shared" si="11"/>
        <v>111</v>
      </c>
      <c r="R27" s="1569" t="s">
        <v>8</v>
      </c>
      <c r="S27" s="1570">
        <f>F27</f>
        <v>100</v>
      </c>
      <c r="T27" s="1569" t="s">
        <v>8</v>
      </c>
      <c r="U27" s="1570">
        <f>H27</f>
        <v>100</v>
      </c>
      <c r="V27" s="1569" t="s">
        <v>8</v>
      </c>
      <c r="W27" s="1570">
        <f>J27</f>
        <v>100</v>
      </c>
      <c r="X27" s="1571"/>
      <c r="Y27" s="346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64"/>
      <c r="Q28" s="1573">
        <f t="shared" si="11"/>
        <v>111</v>
      </c>
      <c r="R28" s="1574" t="s">
        <v>8</v>
      </c>
      <c r="S28" s="1575">
        <f t="shared" ref="S28:S40" si="12">F28</f>
        <v>100</v>
      </c>
      <c r="T28" s="1574" t="s">
        <v>8</v>
      </c>
      <c r="U28" s="1575">
        <f t="shared" ref="U28:U40" si="13">H28</f>
        <v>100</v>
      </c>
      <c r="V28" s="1574" t="s">
        <v>8</v>
      </c>
      <c r="W28" s="1575">
        <f t="shared" ref="W28:W40" si="14">J28</f>
        <v>100</v>
      </c>
      <c r="X28" s="1568"/>
      <c r="Y28" s="3464"/>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65" t="s">
        <v>547</v>
      </c>
      <c r="Q29" s="1573" t="str">
        <f t="shared" si="11"/>
        <v>建筑类型</v>
      </c>
      <c r="R29" s="1574" t="s">
        <v>8</v>
      </c>
      <c r="S29" s="1575">
        <f t="shared" si="12"/>
        <v>100</v>
      </c>
      <c r="T29" s="1574" t="s">
        <v>8</v>
      </c>
      <c r="U29" s="1575">
        <f t="shared" si="13"/>
        <v>100</v>
      </c>
      <c r="V29" s="1574" t="s">
        <v>8</v>
      </c>
      <c r="W29" s="1575">
        <f t="shared" si="14"/>
        <v>100</v>
      </c>
      <c r="X29" s="1568"/>
      <c r="Y29" s="3466"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66"/>
      <c r="Q30" s="1606" t="str">
        <f t="shared" si="11"/>
        <v>项目建筑规模</v>
      </c>
      <c r="R30" s="1578" t="s">
        <v>8</v>
      </c>
      <c r="S30" s="1579" t="e">
        <f t="shared" si="12"/>
        <v>#N/A</v>
      </c>
      <c r="T30" s="1578" t="s">
        <v>8</v>
      </c>
      <c r="U30" s="1579" t="e">
        <f t="shared" si="13"/>
        <v>#N/A</v>
      </c>
      <c r="V30" s="1578" t="s">
        <v>8</v>
      </c>
      <c r="W30" s="1579" t="e">
        <f t="shared" si="14"/>
        <v>#N/A</v>
      </c>
      <c r="X30" s="1580"/>
      <c r="Y30" s="3466"/>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66"/>
      <c r="Q31" s="1573" t="str">
        <f t="shared" si="11"/>
        <v>建筑结构</v>
      </c>
      <c r="R31" s="1574" t="s">
        <v>8</v>
      </c>
      <c r="S31" s="1575">
        <f t="shared" si="12"/>
        <v>100</v>
      </c>
      <c r="T31" s="1574" t="s">
        <v>8</v>
      </c>
      <c r="U31" s="1575">
        <f t="shared" si="13"/>
        <v>100</v>
      </c>
      <c r="V31" s="1574" t="s">
        <v>8</v>
      </c>
      <c r="W31" s="1575">
        <f t="shared" si="14"/>
        <v>100</v>
      </c>
      <c r="X31" s="1568"/>
      <c r="Y31" s="3466"/>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66"/>
      <c r="Q32" s="1573" t="str">
        <f t="shared" si="11"/>
        <v>公共部分装修</v>
      </c>
      <c r="R32" s="1574" t="s">
        <v>8</v>
      </c>
      <c r="S32" s="1575">
        <f t="shared" si="12"/>
        <v>100</v>
      </c>
      <c r="T32" s="1574" t="s">
        <v>8</v>
      </c>
      <c r="U32" s="1575">
        <f t="shared" si="13"/>
        <v>100</v>
      </c>
      <c r="V32" s="1574" t="s">
        <v>8</v>
      </c>
      <c r="W32" s="1575">
        <f t="shared" si="14"/>
        <v>100</v>
      </c>
      <c r="X32" s="1568"/>
      <c r="Y32" s="3466"/>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66"/>
      <c r="Q33" s="1573" t="str">
        <f t="shared" si="11"/>
        <v>成新度</v>
      </c>
      <c r="R33" s="1574" t="s">
        <v>8</v>
      </c>
      <c r="S33" s="1575" t="e">
        <f t="shared" si="12"/>
        <v>#N/A</v>
      </c>
      <c r="T33" s="1574" t="s">
        <v>8</v>
      </c>
      <c r="U33" s="1575" t="e">
        <f t="shared" si="13"/>
        <v>#N/A</v>
      </c>
      <c r="V33" s="1574" t="s">
        <v>8</v>
      </c>
      <c r="W33" s="1575" t="e">
        <f t="shared" si="14"/>
        <v>#N/A</v>
      </c>
      <c r="X33" s="1568"/>
      <c r="Y33" s="3466"/>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66"/>
      <c r="Q34" s="1151" t="str">
        <f t="shared" si="11"/>
        <v>物业管理</v>
      </c>
      <c r="R34" s="1569" t="s">
        <v>8</v>
      </c>
      <c r="S34" s="1570">
        <f t="shared" si="12"/>
        <v>100</v>
      </c>
      <c r="T34" s="1569" t="s">
        <v>8</v>
      </c>
      <c r="U34" s="1570">
        <f t="shared" si="13"/>
        <v>100</v>
      </c>
      <c r="V34" s="1569" t="s">
        <v>8</v>
      </c>
      <c r="W34" s="1570">
        <f t="shared" si="14"/>
        <v>100</v>
      </c>
      <c r="X34" s="1571"/>
      <c r="Y34" s="3466"/>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66" t="s">
        <v>547</v>
      </c>
      <c r="Q35" s="1573" t="str">
        <f t="shared" si="11"/>
        <v>市政基础设施</v>
      </c>
      <c r="R35" s="1574" t="s">
        <v>8</v>
      </c>
      <c r="S35" s="1575">
        <f t="shared" si="12"/>
        <v>100</v>
      </c>
      <c r="T35" s="1574" t="s">
        <v>8</v>
      </c>
      <c r="U35" s="1575">
        <f t="shared" si="13"/>
        <v>100</v>
      </c>
      <c r="V35" s="1574" t="s">
        <v>8</v>
      </c>
      <c r="W35" s="1575">
        <f t="shared" si="14"/>
        <v>100</v>
      </c>
      <c r="X35" s="1568"/>
      <c r="Y35" s="3466"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66"/>
      <c r="Q36" s="1573" t="str">
        <f t="shared" si="11"/>
        <v>内部装修</v>
      </c>
      <c r="R36" s="1574" t="s">
        <v>8</v>
      </c>
      <c r="S36" s="1575">
        <f t="shared" si="12"/>
        <v>100</v>
      </c>
      <c r="T36" s="1574" t="s">
        <v>8</v>
      </c>
      <c r="U36" s="1575">
        <f t="shared" si="13"/>
        <v>100</v>
      </c>
      <c r="V36" s="1574" t="s">
        <v>8</v>
      </c>
      <c r="W36" s="1575">
        <f t="shared" si="14"/>
        <v>100</v>
      </c>
      <c r="X36" s="1568"/>
      <c r="Y36" s="3466"/>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66"/>
      <c r="Q37" s="1573" t="str">
        <f t="shared" si="11"/>
        <v>内部装修状况</v>
      </c>
      <c r="R37" s="1574" t="s">
        <v>8</v>
      </c>
      <c r="S37" s="1575">
        <f t="shared" si="12"/>
        <v>100</v>
      </c>
      <c r="T37" s="1574" t="s">
        <v>8</v>
      </c>
      <c r="U37" s="1575">
        <f t="shared" si="13"/>
        <v>100</v>
      </c>
      <c r="V37" s="1574" t="s">
        <v>8</v>
      </c>
      <c r="W37" s="1575">
        <f t="shared" si="14"/>
        <v>100</v>
      </c>
      <c r="X37" s="1568"/>
      <c r="Y37" s="346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66"/>
      <c r="Q38" s="1606">
        <f t="shared" si="11"/>
        <v>111</v>
      </c>
      <c r="R38" s="1578" t="s">
        <v>8</v>
      </c>
      <c r="S38" s="1579">
        <f t="shared" si="12"/>
        <v>100</v>
      </c>
      <c r="T38" s="1578" t="s">
        <v>8</v>
      </c>
      <c r="U38" s="1579">
        <f t="shared" si="13"/>
        <v>100</v>
      </c>
      <c r="V38" s="1578" t="s">
        <v>8</v>
      </c>
      <c r="W38" s="1579">
        <f t="shared" si="14"/>
        <v>100</v>
      </c>
      <c r="X38" s="1580"/>
      <c r="Y38" s="346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66"/>
      <c r="Q39" s="1573">
        <f t="shared" si="11"/>
        <v>111</v>
      </c>
      <c r="R39" s="1574" t="s">
        <v>8</v>
      </c>
      <c r="S39" s="1575">
        <f t="shared" si="12"/>
        <v>100</v>
      </c>
      <c r="T39" s="1574" t="s">
        <v>8</v>
      </c>
      <c r="U39" s="1575">
        <f t="shared" si="13"/>
        <v>100</v>
      </c>
      <c r="V39" s="1574" t="s">
        <v>8</v>
      </c>
      <c r="W39" s="1575">
        <f t="shared" si="14"/>
        <v>100</v>
      </c>
      <c r="X39" s="1568"/>
      <c r="Y39" s="346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3"/>
      <c r="Q40" s="1573">
        <f t="shared" si="11"/>
        <v>111</v>
      </c>
      <c r="R40" s="1574" t="s">
        <v>8</v>
      </c>
      <c r="S40" s="1575">
        <f t="shared" si="12"/>
        <v>100</v>
      </c>
      <c r="T40" s="1574" t="s">
        <v>8</v>
      </c>
      <c r="U40" s="1575">
        <f t="shared" si="13"/>
        <v>100</v>
      </c>
      <c r="V40" s="1574" t="s">
        <v>8</v>
      </c>
      <c r="W40" s="1575">
        <f t="shared" si="14"/>
        <v>100</v>
      </c>
      <c r="X40" s="1568"/>
      <c r="Y40" s="3523"/>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61" t="str">
        <f>A41</f>
        <v>成交单价（元/平方米）</v>
      </c>
      <c r="Q41" s="3461"/>
      <c r="R41" s="3524">
        <f>E41</f>
        <v>0</v>
      </c>
      <c r="S41" s="3524"/>
      <c r="T41" s="3524">
        <f>G41</f>
        <v>0</v>
      </c>
      <c r="U41" s="3524"/>
      <c r="V41" s="3524">
        <f>I41</f>
        <v>0</v>
      </c>
      <c r="W41" s="3524"/>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61" t="str">
        <f>A42</f>
        <v>比较价格（元/平方米）</v>
      </c>
      <c r="Q42" s="3461"/>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82" t="str">
        <f>A43</f>
        <v>估价对象XX用房的比较价格（楼面单价，元/平方米）</v>
      </c>
      <c r="Q43" s="3483"/>
      <c r="R43" s="3526" t="e">
        <f>IF(F1="售价",ROUND(AVERAGE(R42:V42),0),ROUND(AVERAGE(R42:V42),1))</f>
        <v>#DIV/0!</v>
      </c>
      <c r="S43" s="3526"/>
      <c r="T43" s="3526"/>
      <c r="U43" s="3526"/>
      <c r="V43" s="3526"/>
      <c r="W43" s="352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67" t="s">
        <v>795</v>
      </c>
      <c r="D4" s="3468"/>
      <c r="E4" s="3467" t="s">
        <v>796</v>
      </c>
      <c r="F4" s="3468"/>
      <c r="G4" s="3467" t="s">
        <v>797</v>
      </c>
      <c r="H4" s="3468"/>
      <c r="I4" s="3467" t="s">
        <v>798</v>
      </c>
      <c r="J4" s="3468"/>
      <c r="K4" s="514" t="s">
        <v>799</v>
      </c>
      <c r="L4" s="2135"/>
      <c r="M4" s="2136"/>
      <c r="N4" s="2136"/>
      <c r="O4" s="2136"/>
      <c r="P4" s="3469" t="s">
        <v>800</v>
      </c>
      <c r="Q4" s="3470"/>
      <c r="R4" s="3455" t="s">
        <v>796</v>
      </c>
      <c r="S4" s="3456"/>
      <c r="T4" s="3455" t="s">
        <v>797</v>
      </c>
      <c r="U4" s="3456"/>
      <c r="V4" s="3475" t="s">
        <v>798</v>
      </c>
      <c r="W4" s="3475"/>
      <c r="X4" s="1568"/>
      <c r="Y4" s="3455" t="s">
        <v>800</v>
      </c>
      <c r="Z4" s="3456"/>
      <c r="AA4" s="3450" t="s">
        <v>796</v>
      </c>
      <c r="AB4" s="3451" t="s">
        <v>797</v>
      </c>
      <c r="AC4" s="3450" t="s">
        <v>798</v>
      </c>
    </row>
    <row r="5" spans="1:29" ht="15">
      <c r="A5" s="515"/>
      <c r="B5" s="516"/>
      <c r="C5" s="3478" t="s">
        <v>2925</v>
      </c>
      <c r="D5" s="3479"/>
      <c r="E5" s="3478" t="s">
        <v>2926</v>
      </c>
      <c r="F5" s="3479"/>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80" t="s">
        <v>2929</v>
      </c>
      <c r="F6" s="3481"/>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53" t="s">
        <v>527</v>
      </c>
      <c r="Q7" s="3462"/>
      <c r="R7" s="1569" t="s">
        <v>8</v>
      </c>
      <c r="S7" s="1570">
        <f t="shared" ref="S7:S14" si="0">F7</f>
        <v>0</v>
      </c>
      <c r="T7" s="1569" t="s">
        <v>8</v>
      </c>
      <c r="U7" s="1570">
        <f t="shared" ref="U7:U14" si="1">H7</f>
        <v>0</v>
      </c>
      <c r="V7" s="1569" t="s">
        <v>8</v>
      </c>
      <c r="W7" s="1570">
        <f t="shared" ref="W7:W14"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61" t="s">
        <v>532</v>
      </c>
      <c r="Q9" s="1151" t="str">
        <f t="shared" ref="Q9:Q14" si="6">B9</f>
        <v>用途</v>
      </c>
      <c r="R9" s="1569" t="s">
        <v>8</v>
      </c>
      <c r="S9" s="1570">
        <f t="shared" si="0"/>
        <v>100</v>
      </c>
      <c r="T9" s="1569" t="s">
        <v>8</v>
      </c>
      <c r="U9" s="1570">
        <f t="shared" si="1"/>
        <v>100</v>
      </c>
      <c r="V9" s="1569" t="s">
        <v>8</v>
      </c>
      <c r="W9" s="1570">
        <f t="shared" si="2"/>
        <v>100</v>
      </c>
      <c r="X9" s="1571"/>
      <c r="Y9" s="3409"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61"/>
      <c r="Q11" s="1151">
        <f t="shared" si="6"/>
        <v>111</v>
      </c>
      <c r="R11" s="1569" t="s">
        <v>8</v>
      </c>
      <c r="S11" s="1570">
        <f t="shared" si="0"/>
        <v>100</v>
      </c>
      <c r="T11" s="1569" t="s">
        <v>8</v>
      </c>
      <c r="U11" s="1570">
        <f t="shared" si="1"/>
        <v>100</v>
      </c>
      <c r="V11" s="1569" t="s">
        <v>8</v>
      </c>
      <c r="W11" s="1570">
        <f t="shared" si="2"/>
        <v>100</v>
      </c>
      <c r="X11" s="1571"/>
      <c r="Y11" s="340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63" t="s">
        <v>537</v>
      </c>
      <c r="Q14" s="1573" t="str">
        <f t="shared" si="6"/>
        <v>交通便捷度</v>
      </c>
      <c r="R14" s="1574" t="s">
        <v>8</v>
      </c>
      <c r="S14" s="1575">
        <f t="shared" si="0"/>
        <v>100</v>
      </c>
      <c r="T14" s="1574" t="s">
        <v>8</v>
      </c>
      <c r="U14" s="1575">
        <f t="shared" si="1"/>
        <v>100</v>
      </c>
      <c r="V14" s="1574" t="s">
        <v>8</v>
      </c>
      <c r="W14" s="1575">
        <f t="shared" si="2"/>
        <v>100</v>
      </c>
      <c r="X14" s="1568"/>
      <c r="Y14" s="3463"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64"/>
      <c r="Q15" s="1573"/>
      <c r="R15" s="1574"/>
      <c r="S15" s="1575"/>
      <c r="T15" s="1574"/>
      <c r="U15" s="1575"/>
      <c r="V15" s="1574"/>
      <c r="W15" s="1575"/>
      <c r="X15" s="1568"/>
      <c r="Y15" s="3464"/>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64"/>
      <c r="Q16" s="1573" t="str">
        <f>B16</f>
        <v>公共配套设施</v>
      </c>
      <c r="R16" s="1574" t="s">
        <v>8</v>
      </c>
      <c r="S16" s="1575">
        <f>F16</f>
        <v>100</v>
      </c>
      <c r="T16" s="1574" t="s">
        <v>8</v>
      </c>
      <c r="U16" s="1575">
        <f>H16</f>
        <v>100</v>
      </c>
      <c r="V16" s="1574" t="s">
        <v>8</v>
      </c>
      <c r="W16" s="1575">
        <f>J16</f>
        <v>100</v>
      </c>
      <c r="X16" s="1568"/>
      <c r="Y16" s="346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64"/>
      <c r="Q17" s="1573"/>
      <c r="R17" s="1574"/>
      <c r="S17" s="1575"/>
      <c r="T17" s="1574"/>
      <c r="U17" s="1575"/>
      <c r="V17" s="1574"/>
      <c r="W17" s="1575"/>
      <c r="X17" s="1568"/>
      <c r="Y17" s="3464"/>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64"/>
      <c r="Q18" s="2581" t="str">
        <f>B18</f>
        <v>基础设施水平</v>
      </c>
      <c r="R18" s="1574" t="s">
        <v>8</v>
      </c>
      <c r="S18" s="1575">
        <f>F18</f>
        <v>100</v>
      </c>
      <c r="T18" s="1574" t="s">
        <v>8</v>
      </c>
      <c r="U18" s="1575">
        <f>H18</f>
        <v>100</v>
      </c>
      <c r="V18" s="1574" t="s">
        <v>8</v>
      </c>
      <c r="W18" s="1575">
        <f>J18</f>
        <v>100</v>
      </c>
      <c r="X18" s="2583"/>
      <c r="Y18" s="3464"/>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64"/>
      <c r="Q19" s="2581"/>
      <c r="R19" s="1574"/>
      <c r="S19" s="1575"/>
      <c r="T19" s="1574"/>
      <c r="U19" s="1575"/>
      <c r="V19" s="1574"/>
      <c r="W19" s="1575"/>
      <c r="X19" s="2583"/>
      <c r="Y19" s="3464"/>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64"/>
      <c r="Q20" s="1573" t="str">
        <f>B20</f>
        <v>自然及人文环境</v>
      </c>
      <c r="R20" s="1574" t="s">
        <v>8</v>
      </c>
      <c r="S20" s="1575">
        <f>F20</f>
        <v>100</v>
      </c>
      <c r="T20" s="1574" t="s">
        <v>8</v>
      </c>
      <c r="U20" s="1575">
        <f>H20</f>
        <v>100</v>
      </c>
      <c r="V20" s="1574" t="s">
        <v>8</v>
      </c>
      <c r="W20" s="1575">
        <f>J20</f>
        <v>100</v>
      </c>
      <c r="X20" s="1568"/>
      <c r="Y20" s="346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64"/>
      <c r="Q21" s="1573"/>
      <c r="R21" s="1574"/>
      <c r="S21" s="1575"/>
      <c r="T21" s="1574"/>
      <c r="U21" s="1575"/>
      <c r="V21" s="1574"/>
      <c r="W21" s="1575"/>
      <c r="X21" s="1568"/>
      <c r="Y21" s="3464"/>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64"/>
      <c r="Q22" s="1573" t="str">
        <f>B22</f>
        <v>楼层</v>
      </c>
      <c r="R22" s="1574" t="s">
        <v>8</v>
      </c>
      <c r="S22" s="1575">
        <f>F22</f>
        <v>100</v>
      </c>
      <c r="T22" s="1574" t="s">
        <v>8</v>
      </c>
      <c r="U22" s="1575">
        <f>H22</f>
        <v>100</v>
      </c>
      <c r="V22" s="1574" t="s">
        <v>8</v>
      </c>
      <c r="W22" s="1575">
        <f>J22</f>
        <v>100</v>
      </c>
      <c r="X22" s="1568"/>
      <c r="Y22" s="346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64"/>
      <c r="Q23" s="1573">
        <f>B23</f>
        <v>111</v>
      </c>
      <c r="R23" s="1574" t="s">
        <v>8</v>
      </c>
      <c r="S23" s="1575">
        <f>F23</f>
        <v>100</v>
      </c>
      <c r="T23" s="1574" t="s">
        <v>8</v>
      </c>
      <c r="U23" s="1575">
        <f>H23</f>
        <v>100</v>
      </c>
      <c r="V23" s="1574" t="s">
        <v>8</v>
      </c>
      <c r="W23" s="1575">
        <f>J23</f>
        <v>100</v>
      </c>
      <c r="X23" s="1568"/>
      <c r="Y23" s="346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64"/>
      <c r="Q24" s="1573">
        <f t="shared" ref="Q24:Q36" si="11">B24</f>
        <v>111</v>
      </c>
      <c r="R24" s="1574" t="s">
        <v>8</v>
      </c>
      <c r="S24" s="1575">
        <f>F24</f>
        <v>100</v>
      </c>
      <c r="T24" s="1574" t="s">
        <v>8</v>
      </c>
      <c r="U24" s="1575">
        <f>H24</f>
        <v>100</v>
      </c>
      <c r="V24" s="1574" t="s">
        <v>8</v>
      </c>
      <c r="W24" s="1575">
        <f>J24</f>
        <v>100</v>
      </c>
      <c r="X24" s="1568"/>
      <c r="Y24" s="346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64"/>
      <c r="Q25" s="1151">
        <f t="shared" si="11"/>
        <v>111</v>
      </c>
      <c r="R25" s="1569" t="s">
        <v>8</v>
      </c>
      <c r="S25" s="1570">
        <f>F25</f>
        <v>100</v>
      </c>
      <c r="T25" s="1569" t="s">
        <v>8</v>
      </c>
      <c r="U25" s="1570">
        <f>H25</f>
        <v>100</v>
      </c>
      <c r="V25" s="1569" t="s">
        <v>8</v>
      </c>
      <c r="W25" s="1570">
        <f>J25</f>
        <v>100</v>
      </c>
      <c r="X25" s="1571"/>
      <c r="Y25" s="3464"/>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65"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66"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66"/>
      <c r="Q27" s="1606" t="str">
        <f t="shared" si="11"/>
        <v>项目停车位配比</v>
      </c>
      <c r="R27" s="1578" t="s">
        <v>8</v>
      </c>
      <c r="S27" s="1579">
        <f t="shared" si="12"/>
        <v>100</v>
      </c>
      <c r="T27" s="1578" t="s">
        <v>8</v>
      </c>
      <c r="U27" s="1579">
        <f t="shared" si="13"/>
        <v>100</v>
      </c>
      <c r="V27" s="1578" t="s">
        <v>8</v>
      </c>
      <c r="W27" s="1579">
        <f t="shared" si="14"/>
        <v>100</v>
      </c>
      <c r="X27" s="1580"/>
      <c r="Y27" s="3466"/>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66"/>
      <c r="Q28" s="1573" t="str">
        <f t="shared" si="11"/>
        <v>公共部分装修</v>
      </c>
      <c r="R28" s="1574" t="s">
        <v>8</v>
      </c>
      <c r="S28" s="1575">
        <f t="shared" si="12"/>
        <v>100</v>
      </c>
      <c r="T28" s="1574" t="s">
        <v>8</v>
      </c>
      <c r="U28" s="1575">
        <f t="shared" si="13"/>
        <v>100</v>
      </c>
      <c r="V28" s="1574" t="s">
        <v>8</v>
      </c>
      <c r="W28" s="1575">
        <f t="shared" si="14"/>
        <v>100</v>
      </c>
      <c r="X28" s="1568"/>
      <c r="Y28" s="3466"/>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66"/>
      <c r="Q29" s="1573" t="str">
        <f t="shared" si="11"/>
        <v>成新率</v>
      </c>
      <c r="R29" s="1574" t="s">
        <v>8</v>
      </c>
      <c r="S29" s="1575" t="e">
        <f t="shared" si="12"/>
        <v>#N/A</v>
      </c>
      <c r="T29" s="1574" t="s">
        <v>8</v>
      </c>
      <c r="U29" s="1575" t="e">
        <f t="shared" si="13"/>
        <v>#N/A</v>
      </c>
      <c r="V29" s="1574" t="s">
        <v>8</v>
      </c>
      <c r="W29" s="1575" t="e">
        <f t="shared" si="14"/>
        <v>#N/A</v>
      </c>
      <c r="X29" s="1568"/>
      <c r="Y29" s="3466"/>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66"/>
      <c r="Q30" s="1573" t="str">
        <f t="shared" si="11"/>
        <v>物业等级</v>
      </c>
      <c r="R30" s="1574" t="s">
        <v>8</v>
      </c>
      <c r="S30" s="1575">
        <f t="shared" si="12"/>
        <v>100</v>
      </c>
      <c r="T30" s="1574" t="s">
        <v>8</v>
      </c>
      <c r="U30" s="1575">
        <f t="shared" si="13"/>
        <v>100</v>
      </c>
      <c r="V30" s="1574" t="s">
        <v>8</v>
      </c>
      <c r="W30" s="1575">
        <f t="shared" si="14"/>
        <v>100</v>
      </c>
      <c r="X30" s="1568"/>
      <c r="Y30" s="3466"/>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66"/>
      <c r="Q31" s="1151" t="str">
        <f t="shared" si="11"/>
        <v>停车位面积</v>
      </c>
      <c r="R31" s="1569" t="s">
        <v>8</v>
      </c>
      <c r="S31" s="1570" t="e">
        <f t="shared" si="12"/>
        <v>#N/A</v>
      </c>
      <c r="T31" s="1569" t="s">
        <v>8</v>
      </c>
      <c r="U31" s="1570" t="e">
        <f t="shared" si="13"/>
        <v>#N/A</v>
      </c>
      <c r="V31" s="1569" t="s">
        <v>8</v>
      </c>
      <c r="W31" s="1570" t="e">
        <f t="shared" si="14"/>
        <v>#N/A</v>
      </c>
      <c r="X31" s="1571"/>
      <c r="Y31" s="3466"/>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66" t="s">
        <v>547</v>
      </c>
      <c r="Q32" s="1573" t="str">
        <f t="shared" si="11"/>
        <v>车位类型</v>
      </c>
      <c r="R32" s="1574" t="s">
        <v>8</v>
      </c>
      <c r="S32" s="1575">
        <f t="shared" si="12"/>
        <v>100</v>
      </c>
      <c r="T32" s="1574" t="s">
        <v>8</v>
      </c>
      <c r="U32" s="1575">
        <f t="shared" si="13"/>
        <v>100</v>
      </c>
      <c r="V32" s="1574" t="s">
        <v>8</v>
      </c>
      <c r="W32" s="1575">
        <f t="shared" si="14"/>
        <v>100</v>
      </c>
      <c r="X32" s="1568"/>
      <c r="Y32" s="3466"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66"/>
      <c r="Q33" s="1573" t="str">
        <f t="shared" si="11"/>
        <v>是否直接入户</v>
      </c>
      <c r="R33" s="1574" t="s">
        <v>8</v>
      </c>
      <c r="S33" s="1575">
        <f t="shared" si="12"/>
        <v>100</v>
      </c>
      <c r="T33" s="1574" t="s">
        <v>8</v>
      </c>
      <c r="U33" s="1575">
        <f t="shared" si="13"/>
        <v>100</v>
      </c>
      <c r="V33" s="1574" t="s">
        <v>8</v>
      </c>
      <c r="W33" s="1575">
        <f t="shared" si="14"/>
        <v>100</v>
      </c>
      <c r="X33" s="1568"/>
      <c r="Y33" s="346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66"/>
      <c r="Q34" s="1573">
        <f t="shared" si="11"/>
        <v>111</v>
      </c>
      <c r="R34" s="1574" t="s">
        <v>8</v>
      </c>
      <c r="S34" s="1575">
        <f t="shared" si="12"/>
        <v>100</v>
      </c>
      <c r="T34" s="1574" t="s">
        <v>8</v>
      </c>
      <c r="U34" s="1575">
        <f t="shared" si="13"/>
        <v>100</v>
      </c>
      <c r="V34" s="1574" t="s">
        <v>8</v>
      </c>
      <c r="W34" s="1575">
        <f t="shared" si="14"/>
        <v>100</v>
      </c>
      <c r="X34" s="1568"/>
      <c r="Y34" s="346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66"/>
      <c r="Q35" s="1606">
        <f t="shared" si="11"/>
        <v>111</v>
      </c>
      <c r="R35" s="1578" t="s">
        <v>8</v>
      </c>
      <c r="S35" s="1579">
        <f t="shared" si="12"/>
        <v>100</v>
      </c>
      <c r="T35" s="1578" t="s">
        <v>8</v>
      </c>
      <c r="U35" s="1579">
        <f t="shared" si="13"/>
        <v>100</v>
      </c>
      <c r="V35" s="1578" t="s">
        <v>8</v>
      </c>
      <c r="W35" s="1579">
        <f t="shared" si="14"/>
        <v>100</v>
      </c>
      <c r="X35" s="1580"/>
      <c r="Y35" s="346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66"/>
      <c r="Q36" s="1573">
        <f t="shared" si="11"/>
        <v>111</v>
      </c>
      <c r="R36" s="1574" t="s">
        <v>8</v>
      </c>
      <c r="S36" s="1575">
        <f t="shared" si="12"/>
        <v>100</v>
      </c>
      <c r="T36" s="1574" t="s">
        <v>8</v>
      </c>
      <c r="U36" s="1575">
        <f t="shared" si="13"/>
        <v>100</v>
      </c>
      <c r="V36" s="1574" t="s">
        <v>8</v>
      </c>
      <c r="W36" s="1575">
        <f t="shared" si="14"/>
        <v>100</v>
      </c>
      <c r="X36" s="1568"/>
      <c r="Y36" s="3466"/>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61" t="str">
        <f>A37</f>
        <v>成交单价</v>
      </c>
      <c r="Q37" s="3461"/>
      <c r="R37" s="3524">
        <f>E37</f>
        <v>0</v>
      </c>
      <c r="S37" s="3524"/>
      <c r="T37" s="3524">
        <f>G37</f>
        <v>0</v>
      </c>
      <c r="U37" s="3524"/>
      <c r="V37" s="3524">
        <f>I37</f>
        <v>0</v>
      </c>
      <c r="W37" s="3524"/>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61" t="str">
        <f>A38</f>
        <v>比较价格（元/平方米）</v>
      </c>
      <c r="Q38" s="3461"/>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82" t="str">
        <f>A39</f>
        <v>估价对象XX用房的比较价格（楼面单价，元/平方米）</v>
      </c>
      <c r="Q39" s="3483"/>
      <c r="R39" s="3526" t="e">
        <f>IF(F1="售价",ROUND(AVERAGE(R38:V38),0),ROUND(AVERAGE(R38:V38),1))</f>
        <v>#DIV/0!</v>
      </c>
      <c r="S39" s="3526"/>
      <c r="T39" s="3526"/>
      <c r="U39" s="3526"/>
      <c r="V39" s="3526"/>
      <c r="W39" s="352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67" t="s">
        <v>795</v>
      </c>
      <c r="D4" s="3468"/>
      <c r="E4" s="3491" t="s">
        <v>796</v>
      </c>
      <c r="F4" s="3492"/>
      <c r="G4" s="3467" t="s">
        <v>797</v>
      </c>
      <c r="H4" s="3468"/>
      <c r="I4" s="3467" t="s">
        <v>798</v>
      </c>
      <c r="J4" s="3468"/>
      <c r="K4" s="514" t="s">
        <v>799</v>
      </c>
      <c r="L4" s="2135"/>
      <c r="M4" s="2136"/>
      <c r="N4" s="2136"/>
      <c r="O4" s="2136"/>
      <c r="P4" s="3469" t="s">
        <v>800</v>
      </c>
      <c r="Q4" s="3470"/>
      <c r="R4" s="3455" t="s">
        <v>796</v>
      </c>
      <c r="S4" s="3456"/>
      <c r="T4" s="3455" t="s">
        <v>797</v>
      </c>
      <c r="U4" s="3456"/>
      <c r="V4" s="3475" t="s">
        <v>798</v>
      </c>
      <c r="W4" s="3475"/>
      <c r="X4" s="1568"/>
      <c r="Y4" s="3455" t="s">
        <v>800</v>
      </c>
      <c r="Z4" s="3456"/>
      <c r="AA4" s="3450" t="s">
        <v>796</v>
      </c>
      <c r="AB4" s="3451" t="s">
        <v>797</v>
      </c>
      <c r="AC4" s="3450" t="s">
        <v>798</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53" t="s">
        <v>527</v>
      </c>
      <c r="Q7" s="3462"/>
      <c r="R7" s="1569" t="s">
        <v>8</v>
      </c>
      <c r="S7" s="1570">
        <f t="shared" ref="S7:S14" si="0">F7</f>
        <v>0</v>
      </c>
      <c r="T7" s="1569" t="s">
        <v>8</v>
      </c>
      <c r="U7" s="1570">
        <f t="shared" ref="U7:U14" si="1">H7</f>
        <v>0</v>
      </c>
      <c r="V7" s="1569" t="s">
        <v>8</v>
      </c>
      <c r="W7" s="1570">
        <f t="shared" ref="W7:W14"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61" t="s">
        <v>532</v>
      </c>
      <c r="Q9" s="1151" t="str">
        <f t="shared" ref="Q9:Q14" si="6">B9</f>
        <v>用途</v>
      </c>
      <c r="R9" s="1569" t="s">
        <v>8</v>
      </c>
      <c r="S9" s="1570">
        <f t="shared" si="0"/>
        <v>100</v>
      </c>
      <c r="T9" s="1569" t="s">
        <v>8</v>
      </c>
      <c r="U9" s="1570">
        <f t="shared" si="1"/>
        <v>100</v>
      </c>
      <c r="V9" s="1569" t="s">
        <v>8</v>
      </c>
      <c r="W9" s="1570">
        <f t="shared" si="2"/>
        <v>100</v>
      </c>
      <c r="X9" s="1571"/>
      <c r="Y9" s="3409"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61"/>
      <c r="Q11" s="1151">
        <f t="shared" si="6"/>
        <v>111</v>
      </c>
      <c r="R11" s="1569" t="s">
        <v>8</v>
      </c>
      <c r="S11" s="1570">
        <f t="shared" si="0"/>
        <v>100</v>
      </c>
      <c r="T11" s="1569" t="s">
        <v>8</v>
      </c>
      <c r="U11" s="1570">
        <f t="shared" si="1"/>
        <v>100</v>
      </c>
      <c r="V11" s="1569" t="s">
        <v>8</v>
      </c>
      <c r="W11" s="1570">
        <f t="shared" si="2"/>
        <v>100</v>
      </c>
      <c r="X11" s="1571"/>
      <c r="Y11" s="340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63" t="s">
        <v>537</v>
      </c>
      <c r="Q14" s="1573" t="str">
        <f t="shared" si="6"/>
        <v>交通便捷度</v>
      </c>
      <c r="R14" s="1574" t="s">
        <v>8</v>
      </c>
      <c r="S14" s="1575">
        <f t="shared" si="0"/>
        <v>100</v>
      </c>
      <c r="T14" s="1574" t="s">
        <v>8</v>
      </c>
      <c r="U14" s="1575">
        <f t="shared" si="1"/>
        <v>100</v>
      </c>
      <c r="V14" s="1574" t="s">
        <v>8</v>
      </c>
      <c r="W14" s="1575">
        <f t="shared" si="2"/>
        <v>100</v>
      </c>
      <c r="X14" s="1568"/>
      <c r="Y14" s="3463"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64"/>
      <c r="Q15" s="1573"/>
      <c r="R15" s="1574"/>
      <c r="S15" s="1575"/>
      <c r="T15" s="1574"/>
      <c r="U15" s="1575"/>
      <c r="V15" s="1574"/>
      <c r="W15" s="1575"/>
      <c r="X15" s="1568"/>
      <c r="Y15" s="3464"/>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64"/>
      <c r="Q16" s="1573" t="str">
        <f>B16</f>
        <v>公共配套设施</v>
      </c>
      <c r="R16" s="1574" t="s">
        <v>8</v>
      </c>
      <c r="S16" s="1575">
        <f>F16</f>
        <v>100</v>
      </c>
      <c r="T16" s="1574" t="s">
        <v>8</v>
      </c>
      <c r="U16" s="1575">
        <f>H16</f>
        <v>100</v>
      </c>
      <c r="V16" s="1574" t="s">
        <v>8</v>
      </c>
      <c r="W16" s="1575">
        <f>J16</f>
        <v>100</v>
      </c>
      <c r="X16" s="1568"/>
      <c r="Y16" s="346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64"/>
      <c r="Q17" s="1573"/>
      <c r="R17" s="1574"/>
      <c r="S17" s="1575"/>
      <c r="T17" s="1574"/>
      <c r="U17" s="1575"/>
      <c r="V17" s="1574"/>
      <c r="W17" s="1575"/>
      <c r="X17" s="1568"/>
      <c r="Y17" s="3464"/>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64"/>
      <c r="Q18" s="2581" t="str">
        <f>B18</f>
        <v>基础设施水平</v>
      </c>
      <c r="R18" s="1574" t="s">
        <v>8</v>
      </c>
      <c r="S18" s="1575">
        <f>F18</f>
        <v>100</v>
      </c>
      <c r="T18" s="1574" t="s">
        <v>8</v>
      </c>
      <c r="U18" s="1575">
        <f>H18</f>
        <v>100</v>
      </c>
      <c r="V18" s="1574" t="s">
        <v>8</v>
      </c>
      <c r="W18" s="1575">
        <f>J18</f>
        <v>100</v>
      </c>
      <c r="X18" s="2583"/>
      <c r="Y18" s="3464"/>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64"/>
      <c r="Q19" s="2581"/>
      <c r="R19" s="1574"/>
      <c r="S19" s="1575"/>
      <c r="T19" s="1574"/>
      <c r="U19" s="1575"/>
      <c r="V19" s="1574"/>
      <c r="W19" s="1575"/>
      <c r="X19" s="2583"/>
      <c r="Y19" s="3464"/>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64"/>
      <c r="Q20" s="1573" t="str">
        <f>B20</f>
        <v>自然及人文环境</v>
      </c>
      <c r="R20" s="1574" t="s">
        <v>8</v>
      </c>
      <c r="S20" s="1575">
        <f>F20</f>
        <v>100</v>
      </c>
      <c r="T20" s="1574" t="s">
        <v>8</v>
      </c>
      <c r="U20" s="1575">
        <f>H20</f>
        <v>100</v>
      </c>
      <c r="V20" s="1574" t="s">
        <v>8</v>
      </c>
      <c r="W20" s="1575">
        <f>J20</f>
        <v>100</v>
      </c>
      <c r="X20" s="1568"/>
      <c r="Y20" s="346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64"/>
      <c r="Q21" s="1573"/>
      <c r="R21" s="1574"/>
      <c r="S21" s="1575"/>
      <c r="T21" s="1574"/>
      <c r="U21" s="1575"/>
      <c r="V21" s="1574"/>
      <c r="W21" s="1575"/>
      <c r="X21" s="1568"/>
      <c r="Y21" s="3464"/>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64"/>
      <c r="Q22" s="1573" t="str">
        <f>B22</f>
        <v>楼层</v>
      </c>
      <c r="R22" s="1574" t="s">
        <v>8</v>
      </c>
      <c r="S22" s="1575">
        <f>F22</f>
        <v>100</v>
      </c>
      <c r="T22" s="1574" t="s">
        <v>8</v>
      </c>
      <c r="U22" s="1575">
        <f>H22</f>
        <v>100</v>
      </c>
      <c r="V22" s="1574" t="s">
        <v>8</v>
      </c>
      <c r="W22" s="1575">
        <f>J22</f>
        <v>100</v>
      </c>
      <c r="X22" s="1568"/>
      <c r="Y22" s="346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64"/>
      <c r="Q23" s="1573">
        <f>B23</f>
        <v>111</v>
      </c>
      <c r="R23" s="1574" t="s">
        <v>8</v>
      </c>
      <c r="S23" s="1575">
        <f>F23</f>
        <v>100</v>
      </c>
      <c r="T23" s="1574" t="s">
        <v>8</v>
      </c>
      <c r="U23" s="1575">
        <f>H23</f>
        <v>100</v>
      </c>
      <c r="V23" s="1574" t="s">
        <v>8</v>
      </c>
      <c r="W23" s="1575">
        <f>J23</f>
        <v>100</v>
      </c>
      <c r="X23" s="1568"/>
      <c r="Y23" s="346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64"/>
      <c r="Q24" s="1573">
        <f t="shared" ref="Q24:Q34" si="11">B24</f>
        <v>111</v>
      </c>
      <c r="R24" s="1574" t="s">
        <v>8</v>
      </c>
      <c r="S24" s="1575">
        <f>F24</f>
        <v>100</v>
      </c>
      <c r="T24" s="1574" t="s">
        <v>8</v>
      </c>
      <c r="U24" s="1575">
        <f>H24</f>
        <v>100</v>
      </c>
      <c r="V24" s="1574" t="s">
        <v>8</v>
      </c>
      <c r="W24" s="1575">
        <f>J24</f>
        <v>100</v>
      </c>
      <c r="X24" s="1568"/>
      <c r="Y24" s="346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64"/>
      <c r="Q25" s="1151">
        <f t="shared" si="11"/>
        <v>111</v>
      </c>
      <c r="R25" s="1569" t="s">
        <v>8</v>
      </c>
      <c r="S25" s="1570">
        <f>F25</f>
        <v>100</v>
      </c>
      <c r="T25" s="1569" t="s">
        <v>8</v>
      </c>
      <c r="U25" s="1570">
        <f>H25</f>
        <v>100</v>
      </c>
      <c r="V25" s="1569" t="s">
        <v>8</v>
      </c>
      <c r="W25" s="1570">
        <f>J25</f>
        <v>100</v>
      </c>
      <c r="X25" s="1571"/>
      <c r="Y25" s="3464"/>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65"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66"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66"/>
      <c r="Q27" s="1606" t="str">
        <f t="shared" si="11"/>
        <v>成新率</v>
      </c>
      <c r="R27" s="1578" t="s">
        <v>8</v>
      </c>
      <c r="S27" s="1579" t="e">
        <f t="shared" si="12"/>
        <v>#N/A</v>
      </c>
      <c r="T27" s="1578" t="s">
        <v>8</v>
      </c>
      <c r="U27" s="1579" t="e">
        <f t="shared" si="13"/>
        <v>#N/A</v>
      </c>
      <c r="V27" s="1578" t="s">
        <v>8</v>
      </c>
      <c r="W27" s="1579" t="e">
        <f t="shared" si="14"/>
        <v>#N/A</v>
      </c>
      <c r="X27" s="1580"/>
      <c r="Y27" s="3466"/>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66"/>
      <c r="Q28" s="1573" t="str">
        <f t="shared" si="11"/>
        <v>物业等级</v>
      </c>
      <c r="R28" s="1574" t="s">
        <v>8</v>
      </c>
      <c r="S28" s="1575">
        <f t="shared" si="12"/>
        <v>100</v>
      </c>
      <c r="T28" s="1574" t="s">
        <v>8</v>
      </c>
      <c r="U28" s="1575">
        <f t="shared" si="13"/>
        <v>100</v>
      </c>
      <c r="V28" s="1574" t="s">
        <v>8</v>
      </c>
      <c r="W28" s="1575">
        <f t="shared" si="14"/>
        <v>100</v>
      </c>
      <c r="X28" s="1568"/>
      <c r="Y28" s="3466"/>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66"/>
      <c r="Q29" s="1573" t="str">
        <f t="shared" si="11"/>
        <v>有无电梯</v>
      </c>
      <c r="R29" s="1574" t="s">
        <v>8</v>
      </c>
      <c r="S29" s="1575">
        <f t="shared" si="12"/>
        <v>100</v>
      </c>
      <c r="T29" s="1574" t="s">
        <v>8</v>
      </c>
      <c r="U29" s="1575">
        <f t="shared" si="13"/>
        <v>100</v>
      </c>
      <c r="V29" s="1574" t="s">
        <v>8</v>
      </c>
      <c r="W29" s="1575">
        <f t="shared" si="14"/>
        <v>100</v>
      </c>
      <c r="X29" s="1568"/>
      <c r="Y29" s="3466"/>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66"/>
      <c r="Q30" s="1573" t="str">
        <f t="shared" si="11"/>
        <v>建筑面积</v>
      </c>
      <c r="R30" s="1574" t="s">
        <v>8</v>
      </c>
      <c r="S30" s="1575" t="e">
        <f t="shared" si="12"/>
        <v>#N/A</v>
      </c>
      <c r="T30" s="1574" t="s">
        <v>8</v>
      </c>
      <c r="U30" s="1575" t="e">
        <f t="shared" si="13"/>
        <v>#N/A</v>
      </c>
      <c r="V30" s="1574" t="s">
        <v>8</v>
      </c>
      <c r="W30" s="1575" t="e">
        <f t="shared" si="14"/>
        <v>#N/A</v>
      </c>
      <c r="X30" s="1568"/>
      <c r="Y30" s="3466"/>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66"/>
      <c r="Q31" s="1151" t="str">
        <f t="shared" si="11"/>
        <v>是否封闭</v>
      </c>
      <c r="R31" s="1569" t="s">
        <v>8</v>
      </c>
      <c r="S31" s="1570">
        <f t="shared" si="12"/>
        <v>100</v>
      </c>
      <c r="T31" s="1569" t="s">
        <v>8</v>
      </c>
      <c r="U31" s="1570">
        <f t="shared" si="13"/>
        <v>100</v>
      </c>
      <c r="V31" s="1569" t="s">
        <v>8</v>
      </c>
      <c r="W31" s="1570">
        <f t="shared" si="14"/>
        <v>100</v>
      </c>
      <c r="X31" s="1571"/>
      <c r="Y31" s="346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66" t="s">
        <v>547</v>
      </c>
      <c r="Q32" s="1573">
        <f t="shared" si="11"/>
        <v>111</v>
      </c>
      <c r="R32" s="1574" t="s">
        <v>8</v>
      </c>
      <c r="S32" s="1575">
        <f t="shared" si="12"/>
        <v>100</v>
      </c>
      <c r="T32" s="1574" t="s">
        <v>8</v>
      </c>
      <c r="U32" s="1575">
        <f t="shared" si="13"/>
        <v>100</v>
      </c>
      <c r="V32" s="1574" t="s">
        <v>8</v>
      </c>
      <c r="W32" s="1575">
        <f t="shared" si="14"/>
        <v>100</v>
      </c>
      <c r="X32" s="1568"/>
      <c r="Y32" s="3466"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66"/>
      <c r="Q33" s="1573">
        <f t="shared" si="11"/>
        <v>111</v>
      </c>
      <c r="R33" s="1574" t="s">
        <v>8</v>
      </c>
      <c r="S33" s="1575">
        <f t="shared" si="12"/>
        <v>100</v>
      </c>
      <c r="T33" s="1574" t="s">
        <v>8</v>
      </c>
      <c r="U33" s="1575">
        <f t="shared" si="13"/>
        <v>100</v>
      </c>
      <c r="V33" s="1574" t="s">
        <v>8</v>
      </c>
      <c r="W33" s="1575">
        <f t="shared" si="14"/>
        <v>100</v>
      </c>
      <c r="X33" s="1568"/>
      <c r="Y33" s="346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66"/>
      <c r="Q34" s="1573">
        <f t="shared" si="11"/>
        <v>111</v>
      </c>
      <c r="R34" s="1574" t="s">
        <v>8</v>
      </c>
      <c r="S34" s="1575">
        <f t="shared" si="12"/>
        <v>100</v>
      </c>
      <c r="T34" s="1574" t="s">
        <v>8</v>
      </c>
      <c r="U34" s="1575">
        <f t="shared" si="13"/>
        <v>100</v>
      </c>
      <c r="V34" s="1574" t="s">
        <v>8</v>
      </c>
      <c r="W34" s="1575">
        <f t="shared" si="14"/>
        <v>100</v>
      </c>
      <c r="X34" s="1568"/>
      <c r="Y34" s="3466"/>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61" t="str">
        <f>A35</f>
        <v>成交单价（元/平方米）</v>
      </c>
      <c r="Q35" s="3461"/>
      <c r="R35" s="3524">
        <f>E35</f>
        <v>0</v>
      </c>
      <c r="S35" s="3524"/>
      <c r="T35" s="3524">
        <f>G35</f>
        <v>0</v>
      </c>
      <c r="U35" s="3524"/>
      <c r="V35" s="3524">
        <f>I35</f>
        <v>0</v>
      </c>
      <c r="W35" s="3524"/>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61" t="str">
        <f>A36</f>
        <v>比较价格（元/平方米）</v>
      </c>
      <c r="Q36" s="3461"/>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82" t="str">
        <f>A37</f>
        <v>估价对象XX用房的比较价格（楼面单价，元/平方米）</v>
      </c>
      <c r="Q37" s="3483"/>
      <c r="R37" s="3526" t="e">
        <f>IF(F1="售价",ROUND(AVERAGE(R36:V36),0),ROUND(AVERAGE(R36:V36),1))</f>
        <v>#DIV/0!</v>
      </c>
      <c r="S37" s="3526"/>
      <c r="T37" s="3526"/>
      <c r="U37" s="3526"/>
      <c r="V37" s="3526"/>
      <c r="W37" s="352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570" t="s">
        <v>2300</v>
      </c>
      <c r="D1" s="3571"/>
      <c r="E1" s="3571"/>
      <c r="F1" s="3571"/>
      <c r="G1" s="3571"/>
      <c r="H1" s="3571"/>
      <c r="I1" s="3571"/>
      <c r="J1" s="3571"/>
      <c r="K1" s="3571"/>
      <c r="L1" s="3571"/>
      <c r="M1" s="3571"/>
      <c r="N1" s="3571"/>
      <c r="O1" s="3571"/>
      <c r="P1" s="3571"/>
      <c r="Q1" s="3571"/>
      <c r="R1" s="3571"/>
      <c r="S1" s="3572"/>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567" t="s">
        <v>20</v>
      </c>
      <c r="D22" s="3568"/>
      <c r="E22" s="3568"/>
      <c r="F22" s="3568"/>
      <c r="G22" s="3568"/>
      <c r="H22" s="3568"/>
      <c r="I22" s="3568"/>
      <c r="J22" s="3568"/>
      <c r="K22" s="3568"/>
      <c r="L22" s="3568"/>
      <c r="M22" s="3568"/>
      <c r="N22" s="3568"/>
      <c r="O22" s="3568"/>
      <c r="P22" s="3568"/>
      <c r="Q22" s="3569"/>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3</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E13" activeCellId="1" sqref="E7:E9 E13"/>
    </sheetView>
  </sheetViews>
  <sheetFormatPr defaultRowHeight="13.5"/>
  <cols>
    <col min="1" max="3" width="9" style="3207"/>
    <col min="4" max="4" width="14.625" style="3207" customWidth="1"/>
    <col min="5" max="16384" width="9" style="3207"/>
  </cols>
  <sheetData>
    <row r="1" spans="1:5">
      <c r="B1" s="3208" t="s">
        <v>3050</v>
      </c>
      <c r="C1" s="3208" t="s">
        <v>3051</v>
      </c>
    </row>
    <row r="2" spans="1:5">
      <c r="A2" s="3208" t="s">
        <v>3052</v>
      </c>
      <c r="B2" s="3207">
        <f>E14+E11*0.3</f>
        <v>50371.5</v>
      </c>
      <c r="C2" s="3207">
        <v>15300</v>
      </c>
      <c r="D2" s="3207">
        <f>B2*C2</f>
        <v>770683950</v>
      </c>
    </row>
    <row r="3" spans="1:5">
      <c r="A3" s="3208" t="s">
        <v>3053</v>
      </c>
      <c r="B3" s="3207">
        <f>E7+E8+E9+E13</f>
        <v>292155</v>
      </c>
      <c r="C3" s="3207">
        <v>8900</v>
      </c>
      <c r="D3" s="3207">
        <f>B3*C3</f>
        <v>2600179500</v>
      </c>
    </row>
    <row r="4" spans="1:5">
      <c r="B4" s="3209">
        <f>B2+B3</f>
        <v>342526.5</v>
      </c>
      <c r="C4" s="3207">
        <f>D4/B4</f>
        <v>9841.1756462638659</v>
      </c>
      <c r="D4" s="3209">
        <f>D2+D3</f>
        <v>3370863450</v>
      </c>
    </row>
    <row r="6" spans="1:5">
      <c r="A6" s="3210" t="s">
        <v>3054</v>
      </c>
      <c r="B6" s="3210" t="s">
        <v>3055</v>
      </c>
      <c r="C6" s="3210" t="s">
        <v>3056</v>
      </c>
      <c r="D6" s="3210" t="s">
        <v>3057</v>
      </c>
      <c r="E6" s="3210" t="s">
        <v>3058</v>
      </c>
    </row>
    <row r="7" spans="1:5">
      <c r="A7" s="3211">
        <v>6076</v>
      </c>
      <c r="B7" s="3210" t="s">
        <v>3059</v>
      </c>
      <c r="C7" s="3211">
        <v>42064</v>
      </c>
      <c r="D7" s="3211">
        <v>2.2999999999999998</v>
      </c>
      <c r="E7" s="3211">
        <v>96747</v>
      </c>
    </row>
    <row r="8" spans="1:5">
      <c r="A8" s="3211">
        <v>6077</v>
      </c>
      <c r="B8" s="3210" t="s">
        <v>3059</v>
      </c>
      <c r="C8" s="3211">
        <v>36139.5</v>
      </c>
      <c r="D8" s="3211">
        <v>2.2999999999999998</v>
      </c>
      <c r="E8" s="3211">
        <v>83121</v>
      </c>
    </row>
    <row r="9" spans="1:5">
      <c r="A9" s="3211">
        <v>6078</v>
      </c>
      <c r="B9" s="3210" t="s">
        <v>3059</v>
      </c>
      <c r="C9" s="3211">
        <v>26471.29</v>
      </c>
      <c r="D9" s="3211">
        <v>2.2999999999999998</v>
      </c>
      <c r="E9" s="3211">
        <v>60884</v>
      </c>
    </row>
    <row r="10" spans="1:5">
      <c r="A10" s="3211">
        <v>6080</v>
      </c>
      <c r="B10" s="3210" t="s">
        <v>3060</v>
      </c>
      <c r="C10" s="3211"/>
      <c r="D10" s="3211"/>
      <c r="E10" s="3211"/>
    </row>
    <row r="11" spans="1:5">
      <c r="A11" s="3212">
        <v>6081</v>
      </c>
      <c r="B11" s="3213" t="s">
        <v>3061</v>
      </c>
      <c r="C11" s="3211">
        <v>9183.9</v>
      </c>
      <c r="D11" s="3211">
        <v>2.8</v>
      </c>
      <c r="E11" s="3211">
        <v>25715</v>
      </c>
    </row>
    <row r="12" spans="1:5">
      <c r="A12" s="3211">
        <v>6083</v>
      </c>
      <c r="B12" s="3210" t="s">
        <v>3062</v>
      </c>
      <c r="C12" s="3211"/>
      <c r="D12" s="3211"/>
      <c r="E12" s="3211"/>
    </row>
    <row r="13" spans="1:5">
      <c r="A13" s="3211">
        <v>6084</v>
      </c>
      <c r="B13" s="3210" t="s">
        <v>3059</v>
      </c>
      <c r="C13" s="3211">
        <v>23364.85</v>
      </c>
      <c r="D13" s="3211">
        <v>2.2000000000000002</v>
      </c>
      <c r="E13" s="3211">
        <v>51403</v>
      </c>
    </row>
    <row r="14" spans="1:5">
      <c r="A14" s="3212">
        <v>6085</v>
      </c>
      <c r="B14" s="3213" t="s">
        <v>3063</v>
      </c>
      <c r="C14" s="3211">
        <v>19389.439999999999</v>
      </c>
      <c r="D14" s="3211">
        <v>2.2000000000000002</v>
      </c>
      <c r="E14" s="3211">
        <v>42657</v>
      </c>
    </row>
    <row r="15" spans="1:5">
      <c r="A15" s="3212">
        <v>6086</v>
      </c>
      <c r="B15" s="3213" t="s">
        <v>3064</v>
      </c>
      <c r="C15" s="3211">
        <v>14364.09</v>
      </c>
      <c r="D15" s="3211">
        <v>3</v>
      </c>
      <c r="E15" s="3211">
        <v>43092</v>
      </c>
    </row>
    <row r="16" spans="1:5">
      <c r="A16" s="3211"/>
      <c r="B16" s="3211"/>
      <c r="C16" s="3210">
        <f>C7+C8+C9+C11+C13+C14+C15</f>
        <v>170977.07</v>
      </c>
      <c r="D16" s="3211">
        <f>E16/C16</f>
        <v>2.3606615787719369</v>
      </c>
      <c r="E16" s="3210">
        <f>E7+E8+E9+E11+E13+E14+E15</f>
        <v>403619</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573" t="s">
        <v>3008</v>
      </c>
      <c r="B1" s="3573"/>
      <c r="C1" s="3573"/>
      <c r="D1" s="3573"/>
    </row>
    <row r="2" spans="1:5" ht="33.75" customHeight="1">
      <c r="A2" s="3193"/>
      <c r="B2" s="3193" t="s">
        <v>3009</v>
      </c>
      <c r="C2" s="3193" t="s">
        <v>3010</v>
      </c>
      <c r="D2" s="3193" t="s">
        <v>3011</v>
      </c>
      <c r="E2" s="3194" t="s">
        <v>3012</v>
      </c>
    </row>
    <row r="3" spans="1:5" ht="26.25" customHeight="1">
      <c r="A3" s="3193" t="s">
        <v>3013</v>
      </c>
      <c r="B3" s="3193">
        <v>3000</v>
      </c>
      <c r="C3" s="3193">
        <v>70000</v>
      </c>
      <c r="D3" s="3193">
        <f>ROUND(B3*C3/10000,2)</f>
        <v>21000</v>
      </c>
    </row>
    <row r="4" spans="1:5" ht="26.25" customHeight="1">
      <c r="A4" s="3193" t="s">
        <v>3014</v>
      </c>
      <c r="B4" s="3193">
        <v>3500</v>
      </c>
      <c r="C4" s="3193">
        <v>30000</v>
      </c>
      <c r="D4" s="3193">
        <f t="shared" ref="D4:D5" si="0">ROUND(B4*C4/10000,2)</f>
        <v>10500</v>
      </c>
    </row>
    <row r="5" spans="1:5" ht="26.25" customHeight="1">
      <c r="A5" s="3193" t="s">
        <v>3015</v>
      </c>
      <c r="B5" s="3193">
        <v>3400</v>
      </c>
      <c r="C5" s="3193" t="s">
        <v>3016</v>
      </c>
      <c r="D5" s="3193" t="e">
        <f t="shared" si="0"/>
        <v>#VALUE!</v>
      </c>
    </row>
    <row r="6" spans="1:5" s="3196" customFormat="1" ht="26.25" customHeight="1">
      <c r="A6" s="3195" t="s">
        <v>3017</v>
      </c>
      <c r="B6" s="3195" t="s">
        <v>3018</v>
      </c>
      <c r="C6" s="3195" t="s">
        <v>3018</v>
      </c>
      <c r="D6" s="3195" t="s">
        <v>3018</v>
      </c>
    </row>
    <row r="7" spans="1:5" ht="26.25" customHeight="1">
      <c r="A7" s="3193" t="s">
        <v>3019</v>
      </c>
      <c r="B7" s="3193"/>
      <c r="C7" s="3193"/>
      <c r="D7" s="3193" t="e">
        <f>SUM(D3:D5)</f>
        <v>#VALUE!</v>
      </c>
    </row>
    <row r="8" spans="1:5" ht="26.25" customHeight="1">
      <c r="A8" s="3197"/>
      <c r="B8" s="3197"/>
      <c r="C8" s="3197"/>
      <c r="D8" s="3198"/>
    </row>
    <row r="9" spans="1:5" ht="33.75" customHeight="1">
      <c r="A9" s="3193"/>
      <c r="B9" s="3193" t="s">
        <v>3009</v>
      </c>
      <c r="C9" s="3193" t="s">
        <v>3010</v>
      </c>
      <c r="D9" s="3193" t="s">
        <v>3011</v>
      </c>
    </row>
    <row r="10" spans="1:5" ht="26.25" customHeight="1">
      <c r="A10" s="3193" t="s">
        <v>3020</v>
      </c>
      <c r="B10" s="3193">
        <f>ROUND(B3/4,0)</f>
        <v>750</v>
      </c>
      <c r="C10" s="3193">
        <f>C3</f>
        <v>70000</v>
      </c>
      <c r="D10" s="3193">
        <f t="shared" ref="D10:D12" si="1">ROUND(B10*C10/10000,2)</f>
        <v>5250</v>
      </c>
    </row>
    <row r="11" spans="1:5" ht="26.25" customHeight="1">
      <c r="A11" s="3193" t="s">
        <v>3021</v>
      </c>
      <c r="B11" s="3193">
        <f t="shared" ref="B11:B12" si="2">ROUND(B4/4,0)</f>
        <v>875</v>
      </c>
      <c r="C11" s="3193">
        <f>C4</f>
        <v>30000</v>
      </c>
      <c r="D11" s="3193">
        <f t="shared" si="1"/>
        <v>2625</v>
      </c>
    </row>
    <row r="12" spans="1:5" ht="26.25" customHeight="1">
      <c r="A12" s="3193" t="s">
        <v>3022</v>
      </c>
      <c r="B12" s="3193">
        <f t="shared" si="2"/>
        <v>850</v>
      </c>
      <c r="C12" s="3193" t="str">
        <f>C5</f>
        <v>-</v>
      </c>
      <c r="D12" s="3193" t="e">
        <f t="shared" si="1"/>
        <v>#VALUE!</v>
      </c>
    </row>
    <row r="13" spans="1:5" s="3196" customFormat="1" ht="26.25" customHeight="1">
      <c r="A13" s="3195" t="s">
        <v>3023</v>
      </c>
      <c r="B13" s="3195" t="s">
        <v>3018</v>
      </c>
      <c r="C13" s="3195" t="s">
        <v>3018</v>
      </c>
      <c r="D13" s="3195" t="s">
        <v>3018</v>
      </c>
    </row>
    <row r="14" spans="1:5" ht="26.25" customHeight="1">
      <c r="A14" s="3193" t="s">
        <v>3024</v>
      </c>
      <c r="B14" s="3193"/>
      <c r="C14" s="3193"/>
      <c r="D14" s="3193" t="e">
        <f>SUM(D10:D12)</f>
        <v>#VALUE!</v>
      </c>
    </row>
    <row r="15" spans="1:5" ht="38.25" customHeight="1">
      <c r="A15" s="3574" t="s">
        <v>3025</v>
      </c>
      <c r="B15" s="3575"/>
      <c r="C15" s="3575"/>
      <c r="D15" s="3575"/>
    </row>
    <row r="16" spans="1:5" ht="38.25" customHeight="1">
      <c r="A16" s="3576" t="s">
        <v>3026</v>
      </c>
      <c r="B16" s="3577"/>
      <c r="C16" s="3577"/>
      <c r="D16" s="3577"/>
    </row>
    <row r="17" spans="1:4" ht="14.25">
      <c r="A17" s="3199"/>
      <c r="B17" s="3200"/>
      <c r="C17" s="3200"/>
      <c r="D17" s="3200"/>
    </row>
    <row r="18" spans="1:4">
      <c r="A18" s="3578" t="s">
        <v>3027</v>
      </c>
      <c r="B18" s="3578"/>
      <c r="C18" s="3578"/>
      <c r="D18" s="3578"/>
    </row>
    <row r="19" spans="1:4" ht="13.5">
      <c r="A19" s="3579" t="s">
        <v>3028</v>
      </c>
      <c r="B19" s="3579"/>
      <c r="C19" s="3579"/>
      <c r="D19" s="3579"/>
    </row>
    <row r="20" spans="1:4" ht="13.5">
      <c r="A20" s="3579"/>
      <c r="B20" s="3579"/>
      <c r="C20" s="3579"/>
      <c r="D20" s="3579"/>
    </row>
    <row r="21" spans="1:4" ht="13.5">
      <c r="A21" s="3579"/>
      <c r="B21" s="3579"/>
      <c r="C21" s="3579"/>
      <c r="D21" s="3579"/>
    </row>
    <row r="22" spans="1:4" ht="13.5">
      <c r="A22" s="3579"/>
      <c r="B22" s="3579"/>
      <c r="C22" s="3579"/>
      <c r="D22" s="3579"/>
    </row>
    <row r="23" spans="1:4" ht="13.5">
      <c r="A23" s="3579"/>
      <c r="B23" s="3579"/>
      <c r="C23" s="3579"/>
      <c r="D23" s="3579"/>
    </row>
    <row r="24" spans="1:4" ht="13.5">
      <c r="A24" s="3579"/>
      <c r="B24" s="3579"/>
      <c r="C24" s="3579"/>
      <c r="D24" s="3579"/>
    </row>
    <row r="25" spans="1:4" ht="13.5">
      <c r="A25" s="3579"/>
      <c r="B25" s="3579"/>
      <c r="C25" s="3579"/>
      <c r="D25" s="3579"/>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6" t="s">
        <v>2034</v>
      </c>
      <c r="B1" s="3276"/>
      <c r="C1" s="3276"/>
      <c r="D1" s="3276"/>
      <c r="E1" s="3276"/>
      <c r="F1" s="3276"/>
      <c r="G1" s="3276"/>
      <c r="H1" s="3276"/>
      <c r="I1" s="3276"/>
      <c r="J1" s="3276"/>
      <c r="K1" s="3276"/>
      <c r="L1" s="3276"/>
      <c r="M1" s="3276"/>
      <c r="N1" s="3276"/>
      <c r="O1" s="3276"/>
      <c r="P1" s="3276"/>
      <c r="Q1" s="3276"/>
      <c r="R1" s="3276"/>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77" t="s">
        <v>2025</v>
      </c>
      <c r="B3" s="3277" t="s">
        <v>2727</v>
      </c>
      <c r="C3" s="3278" t="s">
        <v>2026</v>
      </c>
      <c r="D3" s="3277" t="s">
        <v>2731</v>
      </c>
      <c r="E3" s="3272" t="s">
        <v>2027</v>
      </c>
      <c r="F3" s="3272"/>
      <c r="G3" s="3272"/>
      <c r="H3" s="3272" t="s">
        <v>2028</v>
      </c>
      <c r="I3" s="3272"/>
      <c r="J3" s="3272"/>
      <c r="K3" s="3278" t="s">
        <v>2029</v>
      </c>
      <c r="L3" s="3278" t="s">
        <v>2030</v>
      </c>
      <c r="M3" s="3277" t="s">
        <v>2728</v>
      </c>
      <c r="N3" s="3279" t="str">
        <f>"（分摊）"&amp;项目基本情况!B16&amp;"国有建设用地使用权面积/㎡"</f>
        <v>（分摊）出让国有建设用地使用权面积/㎡</v>
      </c>
      <c r="O3" s="3277" t="s">
        <v>2059</v>
      </c>
      <c r="P3" s="3278" t="s">
        <v>2039</v>
      </c>
      <c r="Q3" s="3278" t="s">
        <v>2060</v>
      </c>
      <c r="R3" s="3278" t="s">
        <v>2031</v>
      </c>
    </row>
    <row r="4" spans="1:18" ht="36.75" customHeight="1">
      <c r="A4" s="3277"/>
      <c r="B4" s="3277"/>
      <c r="C4" s="3278"/>
      <c r="D4" s="3277"/>
      <c r="E4" s="2651" t="s">
        <v>2038</v>
      </c>
      <c r="F4" s="2651" t="s">
        <v>2740</v>
      </c>
      <c r="G4" s="2651" t="s">
        <v>2032</v>
      </c>
      <c r="H4" s="2651" t="s">
        <v>2033</v>
      </c>
      <c r="I4" s="2651" t="s">
        <v>2741</v>
      </c>
      <c r="J4" s="2651" t="s">
        <v>2032</v>
      </c>
      <c r="K4" s="3278"/>
      <c r="L4" s="3278"/>
      <c r="M4" s="3277"/>
      <c r="N4" s="3279"/>
      <c r="O4" s="3277"/>
      <c r="P4" s="3278"/>
      <c r="Q4" s="3278"/>
      <c r="R4" s="3278"/>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128587.91</v>
      </c>
      <c r="O5" s="1812">
        <f>项目基本情况!C21</f>
        <v>292155</v>
      </c>
      <c r="P5" s="1812">
        <f ca="1">结果表!E42</f>
        <v>19799</v>
      </c>
      <c r="Q5" s="1812">
        <f ca="1">结果表!D42</f>
        <v>8714</v>
      </c>
      <c r="R5" s="1813">
        <f ca="1">结果表!C42</f>
        <v>254587</v>
      </c>
    </row>
    <row r="6" spans="1:18">
      <c r="A6" s="3273" t="str">
        <f>IF(项目基本情况!B9="市场价格","——","抵押价格")</f>
        <v>——</v>
      </c>
      <c r="B6" s="3274"/>
      <c r="C6" s="3274"/>
      <c r="D6" s="3274"/>
      <c r="E6" s="3274"/>
      <c r="F6" s="3274"/>
      <c r="G6" s="3274"/>
      <c r="H6" s="3274"/>
      <c r="I6" s="3274"/>
      <c r="J6" s="3274"/>
      <c r="K6" s="3274"/>
      <c r="L6" s="3274"/>
      <c r="M6" s="3274"/>
      <c r="N6" s="3274"/>
      <c r="O6" s="3274"/>
      <c r="P6" s="3274"/>
      <c r="Q6" s="3275"/>
      <c r="R6" s="1814" t="str">
        <f>结果表!O39</f>
        <v>——</v>
      </c>
    </row>
    <row r="7" spans="1:18">
      <c r="A7" s="3273" t="str">
        <f>IF(项目基本情况!B9="市场价格","——",IF(项目基本情况!E8="已注销及未注销","抵押担保权已注销时的抵押价格","——"))</f>
        <v>——</v>
      </c>
      <c r="B7" s="3274"/>
      <c r="C7" s="3274"/>
      <c r="D7" s="3274"/>
      <c r="E7" s="3274"/>
      <c r="F7" s="3274"/>
      <c r="G7" s="3274"/>
      <c r="H7" s="3274"/>
      <c r="I7" s="3274"/>
      <c r="J7" s="3274"/>
      <c r="K7" s="3274"/>
      <c r="L7" s="3274"/>
      <c r="M7" s="3274"/>
      <c r="N7" s="3274"/>
      <c r="O7" s="3274"/>
      <c r="P7" s="3274"/>
      <c r="Q7" s="3275"/>
      <c r="R7" s="1814" t="str">
        <f>结果表!O40</f>
        <v>——</v>
      </c>
    </row>
    <row r="8" spans="1:18">
      <c r="A8" s="3273" t="str">
        <f>IF(项目基本情况!B9="市场价格","——",项目基本情况!E9)</f>
        <v>——</v>
      </c>
      <c r="B8" s="3274"/>
      <c r="C8" s="3274"/>
      <c r="D8" s="3274"/>
      <c r="E8" s="3274"/>
      <c r="F8" s="3274"/>
      <c r="G8" s="3274"/>
      <c r="H8" s="3274"/>
      <c r="I8" s="3274"/>
      <c r="J8" s="3274"/>
      <c r="K8" s="3274"/>
      <c r="L8" s="3274"/>
      <c r="M8" s="3274"/>
      <c r="N8" s="3274"/>
      <c r="O8" s="3274"/>
      <c r="P8" s="3274"/>
      <c r="Q8" s="3275"/>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80" t="s">
        <v>2061</v>
      </c>
      <c r="B1" s="3280"/>
      <c r="C1" s="3280"/>
      <c r="D1" s="3280"/>
    </row>
    <row r="2" spans="1:4" ht="47.25" customHeight="1">
      <c r="A2" s="3284" t="str">
        <f>"1.权利限制："&amp;项目基本情况!L24&amp;"未设定租赁等其他他项权利。"</f>
        <v>1.权利限制：根据估价对象《不动产权证书》原件、《国有土地使用权》复印件，截至估价期日，估价对象抵押权未见登记。未设定租赁等其他他项权利。</v>
      </c>
      <c r="B2" s="3284"/>
      <c r="C2" s="3284"/>
      <c r="D2" s="3284"/>
    </row>
    <row r="3" spans="1:4" ht="48" customHeight="1">
      <c r="A3" s="32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83" t="s">
        <v>2062</v>
      </c>
      <c r="B5" s="3283"/>
      <c r="C5" s="3283"/>
      <c r="D5" s="3283"/>
    </row>
    <row r="6" spans="1:4">
      <c r="A6" s="3280" t="s">
        <v>2040</v>
      </c>
      <c r="B6" s="3280"/>
      <c r="C6" s="3280"/>
      <c r="D6" s="3280"/>
    </row>
    <row r="7" spans="1:4" ht="33" customHeight="1">
      <c r="A7" s="3280" t="s">
        <v>2571</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0"/>
      <c r="C8" s="3280"/>
      <c r="D8" s="3280"/>
    </row>
    <row r="9" spans="1:4" ht="33.75" customHeight="1">
      <c r="A9" s="3280" t="str">
        <f>IF(项目基本情况!B8="抵押","3.抵押双方在办理抵押登记手续时，应使用本公司出具的正式《土地估价报告》，特提请报告使用者注意。","——")</f>
        <v>——</v>
      </c>
      <c r="B9" s="3280"/>
      <c r="C9" s="3280"/>
      <c r="D9" s="3280"/>
    </row>
    <row r="10" spans="1:4">
      <c r="A10" s="3280" t="str">
        <f>IF(项目基本情况!B8="抵押","4.估价师所知悉的法定优先受偿款情况为：","——")</f>
        <v>——</v>
      </c>
      <c r="B10" s="3280"/>
      <c r="C10" s="3280"/>
      <c r="D10" s="3280"/>
    </row>
    <row r="11" spans="1:4" ht="37.5" customHeight="1">
      <c r="A11" s="3282" t="str">
        <f>IF(项目基本情况!B8="抵押","（1）"&amp;CONCATENATE(项目基本情况!L24,项目基本情况!L25,项目基本情况!L26),"——")</f>
        <v>——</v>
      </c>
      <c r="B11" s="3282"/>
      <c r="C11" s="3282"/>
      <c r="D11" s="3282"/>
    </row>
    <row r="12" spans="1:4" ht="168" customHeight="1">
      <c r="A12" s="3283" t="s">
        <v>2064</v>
      </c>
      <c r="B12" s="3283"/>
      <c r="C12" s="3283"/>
      <c r="D12" s="3283"/>
    </row>
    <row r="13" spans="1:4">
      <c r="A13" s="3281" t="s">
        <v>2742</v>
      </c>
      <c r="B13" s="3281"/>
      <c r="C13" s="3281"/>
      <c r="D13" s="3281"/>
    </row>
    <row r="14" spans="1:4">
      <c r="A14" s="3282" t="str">
        <f>IF(项目基本情况!B8="抵押","综上，"&amp;结果表!K47,"——")</f>
        <v>——</v>
      </c>
      <c r="B14" s="3282"/>
      <c r="C14" s="3282"/>
      <c r="D14" s="3282"/>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2698</v>
      </c>
      <c r="B17" s="3280"/>
      <c r="C17" s="3280"/>
      <c r="D17" s="3280"/>
    </row>
    <row r="18" spans="1:4">
      <c r="A18" s="3280" t="s">
        <v>2690</v>
      </c>
      <c r="B18" s="3280"/>
      <c r="C18" s="3280"/>
      <c r="D18" s="3280"/>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80" t="s">
        <v>2695</v>
      </c>
      <c r="B23" s="3280"/>
      <c r="C23" s="3280"/>
      <c r="D23" s="3280"/>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92" t="s">
        <v>53</v>
      </c>
      <c r="B15" s="3293" t="s">
        <v>843</v>
      </c>
      <c r="C15" s="3289"/>
    </row>
    <row r="16" spans="1:7" ht="14.25">
      <c r="A16" s="3292"/>
      <c r="B16" s="3290" t="s">
        <v>54</v>
      </c>
      <c r="C16" s="1172" t="s">
        <v>53</v>
      </c>
    </row>
    <row r="17" spans="1:3" ht="14.25">
      <c r="A17" s="3292"/>
      <c r="B17" s="3290"/>
      <c r="C17" s="1172" t="s">
        <v>55</v>
      </c>
    </row>
    <row r="18" spans="1:3" ht="14.25">
      <c r="A18" s="3292"/>
      <c r="B18" s="3290"/>
      <c r="C18" s="1172" t="s">
        <v>56</v>
      </c>
    </row>
    <row r="19" spans="1:3" ht="14.25">
      <c r="A19" s="3292"/>
      <c r="B19" s="3288" t="s">
        <v>57</v>
      </c>
      <c r="C19" s="3289"/>
    </row>
    <row r="20" spans="1:3" ht="14.25">
      <c r="A20" s="1173" t="s">
        <v>58</v>
      </c>
      <c r="B20" s="1174"/>
      <c r="C20" s="1175"/>
    </row>
    <row r="21" spans="1:3" ht="14.25">
      <c r="A21" s="3291" t="s">
        <v>59</v>
      </c>
      <c r="B21" s="3288" t="s">
        <v>60</v>
      </c>
      <c r="C21" s="3289"/>
    </row>
    <row r="22" spans="1:3" ht="14.25">
      <c r="A22" s="3291"/>
      <c r="B22" s="3288" t="s">
        <v>61</v>
      </c>
      <c r="C22" s="3289"/>
    </row>
    <row r="23" spans="1:3" ht="14.25">
      <c r="A23" s="3291"/>
      <c r="B23" s="3288" t="s">
        <v>62</v>
      </c>
      <c r="C23" s="3289"/>
    </row>
    <row r="24" spans="1:3" ht="14.25">
      <c r="A24" s="3291"/>
      <c r="B24" s="3294" t="s">
        <v>63</v>
      </c>
      <c r="C24" s="1176" t="s">
        <v>834</v>
      </c>
    </row>
    <row r="25" spans="1:3" ht="14.25">
      <c r="A25" s="3291"/>
      <c r="B25" s="3295"/>
      <c r="C25" s="1176" t="s">
        <v>835</v>
      </c>
    </row>
    <row r="26" spans="1:3" ht="14.25">
      <c r="A26" s="3291"/>
      <c r="B26" s="3295"/>
      <c r="C26" s="1176" t="s">
        <v>836</v>
      </c>
    </row>
    <row r="27" spans="1:3" ht="14.25">
      <c r="A27" s="3291"/>
      <c r="B27" s="3295"/>
      <c r="C27" s="1176" t="s">
        <v>837</v>
      </c>
    </row>
    <row r="28" spans="1:3" ht="14.25">
      <c r="A28" s="3291"/>
      <c r="B28" s="3295"/>
      <c r="C28" s="1176" t="s">
        <v>838</v>
      </c>
    </row>
    <row r="29" spans="1:3" ht="14.25">
      <c r="A29" s="3291"/>
      <c r="B29" s="3295"/>
      <c r="C29" s="1176" t="s">
        <v>839</v>
      </c>
    </row>
    <row r="30" spans="1:3" ht="14.25">
      <c r="A30" s="3291"/>
      <c r="B30" s="3295"/>
      <c r="C30" s="1176" t="s">
        <v>840</v>
      </c>
    </row>
    <row r="31" spans="1:3" ht="14.25">
      <c r="A31" s="3291"/>
      <c r="B31" s="3295"/>
      <c r="C31" s="1176" t="s">
        <v>841</v>
      </c>
    </row>
    <row r="32" spans="1:3" ht="14.25">
      <c r="A32" s="3291"/>
      <c r="B32" s="3295"/>
      <c r="C32" s="1176" t="s">
        <v>1643</v>
      </c>
    </row>
    <row r="33" spans="1:3" ht="14.25">
      <c r="A33" s="3291"/>
      <c r="B33" s="3285" t="s">
        <v>1649</v>
      </c>
      <c r="C33" s="1176" t="s">
        <v>1644</v>
      </c>
    </row>
    <row r="34" spans="1:3" ht="14.25">
      <c r="A34" s="3291"/>
      <c r="B34" s="3286"/>
      <c r="C34" s="1181" t="s">
        <v>1645</v>
      </c>
    </row>
    <row r="35" spans="1:3" ht="14.25">
      <c r="A35" s="3291"/>
      <c r="B35" s="3286"/>
      <c r="C35" s="1182" t="s">
        <v>1646</v>
      </c>
    </row>
    <row r="36" spans="1:3" ht="14.25">
      <c r="A36" s="3291"/>
      <c r="B36" s="3286"/>
      <c r="C36" s="1182" t="s">
        <v>1647</v>
      </c>
    </row>
    <row r="37" spans="1:3" ht="14.25">
      <c r="A37" s="3291"/>
      <c r="B37" s="3287"/>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43457</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296" t="s">
        <v>1922</v>
      </c>
      <c r="B25" s="3296"/>
      <c r="C25" s="3296"/>
      <c r="D25" s="3296"/>
      <c r="E25" s="3296"/>
      <c r="F25" s="3296"/>
      <c r="G25" s="3296"/>
    </row>
    <row r="26" spans="1:7" ht="20.25" customHeight="1">
      <c r="A26" s="3297" t="s">
        <v>1923</v>
      </c>
      <c r="B26" s="3297"/>
      <c r="C26" s="3297"/>
      <c r="D26" s="3297" t="s">
        <v>1924</v>
      </c>
      <c r="E26" s="3297"/>
      <c r="F26" s="3297"/>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2996</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2999</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2990</v>
      </c>
      <c r="C13" s="1552" t="s">
        <v>1714</v>
      </c>
    </row>
    <row r="14" spans="1:23">
      <c r="A14" s="8" t="s">
        <v>114</v>
      </c>
      <c r="B14" s="1936" t="s">
        <v>2991</v>
      </c>
      <c r="C14" s="1555" t="s">
        <v>1890</v>
      </c>
    </row>
    <row r="15" spans="1:23">
      <c r="A15" s="8" t="s">
        <v>115</v>
      </c>
      <c r="B15" s="1936" t="s">
        <v>2992</v>
      </c>
      <c r="C15" s="1555"/>
    </row>
    <row r="16" spans="1:23">
      <c r="A16" s="8" t="s">
        <v>116</v>
      </c>
      <c r="B16" s="1936" t="s">
        <v>2993</v>
      </c>
      <c r="C16" s="1555"/>
    </row>
    <row r="17" spans="1:3">
      <c r="A17" s="8" t="s">
        <v>117</v>
      </c>
      <c r="B17" s="1936" t="s">
        <v>2994</v>
      </c>
      <c r="C17" s="1555"/>
    </row>
    <row r="18" spans="1:3">
      <c r="A18" s="8" t="s">
        <v>118</v>
      </c>
      <c r="B18" s="1936" t="s">
        <v>2952</v>
      </c>
      <c r="C18" s="1555"/>
    </row>
    <row r="19" spans="1:3">
      <c r="A19" s="8" t="s">
        <v>119</v>
      </c>
      <c r="B19" s="1936" t="s">
        <v>2960</v>
      </c>
      <c r="C19" s="1555"/>
    </row>
    <row r="20" spans="1:3">
      <c r="A20" s="8" t="s">
        <v>120</v>
      </c>
      <c r="B20" s="1936" t="s">
        <v>2987</v>
      </c>
      <c r="C20" s="1555"/>
    </row>
    <row r="21" spans="1:3">
      <c r="A21" s="8" t="s">
        <v>121</v>
      </c>
      <c r="B21" s="1936" t="s">
        <v>2988</v>
      </c>
      <c r="C21" s="1555"/>
    </row>
    <row r="22" spans="1:3">
      <c r="A22" s="8" t="s">
        <v>122</v>
      </c>
      <c r="B22" s="1936" t="s">
        <v>2989</v>
      </c>
      <c r="C22" s="1555"/>
    </row>
    <row r="23" spans="1:3">
      <c r="A23" s="8" t="s">
        <v>123</v>
      </c>
      <c r="B23" s="1936" t="s">
        <v>2997</v>
      </c>
      <c r="C23" s="1555"/>
    </row>
    <row r="24" spans="1:3">
      <c r="A24" s="8" t="s">
        <v>12</v>
      </c>
      <c r="B24" s="1936" t="s">
        <v>2998</v>
      </c>
      <c r="C24" s="1555"/>
    </row>
    <row r="25" spans="1:3">
      <c r="A25" s="8" t="s">
        <v>124</v>
      </c>
      <c r="B25" s="3115" t="s">
        <v>3000</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298"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98"/>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98"/>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98"/>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98"/>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2018-12-23T11:19:01Z</dcterms:modified>
</cp:coreProperties>
</file>