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40" windowWidth="12120" windowHeight="7590"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126写字楼" sheetId="80" state="hidden" r:id="rId14"/>
    <sheet name="办公清单" sheetId="81"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清单" sheetId="78" state="hidden" r:id="rId47"/>
    <sheet name="Sheet1" sheetId="79" r:id="rId48"/>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42" i="34" l="1"/>
  <c r="F287" i="81"/>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A3" i="3"/>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F20" i="6" l="1"/>
  <c r="F19" i="6"/>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13" i="3"/>
  <c r="B24" i="31" s="1"/>
  <c r="A301" i="31"/>
  <c r="A302" i="31"/>
  <c r="A303" i="31"/>
  <c r="A304" i="31"/>
  <c r="A284" i="31"/>
  <c r="A285" i="31"/>
  <c r="A286" i="31"/>
  <c r="A287" i="31"/>
  <c r="A288" i="31"/>
  <c r="A289" i="31"/>
  <c r="A290" i="31"/>
  <c r="A291" i="31"/>
  <c r="A292" i="31"/>
  <c r="A293" i="31"/>
  <c r="A294" i="31"/>
  <c r="A295" i="31"/>
  <c r="A296" i="31"/>
  <c r="A297" i="31"/>
  <c r="A298" i="31"/>
  <c r="A299" i="31"/>
  <c r="A300"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C19" i="6"/>
  <c r="C273" i="3"/>
  <c r="C274" i="3"/>
  <c r="C275" i="3"/>
  <c r="C276" i="3"/>
  <c r="C277" i="3"/>
  <c r="C278" i="3"/>
  <c r="C279" i="3"/>
  <c r="C280" i="3"/>
  <c r="C281" i="3"/>
  <c r="C282" i="3"/>
  <c r="C283" i="3"/>
  <c r="C284" i="3"/>
  <c r="C285" i="3"/>
  <c r="C286" i="3"/>
  <c r="C287" i="3"/>
  <c r="C288" i="3"/>
  <c r="C289" i="3"/>
  <c r="C290" i="3"/>
  <c r="C291" i="3"/>
  <c r="C292" i="3"/>
  <c r="C293" i="3"/>
  <c r="C257" i="3"/>
  <c r="C258" i="3"/>
  <c r="C259" i="3"/>
  <c r="C260" i="3"/>
  <c r="C261" i="3"/>
  <c r="C262" i="3"/>
  <c r="C263" i="3"/>
  <c r="C264" i="3"/>
  <c r="C265" i="3"/>
  <c r="C266" i="3"/>
  <c r="C267" i="3"/>
  <c r="C268" i="3"/>
  <c r="C269" i="3"/>
  <c r="C270" i="3"/>
  <c r="C271" i="3"/>
  <c r="C272" i="3"/>
  <c r="C234" i="3"/>
  <c r="C235" i="3"/>
  <c r="C236" i="3"/>
  <c r="C237" i="3"/>
  <c r="C238" i="3"/>
  <c r="C239" i="3"/>
  <c r="C240" i="3"/>
  <c r="C241" i="3"/>
  <c r="C242" i="3"/>
  <c r="C243" i="3"/>
  <c r="C244" i="3"/>
  <c r="C245" i="3"/>
  <c r="C246" i="3"/>
  <c r="C247" i="3"/>
  <c r="C248" i="3"/>
  <c r="C249" i="3"/>
  <c r="C250" i="3"/>
  <c r="C251" i="3"/>
  <c r="C252" i="3"/>
  <c r="C253" i="3"/>
  <c r="C254" i="3"/>
  <c r="C255" i="3"/>
  <c r="C256" i="3"/>
  <c r="C215" i="3"/>
  <c r="C216" i="3"/>
  <c r="C217" i="3"/>
  <c r="C218" i="3"/>
  <c r="C219" i="3"/>
  <c r="C220" i="3"/>
  <c r="C221" i="3"/>
  <c r="C222" i="3"/>
  <c r="C223" i="3"/>
  <c r="C224" i="3"/>
  <c r="C225" i="3"/>
  <c r="C226" i="3"/>
  <c r="C227" i="3"/>
  <c r="C228" i="3"/>
  <c r="C229" i="3"/>
  <c r="C230" i="3"/>
  <c r="C231" i="3"/>
  <c r="C232" i="3"/>
  <c r="C23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13" i="3"/>
  <c r="D20" i="6"/>
  <c r="E287" i="81"/>
  <c r="N6" i="1" l="1"/>
  <c r="E48" i="34" l="1"/>
  <c r="G48" i="34"/>
  <c r="I48" i="34"/>
  <c r="D19" i="6" l="1"/>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l="1"/>
  <c r="Y6" i="1" l="1"/>
  <c r="N7" i="1"/>
  <c r="Y7" i="1" s="1"/>
  <c r="A24" i="31" l="1"/>
  <c r="AH5" i="7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9" i="76"/>
  <c r="E9" i="76"/>
  <c r="E11" i="76"/>
  <c r="B8" i="76"/>
  <c r="B11" i="76"/>
  <c r="E8" i="76"/>
  <c r="E12" i="76"/>
  <c r="B10" i="76"/>
  <c r="B12" i="76"/>
  <c r="E10" i="76"/>
  <c r="E13" i="76"/>
  <c r="E7" i="76"/>
  <c r="B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5" i="73"/>
  <c r="F3" i="73"/>
  <c r="F6" i="73"/>
  <c r="F4" i="73"/>
  <c r="I1" i="73" l="1"/>
  <c r="B39" i="1" s="1"/>
  <c r="D4" i="73"/>
  <c r="D7" i="73"/>
  <c r="D3"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16" i="71" l="1"/>
  <c r="Z16" i="71" s="1"/>
  <c r="AB16" i="71"/>
  <c r="Y17" i="71"/>
  <c r="Z17" i="71" s="1"/>
  <c r="AB17" i="71"/>
  <c r="Y18" i="71"/>
  <c r="Z18" i="71" s="1"/>
  <c r="Y5" i="71"/>
  <c r="Z5" i="71" s="1"/>
  <c r="Y6" i="71"/>
  <c r="Z6" i="71" s="1"/>
  <c r="AB18" i="7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Z21" i="33"/>
  <c r="Q21" i="33"/>
  <c r="D83" i="33"/>
  <c r="E83" i="33" s="1"/>
  <c r="C21" i="33"/>
  <c r="C21" i="21"/>
  <c r="Q21" i="21"/>
  <c r="Z21" i="21" s="1"/>
  <c r="H19" i="21"/>
  <c r="D83" i="21"/>
  <c r="F21" i="21" s="1"/>
  <c r="AA21" i="21" s="1"/>
  <c r="D81" i="21"/>
  <c r="G20" i="20"/>
  <c r="B86" i="43" s="1"/>
  <c r="C22" i="20"/>
  <c r="AO12" i="1"/>
  <c r="AO9" i="1"/>
  <c r="AO13" i="1"/>
  <c r="AO10" i="1"/>
  <c r="AO11" i="1"/>
  <c r="F21" i="34" l="1"/>
  <c r="AA21" i="34" s="1"/>
  <c r="B11" i="70"/>
  <c r="B13" i="70"/>
  <c r="B12" i="70"/>
  <c r="B10" i="70"/>
  <c r="B9" i="7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3" i="1" s="1"/>
  <c r="M13" i="1" s="1"/>
  <c r="O13" i="1" s="1"/>
  <c r="P13"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BL192" i="3"/>
  <c r="G193" i="3"/>
  <c r="BA195" i="3"/>
  <c r="AZ195" i="3" s="1"/>
  <c r="BL196" i="3"/>
  <c r="G197" i="3"/>
  <c r="BA199" i="3"/>
  <c r="AZ199" i="3" s="1"/>
  <c r="BL200" i="3"/>
  <c r="G201" i="3"/>
  <c r="BA203" i="3"/>
  <c r="AZ203" i="3" s="1"/>
  <c r="BL204" i="3"/>
  <c r="AZ79" i="3"/>
  <c r="AZ8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BA390" i="3"/>
  <c r="BL390" i="3"/>
  <c r="G391" i="3"/>
  <c r="G394" i="3"/>
  <c r="AZ500" i="3"/>
  <c r="BA16" i="3"/>
  <c r="AZ16" i="3" s="1"/>
  <c r="BL303" i="3"/>
  <c r="G304" i="3"/>
  <c r="BA306" i="3"/>
  <c r="AZ306" i="3"/>
  <c r="BL307" i="3"/>
  <c r="AZ307" i="3"/>
  <c r="G308" i="3"/>
  <c r="BA310" i="3"/>
  <c r="AZ310" i="3" s="1"/>
  <c r="BL311" i="3"/>
  <c r="G312" i="3"/>
  <c r="BA314" i="3"/>
  <c r="BL315" i="3"/>
  <c r="G316" i="3"/>
  <c r="BA318" i="3"/>
  <c r="AZ318" i="3" s="1"/>
  <c r="BL319" i="3"/>
  <c r="G320" i="3"/>
  <c r="BA322" i="3"/>
  <c r="BL323" i="3"/>
  <c r="G324" i="3"/>
  <c r="BA326" i="3"/>
  <c r="BL327" i="3"/>
  <c r="AZ327" i="3" s="1"/>
  <c r="G328" i="3"/>
  <c r="BA330" i="3"/>
  <c r="AZ330" i="3" s="1"/>
  <c r="BL331" i="3"/>
  <c r="AZ331" i="3" s="1"/>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G359" i="3"/>
  <c r="BA361" i="3"/>
  <c r="AZ361" i="3" s="1"/>
  <c r="BL362" i="3"/>
  <c r="G363" i="3"/>
  <c r="BA365" i="3"/>
  <c r="BL366" i="3"/>
  <c r="G367" i="3"/>
  <c r="BA369" i="3"/>
  <c r="AZ369" i="3" s="1"/>
  <c r="BL370" i="3"/>
  <c r="G371" i="3"/>
  <c r="BA373" i="3"/>
  <c r="BL374" i="3"/>
  <c r="AZ374" i="3" s="1"/>
  <c r="G375" i="3"/>
  <c r="BA377" i="3"/>
  <c r="AZ377" i="3" s="1"/>
  <c r="AZ370"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BA15" i="3"/>
  <c r="BB5" i="3"/>
  <c r="E8" i="6" s="1"/>
  <c r="F27" i="6" s="1"/>
  <c r="BR5" i="3"/>
  <c r="AZ380" i="3"/>
  <c r="AZ499" i="3"/>
  <c r="AZ509" i="3"/>
  <c r="G509" i="3"/>
  <c r="BL493" i="3"/>
  <c r="AZ493" i="3" s="1"/>
  <c r="AZ491"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212" i="3" l="1"/>
  <c r="AZ212" i="3" s="1"/>
  <c r="BA213" i="3"/>
  <c r="BA215" i="3"/>
  <c r="BA221" i="3"/>
  <c r="AZ221" i="3" s="1"/>
  <c r="BA222" i="3"/>
  <c r="AZ222" i="3" s="1"/>
  <c r="BA223" i="3"/>
  <c r="AZ223" i="3" s="1"/>
  <c r="BA224" i="3"/>
  <c r="BA262" i="3"/>
  <c r="BL264" i="3"/>
  <c r="BA266" i="3"/>
  <c r="BL268" i="3"/>
  <c r="BA270" i="3"/>
  <c r="BL270" i="3"/>
  <c r="BL272" i="3"/>
  <c r="BA274" i="3"/>
  <c r="AZ274" i="3" s="1"/>
  <c r="BL274" i="3"/>
  <c r="BL276" i="3"/>
  <c r="BA286" i="3"/>
  <c r="BA288" i="3"/>
  <c r="BA290" i="3"/>
  <c r="BL290" i="3"/>
  <c r="BL292" i="3"/>
  <c r="BA149" i="3"/>
  <c r="BL151" i="3"/>
  <c r="BA153" i="3"/>
  <c r="AZ153" i="3" s="1"/>
  <c r="BL153" i="3"/>
  <c r="AZ151" i="3"/>
  <c r="G14" i="3"/>
  <c r="K10" i="1"/>
  <c r="M10" i="1" s="1"/>
  <c r="O10" i="1" s="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s="1"/>
  <c r="BL142" i="3"/>
  <c r="BA144" i="3"/>
  <c r="AZ144" i="3" s="1"/>
  <c r="BL146" i="3"/>
  <c r="BA174" i="3"/>
  <c r="BL174" i="3"/>
  <c r="BA176" i="3"/>
  <c r="AZ176" i="3" s="1"/>
  <c r="BA178" i="3"/>
  <c r="BA160" i="3"/>
  <c r="AZ160" i="3" s="1"/>
  <c r="BA162" i="3"/>
  <c r="BA190" i="3"/>
  <c r="BL190" i="3"/>
  <c r="AC32" i="40"/>
  <c r="W32" i="40"/>
  <c r="AC31" i="40"/>
  <c r="W31" i="40"/>
  <c r="W33" i="40"/>
  <c r="AC33" i="40"/>
  <c r="AA38" i="40"/>
  <c r="S38" i="40"/>
  <c r="W40" i="40"/>
  <c r="AC40" i="40"/>
  <c r="AZ323" i="3"/>
  <c r="BL240" i="3"/>
  <c r="G241" i="3"/>
  <c r="BA242" i="3"/>
  <c r="BL242" i="3"/>
  <c r="F29" i="6"/>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s="1"/>
  <c r="J38" i="40"/>
  <c r="AC38" i="40" s="1"/>
  <c r="F40" i="40"/>
  <c r="G562" i="3"/>
  <c r="G558"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BL230" i="3"/>
  <c r="BA231" i="3"/>
  <c r="AZ231" i="3" s="1"/>
  <c r="BA232" i="3"/>
  <c r="AZ232" i="3" s="1"/>
  <c r="BA233" i="3"/>
  <c r="AZ233" i="3" s="1"/>
  <c r="BA235" i="3"/>
  <c r="BL235" i="3"/>
  <c r="BA236" i="3"/>
  <c r="AZ236" i="3" s="1"/>
  <c r="BA237" i="3"/>
  <c r="AZ237" i="3" s="1"/>
  <c r="AZ116" i="3"/>
  <c r="BL244" i="3"/>
  <c r="G245" i="3"/>
  <c r="BA246" i="3"/>
  <c r="BL246" i="3"/>
  <c r="BA247" i="3"/>
  <c r="AZ247" i="3" s="1"/>
  <c r="BA248" i="3"/>
  <c r="AZ248" i="3" s="1"/>
  <c r="BA249" i="3"/>
  <c r="AZ249" i="3" s="1"/>
  <c r="BA250" i="3"/>
  <c r="BL250" i="3"/>
  <c r="BL252" i="3"/>
  <c r="G253" i="3"/>
  <c r="BA254" i="3"/>
  <c r="BL254" i="3"/>
  <c r="BA255" i="3"/>
  <c r="BA256" i="3"/>
  <c r="AZ256" i="3" s="1"/>
  <c r="BA257" i="3"/>
  <c r="AZ257" i="3" s="1"/>
  <c r="BA259" i="3"/>
  <c r="BL259" i="3"/>
  <c r="BA260" i="3"/>
  <c r="AZ260" i="3" s="1"/>
  <c r="BA261" i="3"/>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BL284" i="3"/>
  <c r="BA285" i="3"/>
  <c r="AZ285" i="3" s="1"/>
  <c r="BA287" i="3"/>
  <c r="BL287" i="3"/>
  <c r="BL289" i="3"/>
  <c r="G290"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G116" i="3"/>
  <c r="BA117" i="3"/>
  <c r="G118" i="3"/>
  <c r="G120" i="3"/>
  <c r="G122" i="3"/>
  <c r="BL129" i="3"/>
  <c r="G132" i="3"/>
  <c r="BA133" i="3"/>
  <c r="G134"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BL177" i="3"/>
  <c r="BL179" i="3"/>
  <c r="AZ179" i="3" s="1"/>
  <c r="G180" i="3"/>
  <c r="BA182" i="3"/>
  <c r="AZ182" i="3" s="1"/>
  <c r="BL182" i="3"/>
  <c r="BA184" i="3"/>
  <c r="AZ184" i="3" s="1"/>
  <c r="G187" i="3"/>
  <c r="G190" i="3"/>
  <c r="BL191" i="3"/>
  <c r="AZ191" i="3" s="1"/>
  <c r="G192" i="3"/>
  <c r="BA194" i="3"/>
  <c r="BL194" i="3"/>
  <c r="BA196" i="3"/>
  <c r="AZ196" i="3" s="1"/>
  <c r="G199" i="3"/>
  <c r="BA200" i="3"/>
  <c r="AZ200" i="3" s="1"/>
  <c r="G203" i="3"/>
  <c r="G205" i="3"/>
  <c r="BL206" i="3"/>
  <c r="G207" i="3"/>
  <c r="BL18" i="3"/>
  <c r="G100" i="43"/>
  <c r="BA19" i="3"/>
  <c r="G20" i="3"/>
  <c r="BA21" i="3"/>
  <c r="G22" i="3"/>
  <c r="BA23" i="3"/>
  <c r="BL23" i="3"/>
  <c r="G24" i="3"/>
  <c r="BL25" i="3"/>
  <c r="G26" i="3"/>
  <c r="BL27" i="3"/>
  <c r="BL29" i="3"/>
  <c r="G32" i="3"/>
  <c r="G34" i="3"/>
  <c r="BA35" i="3"/>
  <c r="BL35" i="3"/>
  <c r="BL36" i="3"/>
  <c r="G37" i="3"/>
  <c r="BA38" i="3"/>
  <c r="AZ38" i="3" s="1"/>
  <c r="BL38" i="3"/>
  <c r="BL40" i="3"/>
  <c r="G41" i="3"/>
  <c r="BA42" i="3"/>
  <c r="G43" i="3"/>
  <c r="BL44" i="3"/>
  <c r="BA46" i="3"/>
  <c r="G47" i="3"/>
  <c r="BL48" i="3"/>
  <c r="G51" i="3"/>
  <c r="G53" i="3"/>
  <c r="G55" i="3"/>
  <c r="G57" i="3"/>
  <c r="BA58" i="3"/>
  <c r="G59" i="3"/>
  <c r="BL60" i="3"/>
  <c r="BA62" i="3"/>
  <c r="G63" i="3"/>
  <c r="BL64" i="3"/>
  <c r="G65" i="3"/>
  <c r="BA66" i="3"/>
  <c r="G67" i="3"/>
  <c r="BL69" i="3"/>
  <c r="G72" i="3"/>
  <c r="G74" i="3"/>
  <c r="G76" i="3"/>
  <c r="BA77" i="3"/>
  <c r="G78" i="3"/>
  <c r="BA81" i="3"/>
  <c r="AZ81" i="3" s="1"/>
  <c r="BA82" i="3"/>
  <c r="AZ82" i="3" s="1"/>
  <c r="BA83" i="3"/>
  <c r="AZ83" i="3" s="1"/>
  <c r="BA84" i="3"/>
  <c r="G85" i="3"/>
  <c r="BA86" i="3"/>
  <c r="G87" i="3"/>
  <c r="BA89" i="3"/>
  <c r="G90" i="3"/>
  <c r="BA91" i="3"/>
  <c r="G92" i="3"/>
  <c r="BL93" i="3"/>
  <c r="G94" i="3"/>
  <c r="BA95" i="3"/>
  <c r="BL95" i="3"/>
  <c r="G96" i="3"/>
  <c r="BA98" i="3"/>
  <c r="G99" i="3"/>
  <c r="BA100" i="3"/>
  <c r="BL100" i="3"/>
  <c r="G101" i="3"/>
  <c r="BA102" i="3"/>
  <c r="BL102" i="3"/>
  <c r="G103" i="3"/>
  <c r="G106" i="3"/>
  <c r="BA107" i="3"/>
  <c r="BL107" i="3"/>
  <c r="G108" i="3"/>
  <c r="BL109" i="3"/>
  <c r="G110" i="3"/>
  <c r="BA111" i="3"/>
  <c r="BL111" i="3"/>
  <c r="G112" i="3"/>
  <c r="AA41" i="34"/>
  <c r="AC44" i="34"/>
  <c r="S28" i="34"/>
  <c r="AB23" i="34"/>
  <c r="AB17" i="34"/>
  <c r="AC17" i="34"/>
  <c r="G136" i="3"/>
  <c r="BA136" i="3"/>
  <c r="AZ136" i="3" s="1"/>
  <c r="AZ132" i="3"/>
  <c r="BL121" i="3"/>
  <c r="BL127" i="3"/>
  <c r="AZ127" i="3" s="1"/>
  <c r="BA129" i="3"/>
  <c r="AZ129" i="3" s="1"/>
  <c r="BA130" i="3"/>
  <c r="AZ130" i="3" s="1"/>
  <c r="BL131" i="3"/>
  <c r="BL134" i="3"/>
  <c r="BA18" i="3"/>
  <c r="AZ18" i="3" s="1"/>
  <c r="BA20" i="3"/>
  <c r="BL20" i="3"/>
  <c r="BL22" i="3"/>
  <c r="BA26" i="3"/>
  <c r="BL26" i="3"/>
  <c r="BA27" i="3"/>
  <c r="AZ27" i="3" s="1"/>
  <c r="BA28" i="3"/>
  <c r="AZ28" i="3" s="1"/>
  <c r="BA29" i="3"/>
  <c r="AZ29" i="3" s="1"/>
  <c r="BA31" i="3"/>
  <c r="BL31" i="3"/>
  <c r="BA33" i="3"/>
  <c r="BL33" i="3"/>
  <c r="BL34" i="3"/>
  <c r="BL37" i="3"/>
  <c r="BA41" i="3"/>
  <c r="BL41" i="3"/>
  <c r="BA43" i="3"/>
  <c r="AZ43" i="3" s="1"/>
  <c r="BL43" i="3"/>
  <c r="BA44" i="3"/>
  <c r="AZ44" i="3" s="1"/>
  <c r="BA45" i="3"/>
  <c r="AZ45" i="3" s="1"/>
  <c r="BA47" i="3"/>
  <c r="AZ47" i="3" s="1"/>
  <c r="BL47" i="3"/>
  <c r="BA48" i="3"/>
  <c r="AZ48" i="3" s="1"/>
  <c r="BA50" i="3"/>
  <c r="BL50" i="3"/>
  <c r="BL52" i="3"/>
  <c r="BA54" i="3"/>
  <c r="AZ54" i="3" s="1"/>
  <c r="BL54" i="3"/>
  <c r="BL56" i="3"/>
  <c r="BL89" i="3"/>
  <c r="AZ89" i="3" s="1"/>
  <c r="BA90" i="3"/>
  <c r="AZ90" i="3" s="1"/>
  <c r="BL92" i="3"/>
  <c r="BL94" i="3"/>
  <c r="BA105" i="3"/>
  <c r="BL105" i="3"/>
  <c r="BL106" i="3"/>
  <c r="AZ131" i="3"/>
  <c r="AZ128" i="3"/>
  <c r="AZ123" i="3"/>
  <c r="BL122" i="3"/>
  <c r="AZ122" i="3" s="1"/>
  <c r="BA124" i="3"/>
  <c r="AZ124" i="3" s="1"/>
  <c r="BA59" i="3"/>
  <c r="BL59" i="3"/>
  <c r="BA60" i="3"/>
  <c r="AZ60" i="3" s="1"/>
  <c r="BA61" i="3"/>
  <c r="AZ61" i="3" s="1"/>
  <c r="BA63" i="3"/>
  <c r="BL63" i="3"/>
  <c r="BA65" i="3"/>
  <c r="BL65" i="3"/>
  <c r="BA67" i="3"/>
  <c r="BL67" i="3"/>
  <c r="BA68" i="3"/>
  <c r="AZ68" i="3" s="1"/>
  <c r="BA69" i="3"/>
  <c r="AZ69" i="3" s="1"/>
  <c r="BA71" i="3"/>
  <c r="BL71" i="3"/>
  <c r="BL73" i="3"/>
  <c r="BL75" i="3"/>
  <c r="BA97" i="3"/>
  <c r="AZ97" i="3" s="1"/>
  <c r="BL99" i="3"/>
  <c r="BL110" i="3"/>
  <c r="S12" i="21"/>
  <c r="AA12" i="21"/>
  <c r="AB9" i="36"/>
  <c r="U9" i="36"/>
  <c r="AB44" i="39"/>
  <c r="U44" i="39"/>
  <c r="AC37" i="39"/>
  <c r="W37" i="39"/>
  <c r="W12" i="40"/>
  <c r="AC12" i="40"/>
  <c r="G28" i="6"/>
  <c r="AZ326" i="3"/>
  <c r="AZ311" i="3"/>
  <c r="AZ351" i="3"/>
  <c r="AZ378" i="3"/>
  <c r="U12" i="35"/>
  <c r="AB12" i="35"/>
  <c r="AB34" i="35"/>
  <c r="U34" i="35"/>
  <c r="AC43" i="39"/>
  <c r="W43" i="39"/>
  <c r="U45" i="39"/>
  <c r="AB45" i="39"/>
  <c r="AZ521" i="3"/>
  <c r="AZ581" i="3"/>
  <c r="BL586" i="3"/>
  <c r="AZ585"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BL218" i="3"/>
  <c r="AZ218" i="3" s="1"/>
  <c r="BA219" i="3"/>
  <c r="AZ219" i="3" s="1"/>
  <c r="G222" i="3"/>
  <c r="G223" i="3"/>
  <c r="G224" i="3"/>
  <c r="BL224" i="3"/>
  <c r="BA225" i="3"/>
  <c r="AZ225" i="3" s="1"/>
  <c r="BL227" i="3"/>
  <c r="AZ227" i="3" s="1"/>
  <c r="BA228" i="3"/>
  <c r="AZ228" i="3" s="1"/>
  <c r="BA229" i="3"/>
  <c r="G232" i="3"/>
  <c r="G233" i="3"/>
  <c r="G234" i="3"/>
  <c r="BL234" i="3"/>
  <c r="G237" i="3"/>
  <c r="G238" i="3"/>
  <c r="BL238" i="3"/>
  <c r="BA239" i="3"/>
  <c r="BA240" i="3"/>
  <c r="AZ240" i="3" s="1"/>
  <c r="BA241" i="3"/>
  <c r="AZ241" i="3" s="1"/>
  <c r="BL243" i="3"/>
  <c r="AZ243" i="3" s="1"/>
  <c r="BA244" i="3"/>
  <c r="BA245" i="3"/>
  <c r="AZ245" i="3" s="1"/>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s="1"/>
  <c r="H39" i="40"/>
  <c r="G582" i="3"/>
  <c r="G566" i="3"/>
  <c r="G552" i="3"/>
  <c r="BA551" i="3"/>
  <c r="G551" i="3"/>
  <c r="BL550" i="3"/>
  <c r="BA550" i="3"/>
  <c r="BL548" i="3"/>
  <c r="AZ548" i="3" s="1"/>
  <c r="G526" i="3"/>
  <c r="BL15" i="3"/>
  <c r="AZ15" i="3" s="1"/>
  <c r="AZ403" i="3"/>
  <c r="AZ406" i="3"/>
  <c r="AZ419" i="3"/>
  <c r="AZ422" i="3"/>
  <c r="AZ425" i="3"/>
  <c r="AZ431" i="3"/>
  <c r="AZ435" i="3"/>
  <c r="AZ438" i="3"/>
  <c r="AZ442" i="3"/>
  <c r="AZ451" i="3"/>
  <c r="AZ453" i="3"/>
  <c r="AZ454" i="3"/>
  <c r="AZ458" i="3"/>
  <c r="AZ468" i="3"/>
  <c r="AZ469" i="3"/>
  <c r="AZ486" i="3"/>
  <c r="AZ487" i="3"/>
  <c r="BL251" i="3"/>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G286" i="3"/>
  <c r="BL286" i="3"/>
  <c r="BL288" i="3"/>
  <c r="AZ288" i="3" s="1"/>
  <c r="BA289" i="3"/>
  <c r="BL291" i="3"/>
  <c r="AZ291" i="3" s="1"/>
  <c r="BA292" i="3"/>
  <c r="AZ292" i="3" s="1"/>
  <c r="G295" i="3"/>
  <c r="G296" i="3"/>
  <c r="G297" i="3"/>
  <c r="BL297" i="3"/>
  <c r="BA298" i="3"/>
  <c r="AZ298" i="3" s="1"/>
  <c r="BA299" i="3"/>
  <c r="AZ299" i="3" s="1"/>
  <c r="G302" i="3"/>
  <c r="G114" i="3"/>
  <c r="G115" i="3"/>
  <c r="BL117" i="3"/>
  <c r="BA118" i="3"/>
  <c r="AZ118" i="3" s="1"/>
  <c r="BL119" i="3"/>
  <c r="AZ119" i="3" s="1"/>
  <c r="BA121" i="3"/>
  <c r="AZ121" i="3" s="1"/>
  <c r="G124" i="3"/>
  <c r="G127" i="3"/>
  <c r="G130" i="3"/>
  <c r="G131"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AZ258" i="3"/>
  <c r="BA192" i="3"/>
  <c r="AZ192" i="3" s="1"/>
  <c r="BL193" i="3"/>
  <c r="AZ193" i="3" s="1"/>
  <c r="G196" i="3"/>
  <c r="BL198" i="3"/>
  <c r="AZ198" i="3" s="1"/>
  <c r="G200" i="3"/>
  <c r="BL202" i="3"/>
  <c r="BA204" i="3"/>
  <c r="AZ204" i="3" s="1"/>
  <c r="BA205" i="3"/>
  <c r="AZ205" i="3" s="1"/>
  <c r="BA206" i="3"/>
  <c r="AZ206" i="3" s="1"/>
  <c r="G19" i="3"/>
  <c r="BL19" i="3"/>
  <c r="BL21"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BA64" i="3"/>
  <c r="AZ64" i="3" s="1"/>
  <c r="BL66" i="3"/>
  <c r="G69" i="3"/>
  <c r="G70" i="3"/>
  <c r="BL70" i="3"/>
  <c r="AZ70" i="3" s="1"/>
  <c r="BL72" i="3"/>
  <c r="AZ72" i="3" s="1"/>
  <c r="BA73" i="3"/>
  <c r="AZ73" i="3" s="1"/>
  <c r="BA74" i="3"/>
  <c r="AZ74" i="3" s="1"/>
  <c r="BA75" i="3"/>
  <c r="AZ75" i="3" s="1"/>
  <c r="BL77" i="3"/>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M100" i="43"/>
  <c r="I100" i="43"/>
  <c r="E100" i="43"/>
  <c r="I20" i="66"/>
  <c r="D93" i="9"/>
  <c r="E12" i="6"/>
  <c r="E15" i="6"/>
  <c r="E60" i="40" s="1"/>
  <c r="K6" i="1"/>
  <c r="AH6" i="1" s="1"/>
  <c r="F3" i="35"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42" i="15"/>
  <c r="F43" i="67"/>
  <c r="L47" i="67"/>
  <c r="M28" i="15"/>
  <c r="F7" i="67"/>
  <c r="M24" i="67"/>
  <c r="F6" i="67"/>
  <c r="M28" i="67"/>
  <c r="M26" i="67"/>
  <c r="F16" i="67"/>
  <c r="F8" i="67"/>
  <c r="M6" i="67"/>
  <c r="M8" i="67"/>
  <c r="L48" i="67"/>
  <c r="F26" i="67"/>
  <c r="F16" i="15"/>
  <c r="F6" i="15"/>
  <c r="L48" i="15"/>
  <c r="F40" i="67"/>
  <c r="F36" i="15"/>
  <c r="F36" i="67"/>
  <c r="F38" i="15"/>
  <c r="F40" i="15"/>
  <c r="M9" i="67"/>
  <c r="F38" i="67"/>
  <c r="M29" i="15"/>
  <c r="F9" i="15"/>
  <c r="F7" i="15"/>
  <c r="M22" i="15"/>
  <c r="M24" i="15"/>
  <c r="C76" i="67"/>
  <c r="J15" i="67"/>
  <c r="F9" i="67"/>
  <c r="M26" i="15"/>
  <c r="L47" i="15"/>
  <c r="F37" i="67"/>
  <c r="M23" i="67"/>
  <c r="F37" i="15"/>
  <c r="F26" i="15"/>
  <c r="J15" i="15"/>
  <c r="M9" i="15"/>
  <c r="G1" i="73"/>
  <c r="M22" i="67"/>
  <c r="F42" i="67"/>
  <c r="F13" i="67"/>
  <c r="C76" i="15"/>
  <c r="F43" i="15"/>
  <c r="M23" i="15"/>
  <c r="F13" i="15"/>
  <c r="M29" i="67"/>
  <c r="M8" i="15"/>
  <c r="M6" i="15"/>
  <c r="F8" i="15"/>
  <c r="AZ46" i="3" l="1"/>
  <c r="AZ202" i="3"/>
  <c r="AZ186" i="3"/>
  <c r="AZ154" i="3"/>
  <c r="AZ289" i="3"/>
  <c r="AZ283" i="3"/>
  <c r="AZ251" i="3"/>
  <c r="AZ244" i="3"/>
  <c r="AZ239" i="3"/>
  <c r="AZ229" i="3"/>
  <c r="AZ216" i="3"/>
  <c r="AZ261" i="3"/>
  <c r="AZ255" i="3"/>
  <c r="AZ158" i="3"/>
  <c r="AZ290" i="3"/>
  <c r="AZ270" i="3"/>
  <c r="AZ98" i="3"/>
  <c r="AZ77" i="3"/>
  <c r="AZ66" i="3"/>
  <c r="AZ62" i="3"/>
  <c r="AZ21" i="3"/>
  <c r="AZ133" i="3"/>
  <c r="AZ117" i="3"/>
  <c r="AZ177" i="3"/>
  <c r="AZ287" i="3"/>
  <c r="AZ277" i="3"/>
  <c r="AZ263" i="3"/>
  <c r="AZ259" i="3"/>
  <c r="AZ246" i="3"/>
  <c r="AZ190" i="3"/>
  <c r="AZ174" i="3"/>
  <c r="AZ220" i="3"/>
  <c r="AZ214" i="3"/>
  <c r="AZ211" i="3"/>
  <c r="AZ242" i="3"/>
  <c r="E56" i="40"/>
  <c r="AZ33" i="3"/>
  <c r="AZ31" i="3"/>
  <c r="AZ20" i="3"/>
  <c r="AZ102" i="3"/>
  <c r="AZ95" i="3"/>
  <c r="AZ194" i="3"/>
  <c r="AZ166" i="3"/>
  <c r="AZ161" i="3"/>
  <c r="AZ293" i="3"/>
  <c r="AZ284" i="3"/>
  <c r="AZ235" i="3"/>
  <c r="AZ217" i="3"/>
  <c r="AZ208" i="3"/>
  <c r="AZ332" i="3"/>
  <c r="AZ461" i="3"/>
  <c r="AA40" i="40"/>
  <c r="S40" i="40"/>
  <c r="U12" i="33"/>
  <c r="AB12" i="33"/>
  <c r="AZ71" i="3"/>
  <c r="AZ67" i="3"/>
  <c r="AZ65" i="3"/>
  <c r="AZ63" i="3"/>
  <c r="AZ59" i="3"/>
  <c r="AZ100" i="3"/>
  <c r="AZ23" i="3"/>
  <c r="AZ230" i="3"/>
  <c r="AZ226" i="3"/>
  <c r="AA9" i="34"/>
  <c r="S9" i="34"/>
  <c r="AZ105" i="3"/>
  <c r="AZ50" i="3"/>
  <c r="U39" i="40"/>
  <c r="AB39" i="40"/>
  <c r="U12" i="36"/>
  <c r="AB12" i="36"/>
  <c r="AC23" i="35"/>
  <c r="W23" i="35"/>
  <c r="AC36" i="35"/>
  <c r="W36" i="35"/>
  <c r="C53" i="67"/>
  <c r="C10" i="15"/>
  <c r="C53" i="15"/>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D9" i="69"/>
  <c r="C9" i="69" s="1"/>
  <c r="D19" i="12"/>
  <c r="C19" i="12" s="1"/>
  <c r="E59" i="40"/>
  <c r="D68" i="39"/>
  <c r="D70" i="39" s="1"/>
  <c r="E30" i="6"/>
  <c r="K15" i="1"/>
  <c r="E16" i="6"/>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1" i="6"/>
  <c r="K24" i="6"/>
  <c r="M24" i="6" s="1"/>
  <c r="I24" i="6" s="1"/>
  <c r="S24" i="6" s="1"/>
  <c r="K14" i="1"/>
  <c r="M14" i="1" s="1"/>
  <c r="O14" i="1" s="1"/>
  <c r="P14" i="1" s="1"/>
  <c r="BL5" i="3"/>
  <c r="C19" i="43"/>
  <c r="J59" i="9"/>
  <c r="J61" i="9" s="1"/>
  <c r="K21" i="6"/>
  <c r="M21" i="6" s="1"/>
  <c r="I21" i="6" s="1"/>
  <c r="S21" i="6" s="1"/>
  <c r="K26" i="6"/>
  <c r="M26" i="6" s="1"/>
  <c r="I26" i="6" s="1"/>
  <c r="S26" i="6" s="1"/>
  <c r="K22" i="6"/>
  <c r="M22" i="6" s="1"/>
  <c r="I22" i="6" s="1"/>
  <c r="S22" i="6" s="1"/>
  <c r="K19" i="6"/>
  <c r="K25" i="6"/>
  <c r="M25" i="6" s="1"/>
  <c r="I25" i="6" s="1"/>
  <c r="S25" i="6" s="1"/>
  <c r="K23" i="6"/>
  <c r="M23" i="6" s="1"/>
  <c r="I23" i="6" s="1"/>
  <c r="S23" i="6"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C16" i="67"/>
  <c r="M17" i="15"/>
  <c r="F31" i="67"/>
  <c r="F59" i="67"/>
  <c r="F59" i="15"/>
  <c r="C16" i="15"/>
  <c r="S6" i="1" l="1"/>
  <c r="E6" i="70" s="1"/>
  <c r="S10" i="1"/>
  <c r="S13" i="1"/>
  <c r="S11" i="1"/>
  <c r="S9" i="1"/>
  <c r="S8" i="1"/>
  <c r="S12" i="1"/>
  <c r="E3" i="6"/>
  <c r="AQ7" i="1"/>
  <c r="M19" i="6"/>
  <c r="AR6" i="1"/>
  <c r="T7" i="1"/>
  <c r="AR7" i="1"/>
  <c r="L59" i="15"/>
  <c r="Q74" i="15" s="1"/>
  <c r="C30" i="11"/>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C5" i="15"/>
  <c r="C32" i="15" s="1"/>
  <c r="E6" i="6"/>
  <c r="D19" i="11"/>
  <c r="C19" i="11" s="1"/>
  <c r="C20" i="11" s="1"/>
  <c r="C17" i="4"/>
  <c r="B4" i="52" s="1"/>
  <c r="B43" i="72" s="1"/>
  <c r="D37" i="11"/>
  <c r="D14" i="12"/>
  <c r="D17" i="12" s="1"/>
  <c r="C17" i="12" s="1"/>
  <c r="D3" i="37"/>
  <c r="M18" i="9"/>
  <c r="B118" i="9" s="1"/>
  <c r="B14" i="74" s="1"/>
  <c r="B1" i="74"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C17" i="15"/>
  <c r="AR8" i="1" l="1"/>
  <c r="AQ8" i="1"/>
  <c r="T8" i="1"/>
  <c r="AQ11" i="1"/>
  <c r="T11" i="1"/>
  <c r="AR11" i="1"/>
  <c r="AQ10" i="1"/>
  <c r="T10" i="1"/>
  <c r="AR10" i="1"/>
  <c r="AQ12" i="1"/>
  <c r="AR12" i="1"/>
  <c r="T12" i="1"/>
  <c r="AR9" i="1"/>
  <c r="AQ9" i="1"/>
  <c r="T9" i="1"/>
  <c r="AR13" i="1"/>
  <c r="AQ13" i="1"/>
  <c r="T13" i="1"/>
  <c r="AQ6" i="1"/>
  <c r="I70" i="34"/>
  <c r="J70" i="34" s="1"/>
  <c r="K70" i="34" s="1"/>
  <c r="L70" i="34" s="1"/>
  <c r="M70" i="34" s="1"/>
  <c r="F11" i="34"/>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C47" i="68"/>
  <c r="D45" i="68" s="1"/>
  <c r="AA10" i="39"/>
  <c r="D10" i="68"/>
  <c r="D10" i="11"/>
  <c r="C10" i="11" s="1"/>
  <c r="D20" i="12"/>
  <c r="C20" i="12" s="1"/>
  <c r="C18" i="12" s="1"/>
  <c r="M19" i="9"/>
  <c r="C118" i="9" s="1"/>
  <c r="C14" i="74" s="1"/>
  <c r="B2" i="74"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S19" i="6"/>
  <c r="S27" i="6" s="1"/>
  <c r="I27" i="6"/>
  <c r="W10" i="39"/>
  <c r="AC10" i="39"/>
  <c r="U10" i="39"/>
  <c r="AB10" i="39"/>
  <c r="F50" i="11"/>
  <c r="F50" i="69"/>
  <c r="F50" i="68"/>
  <c r="C47" i="11"/>
  <c r="D45" i="11" s="1"/>
  <c r="C29" i="11"/>
  <c r="D27" i="11" s="1"/>
  <c r="C28" i="11"/>
  <c r="C27" i="11" s="1"/>
  <c r="L16" i="1"/>
  <c r="S11" i="34" l="1"/>
  <c r="AA11" i="34"/>
  <c r="L19" i="9"/>
  <c r="AA7" i="34"/>
  <c r="R49" i="34" s="1"/>
  <c r="E49" i="34" s="1"/>
  <c r="C34" i="11"/>
  <c r="C38"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14" i="12"/>
  <c r="C23" i="12"/>
  <c r="R50" i="34" l="1"/>
  <c r="R12" i="1"/>
  <c r="R10" i="1"/>
  <c r="R13" i="1"/>
  <c r="R11" i="1"/>
  <c r="R9" i="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49" i="21" l="1"/>
  <c r="C24" i="68"/>
  <c r="C20" i="68"/>
  <c r="C28" i="68" s="1"/>
  <c r="C27" i="68" s="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48" i="67"/>
  <c r="C60" i="67" s="1"/>
  <c r="AE7" i="1"/>
  <c r="C14" i="15"/>
  <c r="L57" i="67" l="1"/>
  <c r="L60" i="67" s="1"/>
  <c r="L46" i="67" s="1"/>
  <c r="C66" i="67"/>
  <c r="T16" i="1"/>
  <c r="C18" i="15"/>
  <c r="C15" i="15"/>
  <c r="Q66" i="67" l="1"/>
  <c r="Q57" i="67"/>
  <c r="C19" i="15"/>
  <c r="C20" i="15" l="1"/>
  <c r="C26" i="15" s="1"/>
  <c r="C23" i="15" l="1"/>
  <c r="C29" i="15" s="1"/>
  <c r="J59" i="15" s="1"/>
  <c r="J60" i="15" s="1"/>
  <c r="Q48" i="15" s="1"/>
  <c r="J19" i="15" l="1"/>
  <c r="Q49" i="15"/>
  <c r="C57" i="15"/>
  <c r="C61" i="15" s="1"/>
  <c r="C33" i="15"/>
  <c r="C13" i="15"/>
  <c r="C37" i="15" s="1"/>
  <c r="C36" i="15"/>
  <c r="J14" i="15"/>
  <c r="J22" i="15" s="1"/>
  <c r="C56" i="15" l="1"/>
  <c r="C48" i="15" s="1"/>
  <c r="C64" i="15"/>
  <c r="Q70" i="15"/>
  <c r="C75" i="15"/>
  <c r="J13" i="15"/>
  <c r="J23" i="15" s="1"/>
  <c r="AE8" i="1"/>
  <c r="AE6" i="1"/>
  <c r="C66" i="15" l="1"/>
  <c r="C60" i="15"/>
  <c r="AG6" i="1"/>
  <c r="C65" i="15"/>
  <c r="M27" i="67"/>
  <c r="M27" i="15"/>
  <c r="F41" i="67"/>
  <c r="F41" i="15"/>
  <c r="J26" i="15" l="1"/>
  <c r="J29" i="15" s="1"/>
  <c r="J26" i="67"/>
  <c r="J29" i="67" s="1"/>
  <c r="F69" i="15"/>
  <c r="L46" i="15"/>
  <c r="F69" i="67"/>
  <c r="E2" i="69"/>
  <c r="AO7" i="1"/>
  <c r="AO8" i="1"/>
  <c r="B8" i="70" l="1"/>
  <c r="B7" i="70"/>
  <c r="B2" i="69"/>
  <c r="B3" i="69" s="1"/>
  <c r="B2" i="68"/>
  <c r="D2" i="35"/>
  <c r="D2" i="33"/>
  <c r="D2" i="36"/>
  <c r="D2" i="34"/>
  <c r="D2" i="37"/>
  <c r="E2" i="68"/>
  <c r="D2" i="21"/>
  <c r="F20" i="31"/>
  <c r="B2" i="36" l="1"/>
  <c r="B3" i="36" s="1"/>
  <c r="B2" i="35"/>
  <c r="B3" i="35" s="1"/>
  <c r="B2" i="37"/>
  <c r="B3" i="37" s="1"/>
  <c r="B2" i="34"/>
  <c r="B2" i="21"/>
  <c r="B3" i="21" s="1"/>
  <c r="B3" i="68"/>
  <c r="C19" i="9"/>
  <c r="C102" i="9" l="1"/>
  <c r="C21" i="9"/>
  <c r="B3" i="34"/>
  <c r="C20" i="9"/>
  <c r="C103" i="9" l="1"/>
  <c r="D34" i="9"/>
  <c r="R306" i="31" l="1"/>
  <c r="S306" i="31" s="1"/>
  <c r="R305" i="31"/>
  <c r="S305" i="31"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F35" i="15"/>
  <c r="C34" i="15" l="1"/>
  <c r="C31" i="15" s="1"/>
  <c r="C30" i="15" s="1"/>
  <c r="C39" i="15" s="1"/>
  <c r="F63" i="15"/>
  <c r="C62" i="15" s="1"/>
  <c r="C59" i="15" s="1"/>
  <c r="C58" i="15" s="1"/>
  <c r="C67" i="15" s="1"/>
  <c r="C68" i="15" s="1"/>
  <c r="C71" i="15" s="1"/>
  <c r="C80" i="15"/>
  <c r="C79" i="15" s="1"/>
  <c r="M21" i="15"/>
  <c r="C40" i="15" l="1"/>
  <c r="Q69" i="15"/>
  <c r="Q68" i="15" s="1"/>
  <c r="J20" i="15"/>
  <c r="J17" i="15" s="1"/>
  <c r="J16" i="15" s="1"/>
  <c r="J25" i="15" s="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N6" i="3"/>
  <c r="E361" i="3"/>
  <c r="E528" i="3"/>
  <c r="E304" i="3"/>
  <c r="E350" i="3"/>
  <c r="E423" i="3"/>
  <c r="E578" i="3"/>
  <c r="AI6" i="3"/>
  <c r="E570" i="3"/>
  <c r="E358" i="3"/>
  <c r="E359" i="3"/>
  <c r="E410" i="3"/>
  <c r="E555" i="3"/>
  <c r="E302" i="3"/>
  <c r="E426" i="3"/>
  <c r="E305" i="3"/>
  <c r="E343" i="3"/>
  <c r="E530" i="3"/>
  <c r="AD6" i="3"/>
  <c r="AY6" i="3"/>
  <c r="AY157" i="3" s="1"/>
  <c r="I6" i="3"/>
  <c r="I4" i="6"/>
  <c r="G3" i="43" s="1"/>
  <c r="L51" i="15"/>
  <c r="L57" i="15" l="1"/>
  <c r="L60" i="15" s="1"/>
  <c r="Q67" i="15"/>
  <c r="Q65" i="15"/>
  <c r="Q47" i="15"/>
  <c r="Q53" i="15" s="1"/>
  <c r="B2" i="15"/>
  <c r="B3" i="15" s="1"/>
  <c r="C43" i="15"/>
  <c r="C46" i="15"/>
  <c r="Q56" i="15"/>
  <c r="C83" i="15"/>
  <c r="C82" i="15" s="1"/>
  <c r="H6" i="3"/>
  <c r="AC6" i="3"/>
  <c r="D3" i="6"/>
  <c r="D11" i="6" s="1"/>
  <c r="H22" i="43"/>
  <c r="N104" i="46"/>
  <c r="Z7" i="43"/>
  <c r="G22" i="43"/>
  <c r="F22" i="43"/>
  <c r="C23" i="43"/>
  <c r="C21" i="43" s="1"/>
  <c r="L101" i="43"/>
  <c r="D101" i="43"/>
  <c r="I101" i="43"/>
  <c r="H101" i="43"/>
  <c r="M101" i="43"/>
  <c r="E101" i="43"/>
  <c r="G101" i="43"/>
  <c r="J101" i="43"/>
  <c r="K101" i="43"/>
  <c r="N101" i="43"/>
  <c r="F101" i="43"/>
  <c r="C101" i="43"/>
  <c r="Y11" i="43"/>
  <c r="Y13" i="43" s="1"/>
  <c r="AC11" i="43"/>
  <c r="AC13" i="43" s="1"/>
  <c r="AG11" i="43"/>
  <c r="AG13" i="43" s="1"/>
  <c r="E22" i="43"/>
  <c r="D22" i="43" s="1"/>
  <c r="S2" i="43"/>
  <c r="T2" i="43" s="1"/>
  <c r="V2" i="43" s="1"/>
  <c r="S6" i="43"/>
  <c r="T6" i="43" s="1"/>
  <c r="V6" i="43" s="1"/>
  <c r="S7" i="43"/>
  <c r="T7" i="43" s="1"/>
  <c r="V7" i="43" s="1"/>
  <c r="AE11" i="43"/>
  <c r="AE13" i="43" s="1"/>
  <c r="AJ11" i="43"/>
  <c r="AJ13" i="43" s="1"/>
  <c r="S4" i="43"/>
  <c r="T4" i="43" s="1"/>
  <c r="V4" i="43" s="1"/>
  <c r="B113" i="43"/>
  <c r="AH11" i="43"/>
  <c r="AH13" i="43" s="1"/>
  <c r="AD11" i="43"/>
  <c r="AD13" i="43" s="1"/>
  <c r="AI11" i="43"/>
  <c r="AI13" i="43" s="1"/>
  <c r="AA11" i="43"/>
  <c r="AA13" i="43" s="1"/>
  <c r="AF11" i="43"/>
  <c r="AF13" i="43" s="1"/>
  <c r="S3" i="43"/>
  <c r="T3" i="43" s="1"/>
  <c r="V3" i="43" s="1"/>
  <c r="S5" i="43"/>
  <c r="T5" i="43" s="1"/>
  <c r="V5" i="43" s="1"/>
  <c r="Z11" i="43"/>
  <c r="Z13" i="43" s="1"/>
  <c r="AB11" i="43"/>
  <c r="AB13" i="43" s="1"/>
  <c r="H24" i="6"/>
  <c r="H25" i="6"/>
  <c r="H22" i="6"/>
  <c r="D12" i="6"/>
  <c r="E61" i="40"/>
  <c r="F61" i="40" s="1"/>
  <c r="B2" i="40" s="1"/>
  <c r="B3" i="40" s="1"/>
  <c r="D26" i="6"/>
  <c r="H20" i="6"/>
  <c r="R20" i="6" s="1"/>
  <c r="R7" i="1" s="1"/>
  <c r="D25" i="6"/>
  <c r="R25" i="6" s="1"/>
  <c r="D8" i="6"/>
  <c r="AY196" i="3"/>
  <c r="AY204" i="3"/>
  <c r="AY412" i="3"/>
  <c r="AY326" i="3"/>
  <c r="AY105" i="3"/>
  <c r="AY162" i="3"/>
  <c r="AY238" i="3"/>
  <c r="AY72" i="3"/>
  <c r="AY370" i="3"/>
  <c r="AY406" i="3"/>
  <c r="AY83" i="3"/>
  <c r="AY131" i="3"/>
  <c r="AY318" i="3"/>
  <c r="AY160" i="3"/>
  <c r="AY284" i="3"/>
  <c r="AY497" i="3"/>
  <c r="AY478" i="3"/>
  <c r="AY100" i="3"/>
  <c r="AY173" i="3"/>
  <c r="AY227" i="3"/>
  <c r="AY29" i="3"/>
  <c r="AY341" i="3"/>
  <c r="AY419" i="3"/>
  <c r="AY66" i="3"/>
  <c r="AY276" i="3"/>
  <c r="AY470" i="3"/>
  <c r="AY98" i="3"/>
  <c r="AY171" i="3"/>
  <c r="AY163" i="3"/>
  <c r="AY237" i="3"/>
  <c r="AY334" i="3"/>
  <c r="AY526" i="3"/>
  <c r="AY390" i="3"/>
  <c r="AY447" i="3"/>
  <c r="AY574" i="3"/>
  <c r="AY85" i="3"/>
  <c r="AY25"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504" i="3"/>
  <c r="AY459" i="3"/>
  <c r="AY213" i="3"/>
  <c r="AY159" i="3"/>
  <c r="BC6" i="3"/>
  <c r="AY306" i="3"/>
  <c r="AY256" i="3"/>
  <c r="AY179" i="3"/>
  <c r="AY587" i="3"/>
  <c r="AY424" i="3"/>
  <c r="AY376" i="3"/>
  <c r="AY127" i="3"/>
  <c r="AY78" i="3"/>
  <c r="BR6" i="3"/>
  <c r="AY506" i="3"/>
  <c r="AY458" i="3"/>
  <c r="AY344" i="3"/>
  <c r="AY234" i="3"/>
  <c r="AY287" i="3"/>
  <c r="AY158" i="3"/>
  <c r="AY48" i="3"/>
  <c r="AY101" i="3"/>
  <c r="AY494" i="3"/>
  <c r="BG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511" i="3"/>
  <c r="AY490" i="3"/>
  <c r="AY224" i="3"/>
  <c r="AY148" i="3"/>
  <c r="AY91" i="3"/>
  <c r="AY437" i="3"/>
  <c r="AY362" i="3"/>
  <c r="AY285" i="3"/>
  <c r="AY46" i="3"/>
  <c r="AY570" i="3"/>
  <c r="AY499" i="3"/>
  <c r="AY442" i="3"/>
  <c r="AY328" i="3"/>
  <c r="AY223" i="3"/>
  <c r="AY323" i="3"/>
  <c r="AY498" i="3"/>
  <c r="AY367" i="3"/>
  <c r="AY70" i="3"/>
  <c r="AY314" i="3"/>
  <c r="AY187" i="3"/>
  <c r="AY502" i="3"/>
  <c r="AY471" i="3"/>
  <c r="AY251" i="3"/>
  <c r="AY194" i="3"/>
  <c r="AY429" i="3"/>
  <c r="AY354" i="3"/>
  <c r="AY277" i="3"/>
  <c r="AY38" i="3"/>
  <c r="AY560" i="3"/>
  <c r="AY469" i="3"/>
  <c r="AY232" i="3"/>
  <c r="AY156" i="3"/>
  <c r="AY99" i="3"/>
  <c r="AY565" i="3"/>
  <c r="AY423" i="3"/>
  <c r="AY484" i="3"/>
  <c r="AY345" i="3"/>
  <c r="AY550" i="3"/>
  <c r="AY273" i="3"/>
  <c r="AY416" i="3"/>
  <c r="AY119" i="3"/>
  <c r="AY517" i="3"/>
  <c r="AY264" i="3"/>
  <c r="BA6" i="3"/>
  <c r="AY439" i="3"/>
  <c r="AY364" i="3"/>
  <c r="AY137" i="3"/>
  <c r="AY65" i="3"/>
  <c r="AY501" i="3"/>
  <c r="AY15" i="3"/>
  <c r="AY322" i="3"/>
  <c r="AY272" i="3"/>
  <c r="AY195" i="3"/>
  <c r="AY576" i="3"/>
  <c r="AY440" i="3"/>
  <c r="AY383" i="3"/>
  <c r="AY120" i="3"/>
  <c r="AY47" i="3"/>
  <c r="AY530" i="3"/>
  <c r="AY17" i="3"/>
  <c r="AY450" i="3"/>
  <c r="AY336" i="3"/>
  <c r="AY218" i="3"/>
  <c r="AY142" i="3"/>
  <c r="AY49" i="3"/>
  <c r="AY577" i="3"/>
  <c r="AY508"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27" i="3"/>
  <c r="AY466" i="3"/>
  <c r="AY167" i="3"/>
  <c r="AY509" i="3"/>
  <c r="AY468" i="3"/>
  <c r="AY266" i="3"/>
  <c r="AY189" i="3"/>
  <c r="AY519" i="3"/>
  <c r="AY495" i="3"/>
  <c r="AY400" i="3"/>
  <c r="AY351" i="3"/>
  <c r="AY293" i="3"/>
  <c r="AY54" i="3"/>
  <c r="AY547" i="3"/>
  <c r="AY485" i="3"/>
  <c r="AY248" i="3"/>
  <c r="AY172" i="3"/>
  <c r="AY493" i="3"/>
  <c r="AY515" i="3"/>
  <c r="AY415" i="3"/>
  <c r="AY476" i="3"/>
  <c r="AY337" i="3"/>
  <c r="AY267" i="3"/>
  <c r="AY21" i="3"/>
  <c r="AY496" i="3"/>
  <c r="AY571" i="3"/>
  <c r="AY411" i="3"/>
  <c r="AY472" i="3"/>
  <c r="AY333" i="3"/>
  <c r="AY259" i="3"/>
  <c r="AY202" i="3"/>
  <c r="BH6" i="3"/>
  <c r="AY219" i="3"/>
  <c r="AY278" i="3"/>
  <c r="AY165" i="3"/>
  <c r="AY33" i="3"/>
  <c r="AY92" i="3"/>
  <c r="AY569" i="3"/>
  <c r="AY513" i="3"/>
  <c r="AY452" i="3"/>
  <c r="AY342" i="3"/>
  <c r="AY395" i="3"/>
  <c r="AY245" i="3"/>
  <c r="AY405" i="3"/>
  <c r="AY280" i="3"/>
  <c r="AY531" i="3"/>
  <c r="AY426" i="3"/>
  <c r="AY380" i="3"/>
  <c r="AY169" i="3"/>
  <c r="AY96" i="3"/>
  <c r="AY16" i="3"/>
  <c r="AY521" i="3"/>
  <c r="AY307" i="3"/>
  <c r="AY257" i="3"/>
  <c r="AY200" i="3"/>
  <c r="AY568" i="3"/>
  <c r="AY451" i="3"/>
  <c r="AY394" i="3"/>
  <c r="AY151" i="3"/>
  <c r="AY79" i="3"/>
  <c r="AY551" i="3"/>
  <c r="AY505" i="3"/>
  <c r="AY445" i="3"/>
  <c r="AY305" i="3"/>
  <c r="AY250" i="3"/>
  <c r="AY174" i="3"/>
  <c r="AY523" i="3"/>
  <c r="AY510" i="3"/>
  <c r="BQ6" i="3"/>
  <c r="AY462" i="3"/>
  <c r="AY348" i="3"/>
  <c r="AY242" i="3"/>
  <c r="AY166" i="3"/>
  <c r="AY109" i="3"/>
  <c r="AY397" i="3"/>
  <c r="AY247" i="3"/>
  <c r="AY133" i="3"/>
  <c r="AY190" i="3"/>
  <c r="AY61" i="3"/>
  <c r="AY533" i="3"/>
  <c r="AY549" i="3"/>
  <c r="AY420" i="3"/>
  <c r="AY310" i="3"/>
  <c r="AY372" i="3"/>
  <c r="AY260" i="3"/>
  <c r="AY26" i="3"/>
  <c r="AY441" i="3"/>
  <c r="AY473" i="3"/>
  <c r="AY366" i="3"/>
  <c r="AY236" i="3"/>
  <c r="AY168" i="3"/>
  <c r="AY281" i="3"/>
  <c r="AY42" i="3"/>
  <c r="AY124" i="3"/>
  <c r="AY207" i="3"/>
  <c r="AY51" i="3"/>
  <c r="AY518" i="3"/>
  <c r="BN6" i="3"/>
  <c r="AY525" i="3"/>
  <c r="AY435" i="3"/>
  <c r="AY454" i="3"/>
  <c r="AY582" i="3"/>
  <c r="AY432" i="3"/>
  <c r="AY136" i="3"/>
  <c r="AY13" i="3"/>
  <c r="AY233" i="3"/>
  <c r="AY563" i="3"/>
  <c r="AY431" i="3"/>
  <c r="AY352" i="3"/>
  <c r="AY32" i="3"/>
  <c r="AY556" i="3"/>
  <c r="BF6" i="3"/>
  <c r="AY427" i="3"/>
  <c r="AY488" i="3"/>
  <c r="AY349" i="3"/>
  <c r="AY290" i="3"/>
  <c r="AY24" i="3"/>
  <c r="AY554" i="3"/>
  <c r="AY214" i="3"/>
  <c r="AY294" i="3"/>
  <c r="AY138" i="3"/>
  <c r="AY28" i="3"/>
  <c r="AY108" i="3"/>
  <c r="AY512" i="3"/>
  <c r="AY94" i="3"/>
  <c r="AY329" i="3"/>
  <c r="AY80" i="3"/>
  <c r="AY566" i="3"/>
  <c r="AY240" i="3"/>
  <c r="AY107" i="3"/>
  <c r="AY359" i="3"/>
  <c r="AY62" i="3"/>
  <c r="AY538" i="3"/>
  <c r="AY320" i="3"/>
  <c r="AY153" i="3"/>
  <c r="AY543" i="3"/>
  <c r="AY430" i="3"/>
  <c r="AY388" i="3"/>
  <c r="AY73" i="3"/>
  <c r="AY262" i="3"/>
  <c r="AY185" i="3"/>
  <c r="BE6" i="3"/>
  <c r="AY433" i="3"/>
  <c r="AY358" i="3"/>
  <c r="AY86" i="3"/>
  <c r="AY35" i="3"/>
  <c r="AY312" i="3"/>
  <c r="AY37" i="3"/>
  <c r="BT6" i="3"/>
  <c r="AY386" i="3"/>
  <c r="AY71" i="3"/>
  <c r="AY315" i="3"/>
  <c r="AY19" i="3"/>
  <c r="AY522" i="3"/>
  <c r="AY479" i="3"/>
  <c r="AY113" i="3"/>
  <c r="AY532" i="3"/>
  <c r="AY398" i="3"/>
  <c r="AY353" i="3"/>
  <c r="AY56" i="3"/>
  <c r="AY230" i="3"/>
  <c r="AY154" i="3"/>
  <c r="AY97" i="3"/>
  <c r="AY401" i="3"/>
  <c r="AY327" i="3"/>
  <c r="AY300" i="3"/>
  <c r="AY460" i="3"/>
  <c r="AY382" i="3"/>
  <c r="AY111" i="3"/>
  <c r="AY95" i="3"/>
  <c r="AY34" i="3"/>
  <c r="AY527" i="3"/>
  <c r="AY403" i="3"/>
  <c r="AY464" i="3"/>
  <c r="AY308" i="3"/>
  <c r="AY325" i="3"/>
  <c r="AY393" i="3"/>
  <c r="AY243" i="3"/>
  <c r="AY130" i="3"/>
  <c r="AY186" i="3"/>
  <c r="AY57" i="3"/>
  <c r="BI6" i="3"/>
  <c r="AY365" i="3"/>
  <c r="AY211" i="3"/>
  <c r="AY254" i="3"/>
  <c r="AY271" i="3"/>
  <c r="AY567" i="3"/>
  <c r="AY375" i="3"/>
  <c r="AY39" i="3"/>
  <c r="AY330" i="3"/>
  <c r="AY203" i="3"/>
  <c r="AY575" i="3"/>
  <c r="AY492" i="3"/>
  <c r="AY298" i="3"/>
  <c r="AY112" i="3"/>
  <c r="AY559" i="3"/>
  <c r="BM6" i="3"/>
  <c r="AY446" i="3"/>
  <c r="AY332" i="3"/>
  <c r="AY210" i="3"/>
  <c r="AY177" i="3"/>
  <c r="AY104" i="3"/>
  <c r="AY381" i="3"/>
  <c r="AY231" i="3"/>
  <c r="AY118" i="3"/>
  <c r="AY201" i="3"/>
  <c r="AY45" i="3"/>
  <c r="AY541" i="3"/>
  <c r="AY221" i="3"/>
  <c r="AY407" i="3"/>
  <c r="AY129" i="3"/>
  <c r="AY584" i="3"/>
  <c r="AY477" i="3"/>
  <c r="AY164" i="3"/>
  <c r="AY408" i="3"/>
  <c r="AY301" i="3"/>
  <c r="AY545" i="3"/>
  <c r="AY434" i="3"/>
  <c r="AY396" i="3"/>
  <c r="AY81" i="3"/>
  <c r="AY585" i="3"/>
  <c r="AY316" i="3"/>
  <c r="AY145" i="3"/>
  <c r="AY374" i="3"/>
  <c r="AY125" i="3"/>
  <c r="AY76" i="3"/>
  <c r="BK6" i="3"/>
  <c r="AY465" i="3"/>
  <c r="AY228" i="3"/>
  <c r="AY331" i="3"/>
  <c r="AY14" i="3"/>
  <c r="AY282" i="3"/>
  <c r="AY514" i="3"/>
  <c r="AY443" i="3"/>
  <c r="AY143" i="3"/>
  <c r="AY500" i="3"/>
  <c r="AY265" i="3"/>
  <c r="BP6" i="3"/>
  <c r="AY402" i="3"/>
  <c r="AY361" i="3"/>
  <c r="AY64" i="3"/>
  <c r="AY534" i="3"/>
  <c r="AY475" i="3"/>
  <c r="AY295" i="3"/>
  <c r="AY360" i="3"/>
  <c r="AY283" i="3"/>
  <c r="AY44" i="3"/>
  <c r="AY544" i="3"/>
  <c r="AY463" i="3"/>
  <c r="AY217" i="3"/>
  <c r="AY529" i="3"/>
  <c r="AY303" i="3"/>
  <c r="AY253" i="3"/>
  <c r="AY152" i="3"/>
  <c r="AY144" i="3"/>
  <c r="AY87" i="3"/>
  <c r="AY516" i="3"/>
  <c r="AY422"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103" i="3"/>
  <c r="AY409" i="3"/>
  <c r="AY335" i="3"/>
  <c r="AY297" i="3"/>
  <c r="AY188" i="3"/>
  <c r="AY176" i="3"/>
  <c r="AY552" i="3"/>
  <c r="AY580" i="3"/>
  <c r="AY438" i="3"/>
  <c r="AY324" i="3"/>
  <c r="AY215" i="3"/>
  <c r="AY161" i="3"/>
  <c r="AY88" i="3"/>
  <c r="AY373" i="3"/>
  <c r="AY270" i="3"/>
  <c r="AY134" i="3"/>
  <c r="AY193" i="3"/>
  <c r="AY84" i="3"/>
  <c r="AY539" i="3"/>
  <c r="AY417" i="3"/>
  <c r="AY343" i="3"/>
  <c r="AY116" i="3"/>
  <c r="AY455" i="3"/>
  <c r="AY209" i="3"/>
  <c r="AY261" i="3"/>
  <c r="AY289" i="3"/>
  <c r="AY50" i="3"/>
  <c r="AY428" i="3"/>
  <c r="AY371" i="3"/>
  <c r="AY58" i="3"/>
  <c r="AY59" i="3"/>
  <c r="AY23" i="3"/>
  <c r="AY520" i="3"/>
  <c r="AY503" i="3"/>
  <c r="AY449" i="3"/>
  <c r="AY309" i="3"/>
  <c r="AY258" i="3"/>
  <c r="AY181" i="3"/>
  <c r="BB6" i="3"/>
  <c r="AY384" i="3"/>
  <c r="AY255" i="3"/>
  <c r="AY141" i="3"/>
  <c r="AY198" i="3"/>
  <c r="AY69" i="3"/>
  <c r="AY540" i="3"/>
  <c r="AY436" i="3"/>
  <c r="AY379" i="3"/>
  <c r="AY43" i="3"/>
  <c r="AY489" i="3"/>
  <c r="AY252" i="3"/>
  <c r="AY123" i="3"/>
  <c r="AY139" i="3"/>
  <c r="AY67" i="3"/>
  <c r="AY74" i="3"/>
  <c r="AY363" i="3"/>
  <c r="AY229" i="3"/>
  <c r="AY557" i="3"/>
  <c r="AY52" i="3"/>
  <c r="AY291" i="3"/>
  <c r="AY368" i="3"/>
  <c r="AY121" i="3"/>
  <c r="AY483" i="3"/>
  <c r="AY572" i="3"/>
  <c r="AY155" i="3"/>
  <c r="AY268" i="3"/>
  <c r="AY106" i="3"/>
  <c r="AY183" i="3"/>
  <c r="AY319" i="3"/>
  <c r="AY212" i="3"/>
  <c r="AY573" i="3"/>
  <c r="AY20" i="3"/>
  <c r="AY286" i="3"/>
  <c r="AY507" i="3"/>
  <c r="AY275" i="3"/>
  <c r="AY480" i="3"/>
  <c r="AY536" i="3"/>
  <c r="AY115" i="3"/>
  <c r="AY225" i="3"/>
  <c r="AY180" i="3"/>
  <c r="AY18" i="3"/>
  <c r="AY90" i="3"/>
  <c r="AY75" i="3"/>
  <c r="AY387" i="3"/>
  <c r="AY444" i="3"/>
  <c r="AY269" i="3"/>
  <c r="AY311" i="3"/>
  <c r="AY535" i="3"/>
  <c r="AY555" i="3"/>
  <c r="AY68" i="3"/>
  <c r="AY178" i="3"/>
  <c r="AY117" i="3"/>
  <c r="Q66" i="15" l="1"/>
  <c r="Q75" i="15" s="1"/>
  <c r="Q57" i="15"/>
  <c r="Q62" i="15" s="1"/>
  <c r="D15" i="6"/>
  <c r="D29" i="6"/>
  <c r="D13" i="6"/>
  <c r="H23" i="6"/>
  <c r="E6" i="3"/>
  <c r="C18" i="4"/>
  <c r="A7" i="51" s="1"/>
  <c r="B7" i="72" s="1"/>
  <c r="H19" i="6"/>
  <c r="R19" i="6" s="1"/>
  <c r="D28" i="6"/>
  <c r="D30" i="6" s="1"/>
  <c r="D24" i="6"/>
  <c r="R24" i="6" s="1"/>
  <c r="D23" i="6"/>
  <c r="R23" i="6" s="1"/>
  <c r="D22" i="6"/>
  <c r="R22" i="6" s="1"/>
  <c r="D21" i="6"/>
  <c r="D6" i="6"/>
  <c r="D14" i="6"/>
  <c r="H26" i="6"/>
  <c r="R26" i="6" s="1"/>
  <c r="D5" i="6"/>
  <c r="H21" i="6"/>
  <c r="D10" i="6"/>
  <c r="D9" i="6"/>
  <c r="C4" i="52"/>
  <c r="B45" i="72" s="1"/>
  <c r="B115" i="43"/>
  <c r="B116" i="43"/>
  <c r="C116" i="43" s="1"/>
  <c r="B117" i="43"/>
  <c r="C117" i="43" s="1"/>
  <c r="D116" i="43"/>
  <c r="E116" i="43" s="1"/>
  <c r="F116" i="43" s="1"/>
  <c r="G116" i="43" s="1"/>
  <c r="H116" i="43" s="1"/>
  <c r="I115" i="43"/>
  <c r="J115" i="43" s="1"/>
  <c r="K115" i="43" s="1"/>
  <c r="L115" i="43" s="1"/>
  <c r="M115" i="43" s="1"/>
  <c r="D118" i="43"/>
  <c r="E118" i="43" s="1"/>
  <c r="F118" i="43" s="1"/>
  <c r="I117" i="43"/>
  <c r="J117" i="43" s="1"/>
  <c r="K117" i="43" s="1"/>
  <c r="L117" i="43" s="1"/>
  <c r="M117" i="43" s="1"/>
  <c r="D117" i="43"/>
  <c r="E117" i="43" s="1"/>
  <c r="F117" i="43" s="1"/>
  <c r="G117" i="43" s="1"/>
  <c r="H117" i="43" s="1"/>
  <c r="I116" i="43"/>
  <c r="J116" i="43" s="1"/>
  <c r="K116" i="43" s="1"/>
  <c r="L116" i="43" s="1"/>
  <c r="M116" i="43" s="1"/>
  <c r="I118" i="43"/>
  <c r="J118" i="43" s="1"/>
  <c r="K118" i="43" s="1"/>
  <c r="L118" i="43" s="1"/>
  <c r="M118" i="43" s="1"/>
  <c r="D115" i="43"/>
  <c r="E115" i="43" s="1"/>
  <c r="F115" i="43" s="1"/>
  <c r="G115" i="43" s="1"/>
  <c r="H115" i="43" s="1"/>
  <c r="G118" i="43"/>
  <c r="H118" i="43" s="1"/>
  <c r="B118" i="43"/>
  <c r="C118" i="43" s="1"/>
  <c r="F109" i="43"/>
  <c r="F107" i="43"/>
  <c r="F106" i="43"/>
  <c r="F102" i="43"/>
  <c r="F104" i="43"/>
  <c r="F105" i="43"/>
  <c r="F103" i="43"/>
  <c r="K102" i="43"/>
  <c r="K109" i="43"/>
  <c r="K106" i="43"/>
  <c r="K105" i="43"/>
  <c r="K103" i="43"/>
  <c r="K107" i="43"/>
  <c r="K104" i="43"/>
  <c r="G104" i="43"/>
  <c r="G102" i="43"/>
  <c r="G103" i="43"/>
  <c r="G107" i="43"/>
  <c r="G105" i="43"/>
  <c r="G109" i="43"/>
  <c r="G106" i="43"/>
  <c r="M107" i="43"/>
  <c r="M102" i="43"/>
  <c r="M104" i="43"/>
  <c r="M103" i="43"/>
  <c r="M109" i="43"/>
  <c r="M105" i="43"/>
  <c r="M106" i="43"/>
  <c r="I106" i="43"/>
  <c r="I104" i="43"/>
  <c r="I102" i="43"/>
  <c r="I105" i="43"/>
  <c r="I109" i="43"/>
  <c r="I103" i="43"/>
  <c r="I107" i="43"/>
  <c r="L105" i="43"/>
  <c r="L106" i="43"/>
  <c r="L102" i="43"/>
  <c r="L103" i="43"/>
  <c r="L109" i="43"/>
  <c r="L104" i="43"/>
  <c r="L107" i="43"/>
  <c r="C106" i="43"/>
  <c r="C103" i="43"/>
  <c r="C109" i="43"/>
  <c r="C107" i="43"/>
  <c r="C104" i="43"/>
  <c r="C102" i="43"/>
  <c r="C105" i="43"/>
  <c r="N107" i="43"/>
  <c r="N109" i="43"/>
  <c r="N105" i="43"/>
  <c r="N106" i="43"/>
  <c r="N102" i="43"/>
  <c r="N104" i="43"/>
  <c r="N103" i="43"/>
  <c r="J107" i="43"/>
  <c r="J106" i="43"/>
  <c r="J102" i="43"/>
  <c r="J109" i="43"/>
  <c r="J104" i="43"/>
  <c r="J105" i="43"/>
  <c r="J103" i="43"/>
  <c r="E105" i="43"/>
  <c r="E106" i="43"/>
  <c r="E107" i="43"/>
  <c r="E104" i="43"/>
  <c r="E102" i="43"/>
  <c r="E109" i="43"/>
  <c r="E103" i="43"/>
  <c r="H106" i="43"/>
  <c r="H103" i="43"/>
  <c r="H107" i="43"/>
  <c r="H109" i="43"/>
  <c r="H102" i="43"/>
  <c r="H104" i="43"/>
  <c r="H105" i="43"/>
  <c r="D104" i="43"/>
  <c r="D105" i="43"/>
  <c r="D103" i="43"/>
  <c r="D102" i="43"/>
  <c r="D109" i="43"/>
  <c r="D107" i="43"/>
  <c r="D106" i="43"/>
  <c r="C29" i="43"/>
  <c r="A10" i="51" l="1"/>
  <c r="B9" i="72" s="1"/>
  <c r="R21" i="6"/>
  <c r="H27" i="6"/>
  <c r="D16" i="6"/>
  <c r="D27" i="6"/>
  <c r="D31" i="6" s="1"/>
  <c r="I6" i="6" s="1"/>
  <c r="E29" i="43"/>
  <c r="C26" i="43" s="1"/>
  <c r="C30" i="43"/>
  <c r="E30" i="43" s="1"/>
  <c r="C27" i="43" s="1"/>
  <c r="R27" i="6"/>
  <c r="R6" i="1"/>
  <c r="C115" i="43"/>
  <c r="D113" i="43" s="1"/>
  <c r="J22" i="43" s="1"/>
  <c r="F35" i="67"/>
  <c r="E6" i="76"/>
  <c r="M21" i="67"/>
  <c r="C34" i="67" l="1"/>
  <c r="C31" i="67" s="1"/>
  <c r="C30" i="67" s="1"/>
  <c r="C39" i="67" s="1"/>
  <c r="F63" i="67"/>
  <c r="C62" i="67" s="1"/>
  <c r="C59" i="67" s="1"/>
  <c r="C58" i="67" s="1"/>
  <c r="C67" i="67" s="1"/>
  <c r="C68" i="67" s="1"/>
  <c r="J20" i="67"/>
  <c r="J17" i="67" s="1"/>
  <c r="J16" i="67" s="1"/>
  <c r="J25" i="67" s="1"/>
  <c r="R16" i="1"/>
  <c r="I5" i="6"/>
  <c r="E2" i="76"/>
  <c r="B2" i="43"/>
  <c r="L51" i="67"/>
  <c r="B6" i="76"/>
  <c r="Q67" i="67" l="1"/>
  <c r="C71" i="67"/>
  <c r="Q69" i="67"/>
  <c r="Q68" i="67" s="1"/>
  <c r="C80" i="67"/>
  <c r="C79" i="67" s="1"/>
  <c r="C40" i="67"/>
  <c r="B2" i="76"/>
  <c r="B3" i="76" s="1"/>
  <c r="B3" i="43"/>
  <c r="C83" i="67" l="1"/>
  <c r="C82" i="67" s="1"/>
  <c r="C43" i="67"/>
  <c r="Q65" i="67"/>
  <c r="Q75" i="67" s="1"/>
  <c r="Q47" i="67"/>
  <c r="Q53" i="67" s="1"/>
  <c r="Q56" i="67"/>
  <c r="Q62" i="67" s="1"/>
  <c r="D2" i="67"/>
  <c r="C45" i="67"/>
  <c r="C46" i="67" s="1"/>
  <c r="B2" i="67" l="1"/>
  <c r="B3" i="67"/>
  <c r="D19" i="9"/>
  <c r="D20" i="9"/>
  <c r="AO6" i="1"/>
  <c r="B6" i="70" l="1"/>
  <c r="B2" i="70" s="1"/>
  <c r="B3" i="70" s="1"/>
  <c r="D102" i="9"/>
  <c r="G19" i="9"/>
  <c r="D22" i="9"/>
  <c r="D21" i="9"/>
  <c r="D103" i="9"/>
  <c r="G20" i="9"/>
  <c r="R24" i="31" s="1"/>
  <c r="L6" i="81" s="1"/>
  <c r="R307" i="31" l="1"/>
  <c r="S307" i="31" s="1"/>
  <c r="R274" i="31"/>
  <c r="R278" i="31"/>
  <c r="R282" i="31"/>
  <c r="R286" i="31"/>
  <c r="R290" i="31"/>
  <c r="R294" i="31"/>
  <c r="R298" i="31"/>
  <c r="R302" i="31"/>
  <c r="R275" i="31"/>
  <c r="R279" i="31"/>
  <c r="R283" i="31"/>
  <c r="R287" i="31"/>
  <c r="R291" i="31"/>
  <c r="R295" i="31"/>
  <c r="R299" i="31"/>
  <c r="R303" i="31"/>
  <c r="R149" i="31"/>
  <c r="L131" i="81" s="1"/>
  <c r="R153" i="31"/>
  <c r="L135" i="81" s="1"/>
  <c r="R157" i="31"/>
  <c r="L139" i="81" s="1"/>
  <c r="R161" i="31"/>
  <c r="L143" i="81" s="1"/>
  <c r="R165" i="31"/>
  <c r="L147" i="81" s="1"/>
  <c r="R169" i="31"/>
  <c r="L151" i="81" s="1"/>
  <c r="R173" i="31"/>
  <c r="L155" i="81" s="1"/>
  <c r="R177" i="31"/>
  <c r="L159" i="81" s="1"/>
  <c r="R181" i="31"/>
  <c r="L163" i="81" s="1"/>
  <c r="R185" i="31"/>
  <c r="L167" i="81" s="1"/>
  <c r="R189" i="31"/>
  <c r="L171" i="81" s="1"/>
  <c r="R193" i="31"/>
  <c r="L175" i="81" s="1"/>
  <c r="R197" i="31"/>
  <c r="L179" i="81" s="1"/>
  <c r="R201" i="31"/>
  <c r="L183" i="81" s="1"/>
  <c r="R205" i="31"/>
  <c r="L187" i="81" s="1"/>
  <c r="R209" i="31"/>
  <c r="L191" i="81" s="1"/>
  <c r="R213" i="31"/>
  <c r="L195" i="81" s="1"/>
  <c r="R217" i="31"/>
  <c r="L199" i="81" s="1"/>
  <c r="R221" i="31"/>
  <c r="L203" i="81" s="1"/>
  <c r="R225" i="31"/>
  <c r="L207" i="81" s="1"/>
  <c r="R229" i="31"/>
  <c r="L211" i="81" s="1"/>
  <c r="R233" i="31"/>
  <c r="L215" i="81" s="1"/>
  <c r="R237" i="31"/>
  <c r="L219" i="81" s="1"/>
  <c r="R241" i="31"/>
  <c r="L223" i="81" s="1"/>
  <c r="R245" i="31"/>
  <c r="L227" i="81" s="1"/>
  <c r="R249" i="31"/>
  <c r="L231" i="81" s="1"/>
  <c r="R253" i="31"/>
  <c r="L235" i="81" s="1"/>
  <c r="R257" i="31"/>
  <c r="L239" i="81" s="1"/>
  <c r="R261" i="31"/>
  <c r="L243" i="81" s="1"/>
  <c r="R265" i="31"/>
  <c r="L247" i="81" s="1"/>
  <c r="R269" i="31"/>
  <c r="L251" i="81" s="1"/>
  <c r="R148" i="31"/>
  <c r="L130" i="81" s="1"/>
  <c r="R152" i="31"/>
  <c r="L134" i="81" s="1"/>
  <c r="R156" i="31"/>
  <c r="L138" i="81" s="1"/>
  <c r="R160" i="31"/>
  <c r="L142" i="81" s="1"/>
  <c r="R164" i="31"/>
  <c r="L146" i="81" s="1"/>
  <c r="R168" i="31"/>
  <c r="L150" i="81" s="1"/>
  <c r="R172" i="31"/>
  <c r="L154" i="81" s="1"/>
  <c r="R176" i="31"/>
  <c r="L158" i="81" s="1"/>
  <c r="R180" i="31"/>
  <c r="L162" i="81" s="1"/>
  <c r="R184" i="31"/>
  <c r="L166" i="81" s="1"/>
  <c r="R188" i="31"/>
  <c r="L170" i="81" s="1"/>
  <c r="R192" i="31"/>
  <c r="L174" i="81" s="1"/>
  <c r="R196" i="31"/>
  <c r="L178" i="81" s="1"/>
  <c r="R200" i="31"/>
  <c r="L182" i="81" s="1"/>
  <c r="R204" i="31"/>
  <c r="L186" i="81" s="1"/>
  <c r="R208" i="31"/>
  <c r="L190" i="81" s="1"/>
  <c r="R212" i="31"/>
  <c r="L194" i="81" s="1"/>
  <c r="R216" i="31"/>
  <c r="L198" i="81" s="1"/>
  <c r="R220" i="31"/>
  <c r="L202" i="81" s="1"/>
  <c r="R224" i="31"/>
  <c r="L206" i="81" s="1"/>
  <c r="R228" i="31"/>
  <c r="L210" i="81" s="1"/>
  <c r="R232" i="31"/>
  <c r="L214" i="81" s="1"/>
  <c r="R236" i="31"/>
  <c r="L218" i="81" s="1"/>
  <c r="R240" i="31"/>
  <c r="L222" i="81" s="1"/>
  <c r="R244" i="31"/>
  <c r="L226" i="81" s="1"/>
  <c r="R248" i="31"/>
  <c r="L230" i="81" s="1"/>
  <c r="R252" i="31"/>
  <c r="L234" i="81" s="1"/>
  <c r="R256" i="31"/>
  <c r="L238" i="81" s="1"/>
  <c r="R260" i="31"/>
  <c r="L242" i="81" s="1"/>
  <c r="R264" i="31"/>
  <c r="L246" i="81" s="1"/>
  <c r="R268" i="31"/>
  <c r="L250" i="81" s="1"/>
  <c r="R272" i="31"/>
  <c r="L254" i="81" s="1"/>
  <c r="S24" i="31"/>
  <c r="M6" i="81" s="1"/>
  <c r="R57" i="31"/>
  <c r="R72" i="31"/>
  <c r="R108" i="31"/>
  <c r="R40" i="31"/>
  <c r="R89" i="31"/>
  <c r="R276" i="31"/>
  <c r="R280" i="31"/>
  <c r="R284" i="31"/>
  <c r="R288" i="31"/>
  <c r="R292" i="31"/>
  <c r="R296" i="31"/>
  <c r="R300" i="31"/>
  <c r="R304" i="31"/>
  <c r="R273" i="31"/>
  <c r="R277" i="31"/>
  <c r="R281" i="31"/>
  <c r="R285" i="31"/>
  <c r="R289" i="31"/>
  <c r="R293" i="31"/>
  <c r="R297" i="31"/>
  <c r="R301" i="31"/>
  <c r="R151" i="31"/>
  <c r="L133" i="81" s="1"/>
  <c r="R155" i="31"/>
  <c r="L137" i="81" s="1"/>
  <c r="R159" i="31"/>
  <c r="L141" i="81" s="1"/>
  <c r="R163" i="31"/>
  <c r="L145" i="81" s="1"/>
  <c r="R167" i="31"/>
  <c r="L149" i="81" s="1"/>
  <c r="R171" i="31"/>
  <c r="L153" i="81" s="1"/>
  <c r="R175" i="31"/>
  <c r="L157" i="81" s="1"/>
  <c r="R179" i="31"/>
  <c r="L161" i="81" s="1"/>
  <c r="R183" i="31"/>
  <c r="L165" i="81" s="1"/>
  <c r="R187" i="31"/>
  <c r="L169" i="81" s="1"/>
  <c r="R191" i="31"/>
  <c r="L173" i="81" s="1"/>
  <c r="R195" i="31"/>
  <c r="L177" i="81" s="1"/>
  <c r="R199" i="31"/>
  <c r="L181" i="81" s="1"/>
  <c r="R203" i="31"/>
  <c r="L185" i="81" s="1"/>
  <c r="R207" i="31"/>
  <c r="L189" i="81" s="1"/>
  <c r="R211" i="31"/>
  <c r="L193" i="81" s="1"/>
  <c r="R215" i="31"/>
  <c r="L197" i="81" s="1"/>
  <c r="R219" i="31"/>
  <c r="L201" i="81" s="1"/>
  <c r="R223" i="31"/>
  <c r="L205" i="81" s="1"/>
  <c r="R227" i="31"/>
  <c r="L209" i="81" s="1"/>
  <c r="R231" i="31"/>
  <c r="L213" i="81" s="1"/>
  <c r="R235" i="31"/>
  <c r="L217" i="81" s="1"/>
  <c r="R239" i="31"/>
  <c r="L221" i="81" s="1"/>
  <c r="R243" i="31"/>
  <c r="L225" i="81" s="1"/>
  <c r="R247" i="31"/>
  <c r="L229" i="81" s="1"/>
  <c r="R251" i="31"/>
  <c r="L233" i="81" s="1"/>
  <c r="R255" i="31"/>
  <c r="L237" i="81" s="1"/>
  <c r="R259" i="31"/>
  <c r="L241" i="81" s="1"/>
  <c r="R263" i="31"/>
  <c r="L245" i="81" s="1"/>
  <c r="R267" i="31"/>
  <c r="L249" i="81" s="1"/>
  <c r="R271" i="31"/>
  <c r="L253" i="81" s="1"/>
  <c r="R150" i="31"/>
  <c r="L132" i="81" s="1"/>
  <c r="R154" i="31"/>
  <c r="L136" i="81" s="1"/>
  <c r="R158" i="31"/>
  <c r="L140" i="81" s="1"/>
  <c r="R162" i="31"/>
  <c r="L144" i="81" s="1"/>
  <c r="R166" i="31"/>
  <c r="L148" i="81" s="1"/>
  <c r="R170" i="31"/>
  <c r="L152" i="81" s="1"/>
  <c r="R174" i="31"/>
  <c r="L156" i="81" s="1"/>
  <c r="R178" i="31"/>
  <c r="L160" i="81" s="1"/>
  <c r="R182" i="31"/>
  <c r="L164" i="81" s="1"/>
  <c r="R186" i="31"/>
  <c r="L168" i="81" s="1"/>
  <c r="R190" i="31"/>
  <c r="L172" i="81" s="1"/>
  <c r="R194" i="31"/>
  <c r="L176" i="81" s="1"/>
  <c r="R198" i="31"/>
  <c r="L180" i="81" s="1"/>
  <c r="R202" i="31"/>
  <c r="L184" i="81" s="1"/>
  <c r="R206" i="31"/>
  <c r="L188" i="81" s="1"/>
  <c r="R210" i="31"/>
  <c r="L192" i="81" s="1"/>
  <c r="R214" i="31"/>
  <c r="L196" i="81" s="1"/>
  <c r="R218" i="31"/>
  <c r="L200" i="81" s="1"/>
  <c r="R222" i="31"/>
  <c r="L204" i="81" s="1"/>
  <c r="R226" i="31"/>
  <c r="L208" i="81" s="1"/>
  <c r="R230" i="31"/>
  <c r="L212" i="81" s="1"/>
  <c r="R234" i="31"/>
  <c r="L216" i="81" s="1"/>
  <c r="R238" i="31"/>
  <c r="L220" i="81" s="1"/>
  <c r="R242" i="31"/>
  <c r="L224" i="81" s="1"/>
  <c r="R246" i="31"/>
  <c r="L228" i="81" s="1"/>
  <c r="R250" i="31"/>
  <c r="L232" i="81" s="1"/>
  <c r="R254" i="31"/>
  <c r="L236" i="81" s="1"/>
  <c r="R258" i="31"/>
  <c r="L240" i="81" s="1"/>
  <c r="R262" i="31"/>
  <c r="L244" i="81" s="1"/>
  <c r="R266" i="31"/>
  <c r="L248" i="81" s="1"/>
  <c r="R270" i="31"/>
  <c r="L252" i="81" s="1"/>
  <c r="R147" i="31"/>
  <c r="L129" i="81" s="1"/>
  <c r="R129" i="31"/>
  <c r="R124" i="31"/>
  <c r="R122" i="31"/>
  <c r="R140" i="31"/>
  <c r="R25" i="31"/>
  <c r="R111" i="31"/>
  <c r="R38" i="31"/>
  <c r="R145" i="31"/>
  <c r="R88" i="31"/>
  <c r="R73" i="31"/>
  <c r="R138" i="31"/>
  <c r="R86" i="31"/>
  <c r="R132" i="31"/>
  <c r="R121" i="31"/>
  <c r="R32" i="31"/>
  <c r="R64" i="31"/>
  <c r="R96" i="31"/>
  <c r="R49" i="31"/>
  <c r="R81" i="31"/>
  <c r="R114" i="31"/>
  <c r="R146" i="31"/>
  <c r="R143" i="31"/>
  <c r="R39" i="31"/>
  <c r="R102" i="31"/>
  <c r="R135" i="31"/>
  <c r="R46" i="31"/>
  <c r="R78" i="31"/>
  <c r="R31" i="31"/>
  <c r="R63" i="31"/>
  <c r="R112" i="31"/>
  <c r="R128" i="31"/>
  <c r="R144" i="31"/>
  <c r="R117" i="31"/>
  <c r="R133" i="31"/>
  <c r="R28" i="31"/>
  <c r="R44" i="31"/>
  <c r="R60" i="31"/>
  <c r="R76" i="31"/>
  <c r="R92" i="31"/>
  <c r="R29" i="31"/>
  <c r="R45" i="31"/>
  <c r="R61" i="31"/>
  <c r="R77" i="31"/>
  <c r="R93" i="31"/>
  <c r="R110" i="31"/>
  <c r="R126" i="31"/>
  <c r="R142" i="31"/>
  <c r="R115" i="31"/>
  <c r="R131" i="31"/>
  <c r="R26" i="31"/>
  <c r="R42" i="31"/>
  <c r="R58" i="31"/>
  <c r="R74" i="31"/>
  <c r="R90" i="31"/>
  <c r="R27" i="31"/>
  <c r="R43" i="31"/>
  <c r="R71" i="31"/>
  <c r="R83" i="31"/>
  <c r="R103" i="31"/>
  <c r="R113" i="31"/>
  <c r="R56" i="31"/>
  <c r="R41" i="31"/>
  <c r="R106" i="31"/>
  <c r="R127" i="31"/>
  <c r="R116" i="31"/>
  <c r="R105" i="31"/>
  <c r="R137" i="31"/>
  <c r="R48" i="31"/>
  <c r="R80" i="31"/>
  <c r="R33" i="31"/>
  <c r="R65" i="31"/>
  <c r="R97" i="31"/>
  <c r="R130" i="31"/>
  <c r="R119" i="31"/>
  <c r="R54" i="31"/>
  <c r="R70" i="31"/>
  <c r="R55" i="31"/>
  <c r="R30" i="31"/>
  <c r="R62" i="31"/>
  <c r="R94" i="31"/>
  <c r="R47" i="31"/>
  <c r="R104" i="31"/>
  <c r="R120" i="31"/>
  <c r="R136" i="31"/>
  <c r="R109" i="31"/>
  <c r="R125" i="31"/>
  <c r="R141" i="31"/>
  <c r="R36" i="31"/>
  <c r="R52" i="31"/>
  <c r="R68" i="31"/>
  <c r="R84" i="31"/>
  <c r="R100" i="31"/>
  <c r="R37" i="31"/>
  <c r="R53" i="31"/>
  <c r="R69" i="31"/>
  <c r="R85" i="31"/>
  <c r="R101" i="31"/>
  <c r="R118" i="31"/>
  <c r="R134" i="31"/>
  <c r="R107" i="31"/>
  <c r="R123" i="31"/>
  <c r="R139" i="31"/>
  <c r="R34" i="31"/>
  <c r="R50" i="31"/>
  <c r="R66" i="31"/>
  <c r="R82" i="31"/>
  <c r="R98" i="31"/>
  <c r="R35" i="31"/>
  <c r="R51" i="31"/>
  <c r="R79" i="31"/>
  <c r="R91" i="31"/>
  <c r="R75" i="31"/>
  <c r="R99" i="31"/>
  <c r="R95" i="31"/>
  <c r="R59" i="31"/>
  <c r="R67" i="31"/>
  <c r="R87" i="31"/>
  <c r="G21" i="9"/>
  <c r="C32" i="9"/>
  <c r="S87" i="31" l="1"/>
  <c r="M69" i="81" s="1"/>
  <c r="L69" i="81"/>
  <c r="S99" i="31"/>
  <c r="M81" i="81" s="1"/>
  <c r="L81" i="81"/>
  <c r="S91" i="31"/>
  <c r="M73" i="81" s="1"/>
  <c r="L73" i="81"/>
  <c r="S51" i="31"/>
  <c r="M33" i="81" s="1"/>
  <c r="L33" i="81"/>
  <c r="S98" i="31"/>
  <c r="M80" i="81" s="1"/>
  <c r="L80" i="81"/>
  <c r="S66" i="31"/>
  <c r="M48" i="81" s="1"/>
  <c r="L48" i="81"/>
  <c r="S34" i="31"/>
  <c r="M16" i="81" s="1"/>
  <c r="L16" i="81"/>
  <c r="S123" i="31"/>
  <c r="M105" i="81" s="1"/>
  <c r="L105" i="81"/>
  <c r="S134" i="31"/>
  <c r="M116" i="81" s="1"/>
  <c r="L116" i="81"/>
  <c r="S101" i="31"/>
  <c r="M83" i="81" s="1"/>
  <c r="L83" i="81"/>
  <c r="S69" i="31"/>
  <c r="M51" i="81" s="1"/>
  <c r="L51" i="81"/>
  <c r="S37" i="31"/>
  <c r="M19" i="81" s="1"/>
  <c r="L19" i="81"/>
  <c r="S84" i="31"/>
  <c r="M66" i="81" s="1"/>
  <c r="L66" i="81"/>
  <c r="S52" i="31"/>
  <c r="M34" i="81" s="1"/>
  <c r="L34" i="81"/>
  <c r="S141" i="31"/>
  <c r="M123" i="81" s="1"/>
  <c r="L123" i="81"/>
  <c r="S109" i="31"/>
  <c r="M91" i="81" s="1"/>
  <c r="L91" i="81"/>
  <c r="S120" i="31"/>
  <c r="M102" i="81" s="1"/>
  <c r="L102" i="81"/>
  <c r="S47" i="31"/>
  <c r="M29" i="81" s="1"/>
  <c r="L29" i="81"/>
  <c r="S62" i="31"/>
  <c r="M44" i="81" s="1"/>
  <c r="L44" i="81"/>
  <c r="S55" i="31"/>
  <c r="M37" i="81" s="1"/>
  <c r="L37" i="81"/>
  <c r="S54" i="31"/>
  <c r="M36" i="81" s="1"/>
  <c r="L36" i="81"/>
  <c r="S130" i="31"/>
  <c r="M112" i="81" s="1"/>
  <c r="L112" i="81"/>
  <c r="S65" i="31"/>
  <c r="M47" i="81" s="1"/>
  <c r="L47" i="81"/>
  <c r="S80" i="31"/>
  <c r="M62" i="81" s="1"/>
  <c r="L62" i="81"/>
  <c r="S137" i="31"/>
  <c r="M119" i="81" s="1"/>
  <c r="L119" i="81"/>
  <c r="S116" i="31"/>
  <c r="M98" i="81" s="1"/>
  <c r="L98" i="81"/>
  <c r="S106" i="31"/>
  <c r="M88" i="81" s="1"/>
  <c r="L88" i="81"/>
  <c r="S56" i="31"/>
  <c r="M38" i="81" s="1"/>
  <c r="L38" i="81"/>
  <c r="S103" i="31"/>
  <c r="M85" i="81" s="1"/>
  <c r="L85" i="81"/>
  <c r="S71" i="31"/>
  <c r="M53" i="81" s="1"/>
  <c r="L53" i="81"/>
  <c r="S27" i="31"/>
  <c r="M9" i="81" s="1"/>
  <c r="L9" i="81"/>
  <c r="S74" i="31"/>
  <c r="M56" i="81" s="1"/>
  <c r="L56" i="81"/>
  <c r="S42" i="31"/>
  <c r="M24" i="81" s="1"/>
  <c r="L24" i="81"/>
  <c r="S131" i="31"/>
  <c r="M113" i="81" s="1"/>
  <c r="L113" i="81"/>
  <c r="S142" i="31"/>
  <c r="M124" i="81" s="1"/>
  <c r="L124" i="81"/>
  <c r="S110" i="31"/>
  <c r="M92" i="81" s="1"/>
  <c r="L92" i="81"/>
  <c r="S77" i="31"/>
  <c r="M59" i="81" s="1"/>
  <c r="L59" i="81"/>
  <c r="S45" i="31"/>
  <c r="M27" i="81" s="1"/>
  <c r="L27" i="81"/>
  <c r="S92" i="31"/>
  <c r="M74" i="81" s="1"/>
  <c r="L74" i="81"/>
  <c r="S60" i="31"/>
  <c r="M42" i="81" s="1"/>
  <c r="L42" i="81"/>
  <c r="S28" i="31"/>
  <c r="M10" i="81" s="1"/>
  <c r="L10" i="81"/>
  <c r="S117" i="31"/>
  <c r="M99" i="81" s="1"/>
  <c r="L99" i="81"/>
  <c r="S128" i="31"/>
  <c r="M110" i="81" s="1"/>
  <c r="L110" i="81"/>
  <c r="S63" i="31"/>
  <c r="M45" i="81" s="1"/>
  <c r="L45" i="81"/>
  <c r="S78" i="31"/>
  <c r="M60" i="81" s="1"/>
  <c r="L60" i="81"/>
  <c r="S135" i="31"/>
  <c r="M117" i="81" s="1"/>
  <c r="L117" i="81"/>
  <c r="S39" i="31"/>
  <c r="M21" i="81" s="1"/>
  <c r="L21" i="81"/>
  <c r="S146" i="31"/>
  <c r="M128" i="81" s="1"/>
  <c r="L128" i="81"/>
  <c r="S81" i="31"/>
  <c r="M63" i="81" s="1"/>
  <c r="L63" i="81"/>
  <c r="S96" i="31"/>
  <c r="M78" i="81" s="1"/>
  <c r="L78" i="81"/>
  <c r="S32" i="31"/>
  <c r="M14" i="81" s="1"/>
  <c r="L14" i="81"/>
  <c r="S132" i="31"/>
  <c r="M114" i="81" s="1"/>
  <c r="L114" i="81"/>
  <c r="S138" i="31"/>
  <c r="M120" i="81" s="1"/>
  <c r="L120" i="81"/>
  <c r="S88" i="31"/>
  <c r="M70" i="81" s="1"/>
  <c r="L70" i="81"/>
  <c r="S38" i="31"/>
  <c r="M20" i="81" s="1"/>
  <c r="L20" i="81"/>
  <c r="S25" i="31"/>
  <c r="M7" i="81" s="1"/>
  <c r="L7" i="81"/>
  <c r="S122" i="31"/>
  <c r="M104" i="81" s="1"/>
  <c r="L104" i="81"/>
  <c r="S129" i="31"/>
  <c r="M111" i="81" s="1"/>
  <c r="L111" i="81"/>
  <c r="S301" i="31"/>
  <c r="M283" i="81" s="1"/>
  <c r="L283" i="81"/>
  <c r="S293" i="31"/>
  <c r="M275" i="81" s="1"/>
  <c r="L275" i="81"/>
  <c r="S285" i="31"/>
  <c r="M267" i="81" s="1"/>
  <c r="L267" i="81"/>
  <c r="S277" i="31"/>
  <c r="M259" i="81" s="1"/>
  <c r="L259" i="81"/>
  <c r="S304" i="31"/>
  <c r="M286" i="81" s="1"/>
  <c r="L286" i="81"/>
  <c r="S296" i="31"/>
  <c r="M278" i="81" s="1"/>
  <c r="L278" i="81"/>
  <c r="S288" i="31"/>
  <c r="M270" i="81" s="1"/>
  <c r="L270" i="81"/>
  <c r="S280" i="31"/>
  <c r="M262" i="81" s="1"/>
  <c r="L262" i="81"/>
  <c r="S89" i="31"/>
  <c r="M71" i="81" s="1"/>
  <c r="L71" i="81"/>
  <c r="S108" i="31"/>
  <c r="M90" i="81" s="1"/>
  <c r="L90" i="81"/>
  <c r="S57" i="31"/>
  <c r="M39" i="81" s="1"/>
  <c r="L39" i="81"/>
  <c r="S299" i="31"/>
  <c r="M281" i="81" s="1"/>
  <c r="L281" i="81"/>
  <c r="S291" i="31"/>
  <c r="M273" i="81" s="1"/>
  <c r="L273" i="81"/>
  <c r="S283" i="31"/>
  <c r="M265" i="81" s="1"/>
  <c r="L265" i="81"/>
  <c r="S275" i="31"/>
  <c r="M257" i="81" s="1"/>
  <c r="L257" i="81"/>
  <c r="S298" i="31"/>
  <c r="M280" i="81" s="1"/>
  <c r="L280" i="81"/>
  <c r="S290" i="31"/>
  <c r="M272" i="81" s="1"/>
  <c r="L272" i="81"/>
  <c r="S282" i="31"/>
  <c r="M264" i="81" s="1"/>
  <c r="L264" i="81"/>
  <c r="S274" i="31"/>
  <c r="M256" i="81" s="1"/>
  <c r="L256" i="81"/>
  <c r="S59" i="31"/>
  <c r="M41" i="81" s="1"/>
  <c r="L41" i="81"/>
  <c r="S67" i="31"/>
  <c r="M49" i="81" s="1"/>
  <c r="L49" i="81"/>
  <c r="S95" i="31"/>
  <c r="M77" i="81" s="1"/>
  <c r="L77" i="81"/>
  <c r="S75" i="31"/>
  <c r="M57" i="81" s="1"/>
  <c r="L57" i="81"/>
  <c r="S79" i="31"/>
  <c r="M61" i="81" s="1"/>
  <c r="L61" i="81"/>
  <c r="S35" i="31"/>
  <c r="M17" i="81" s="1"/>
  <c r="L17" i="81"/>
  <c r="S82" i="31"/>
  <c r="M64" i="81" s="1"/>
  <c r="L64" i="81"/>
  <c r="S50" i="31"/>
  <c r="M32" i="81" s="1"/>
  <c r="L32" i="81"/>
  <c r="S139" i="31"/>
  <c r="M121" i="81" s="1"/>
  <c r="L121" i="81"/>
  <c r="S107" i="31"/>
  <c r="M89" i="81" s="1"/>
  <c r="L89" i="81"/>
  <c r="S118" i="31"/>
  <c r="M100" i="81" s="1"/>
  <c r="L100" i="81"/>
  <c r="S85" i="31"/>
  <c r="M67" i="81" s="1"/>
  <c r="L67" i="81"/>
  <c r="S53" i="31"/>
  <c r="M35" i="81" s="1"/>
  <c r="L35" i="81"/>
  <c r="S100" i="31"/>
  <c r="M82" i="81" s="1"/>
  <c r="L82" i="81"/>
  <c r="S68" i="31"/>
  <c r="M50" i="81" s="1"/>
  <c r="L50" i="81"/>
  <c r="S36" i="31"/>
  <c r="M18" i="81" s="1"/>
  <c r="L18" i="81"/>
  <c r="S125" i="31"/>
  <c r="M107" i="81" s="1"/>
  <c r="L107" i="81"/>
  <c r="S136" i="31"/>
  <c r="M118" i="81" s="1"/>
  <c r="L118" i="81"/>
  <c r="S104" i="31"/>
  <c r="M86" i="81" s="1"/>
  <c r="L86" i="81"/>
  <c r="S94" i="31"/>
  <c r="M76" i="81" s="1"/>
  <c r="L76" i="81"/>
  <c r="S30" i="31"/>
  <c r="M12" i="81" s="1"/>
  <c r="L12" i="81"/>
  <c r="S70" i="31"/>
  <c r="M52" i="81" s="1"/>
  <c r="L52" i="81"/>
  <c r="S119" i="31"/>
  <c r="M101" i="81" s="1"/>
  <c r="L101" i="81"/>
  <c r="S97" i="31"/>
  <c r="M79" i="81" s="1"/>
  <c r="L79" i="81"/>
  <c r="S33" i="31"/>
  <c r="M15" i="81" s="1"/>
  <c r="L15" i="81"/>
  <c r="S48" i="31"/>
  <c r="M30" i="81" s="1"/>
  <c r="L30" i="81"/>
  <c r="S105" i="31"/>
  <c r="M87" i="81" s="1"/>
  <c r="L87" i="81"/>
  <c r="S127" i="31"/>
  <c r="M109" i="81" s="1"/>
  <c r="L109" i="81"/>
  <c r="S41" i="31"/>
  <c r="M23" i="81" s="1"/>
  <c r="L23" i="81"/>
  <c r="S113" i="31"/>
  <c r="M95" i="81" s="1"/>
  <c r="L95" i="81"/>
  <c r="S83" i="31"/>
  <c r="M65" i="81" s="1"/>
  <c r="L65" i="81"/>
  <c r="S43" i="31"/>
  <c r="M25" i="81" s="1"/>
  <c r="L25" i="81"/>
  <c r="S90" i="31"/>
  <c r="M72" i="81" s="1"/>
  <c r="L72" i="81"/>
  <c r="S58" i="31"/>
  <c r="M40" i="81" s="1"/>
  <c r="L40" i="81"/>
  <c r="S26" i="31"/>
  <c r="M8" i="81" s="1"/>
  <c r="L8" i="81"/>
  <c r="S115" i="31"/>
  <c r="M97" i="81" s="1"/>
  <c r="L97" i="81"/>
  <c r="S126" i="31"/>
  <c r="M108" i="81" s="1"/>
  <c r="L108" i="81"/>
  <c r="S93" i="31"/>
  <c r="M75" i="81" s="1"/>
  <c r="L75" i="81"/>
  <c r="S61" i="31"/>
  <c r="M43" i="81" s="1"/>
  <c r="L43" i="81"/>
  <c r="S29" i="31"/>
  <c r="M11" i="81" s="1"/>
  <c r="L11" i="81"/>
  <c r="S76" i="31"/>
  <c r="M58" i="81" s="1"/>
  <c r="L58" i="81"/>
  <c r="S44" i="31"/>
  <c r="M26" i="81" s="1"/>
  <c r="L26" i="81"/>
  <c r="S133" i="31"/>
  <c r="M115" i="81" s="1"/>
  <c r="L115" i="81"/>
  <c r="S144" i="31"/>
  <c r="M126" i="81" s="1"/>
  <c r="L126" i="81"/>
  <c r="S112" i="31"/>
  <c r="M94" i="81" s="1"/>
  <c r="L94" i="81"/>
  <c r="S31" i="31"/>
  <c r="M13" i="81" s="1"/>
  <c r="L13" i="81"/>
  <c r="S46" i="31"/>
  <c r="M28" i="81" s="1"/>
  <c r="L28" i="81"/>
  <c r="S102" i="31"/>
  <c r="M84" i="81" s="1"/>
  <c r="L84" i="81"/>
  <c r="S143" i="31"/>
  <c r="M125" i="81" s="1"/>
  <c r="L125" i="81"/>
  <c r="S114" i="31"/>
  <c r="M96" i="81" s="1"/>
  <c r="L96" i="81"/>
  <c r="S49" i="31"/>
  <c r="M31" i="81" s="1"/>
  <c r="L31" i="81"/>
  <c r="S64" i="31"/>
  <c r="M46" i="81" s="1"/>
  <c r="L46" i="81"/>
  <c r="S121" i="31"/>
  <c r="M103" i="81" s="1"/>
  <c r="L103" i="81"/>
  <c r="S86" i="31"/>
  <c r="M68" i="81" s="1"/>
  <c r="L68" i="81"/>
  <c r="S73" i="31"/>
  <c r="M55" i="81" s="1"/>
  <c r="L55" i="81"/>
  <c r="S145" i="31"/>
  <c r="M127" i="81" s="1"/>
  <c r="L127" i="81"/>
  <c r="S111" i="31"/>
  <c r="M93" i="81" s="1"/>
  <c r="L93" i="81"/>
  <c r="S140" i="31"/>
  <c r="M122" i="81" s="1"/>
  <c r="L122" i="81"/>
  <c r="S124" i="31"/>
  <c r="M106" i="81" s="1"/>
  <c r="L106" i="81"/>
  <c r="S297" i="31"/>
  <c r="M279" i="81" s="1"/>
  <c r="L279" i="81"/>
  <c r="S289" i="31"/>
  <c r="M271" i="81" s="1"/>
  <c r="L271" i="81"/>
  <c r="S281" i="31"/>
  <c r="M263" i="81" s="1"/>
  <c r="L263" i="81"/>
  <c r="S273" i="31"/>
  <c r="M255" i="81" s="1"/>
  <c r="L255" i="81"/>
  <c r="S300" i="31"/>
  <c r="M282" i="81" s="1"/>
  <c r="L282" i="81"/>
  <c r="S292" i="31"/>
  <c r="M274" i="81" s="1"/>
  <c r="L274" i="81"/>
  <c r="S284" i="31"/>
  <c r="M266" i="81" s="1"/>
  <c r="L266" i="81"/>
  <c r="S276" i="31"/>
  <c r="M258" i="81" s="1"/>
  <c r="L258" i="81"/>
  <c r="S40" i="31"/>
  <c r="M22" i="81" s="1"/>
  <c r="L22" i="81"/>
  <c r="S72" i="31"/>
  <c r="M54" i="81" s="1"/>
  <c r="L54" i="81"/>
  <c r="S303" i="31"/>
  <c r="M285" i="81" s="1"/>
  <c r="L285" i="81"/>
  <c r="S295" i="31"/>
  <c r="M277" i="81" s="1"/>
  <c r="L277" i="81"/>
  <c r="S287" i="31"/>
  <c r="M269" i="81" s="1"/>
  <c r="L269" i="81"/>
  <c r="S279" i="31"/>
  <c r="M261" i="81" s="1"/>
  <c r="L261" i="81"/>
  <c r="S302" i="31"/>
  <c r="M284" i="81" s="1"/>
  <c r="L284" i="81"/>
  <c r="S294" i="31"/>
  <c r="M276" i="81" s="1"/>
  <c r="L276" i="81"/>
  <c r="S286" i="31"/>
  <c r="M268" i="81" s="1"/>
  <c r="L268" i="81"/>
  <c r="S278" i="31"/>
  <c r="M260" i="81" s="1"/>
  <c r="L260" i="81"/>
  <c r="C35" i="9"/>
  <c r="F118" i="9" s="1"/>
  <c r="H118" i="9"/>
  <c r="S270" i="31"/>
  <c r="J129" i="80"/>
  <c r="S262" i="31"/>
  <c r="J121" i="80"/>
  <c r="S254" i="31"/>
  <c r="J113" i="80"/>
  <c r="S246" i="31"/>
  <c r="J105" i="80"/>
  <c r="S238" i="31"/>
  <c r="J97" i="80"/>
  <c r="S230" i="31"/>
  <c r="J89" i="80"/>
  <c r="S222" i="31"/>
  <c r="J81" i="80"/>
  <c r="S214" i="31"/>
  <c r="J73" i="80"/>
  <c r="S206" i="31"/>
  <c r="J65" i="80"/>
  <c r="S198" i="31"/>
  <c r="J57" i="80"/>
  <c r="S190" i="31"/>
  <c r="J49" i="80"/>
  <c r="S182" i="31"/>
  <c r="J41" i="80"/>
  <c r="S174" i="31"/>
  <c r="J33" i="80"/>
  <c r="S166" i="31"/>
  <c r="J25" i="80"/>
  <c r="S158" i="31"/>
  <c r="J17" i="80"/>
  <c r="S150" i="31"/>
  <c r="J9" i="80"/>
  <c r="S267" i="31"/>
  <c r="J126" i="80"/>
  <c r="S259" i="31"/>
  <c r="J118" i="80"/>
  <c r="S251" i="31"/>
  <c r="J110" i="80"/>
  <c r="S243" i="31"/>
  <c r="J102" i="80"/>
  <c r="S235" i="31"/>
  <c r="J94" i="80"/>
  <c r="S227" i="31"/>
  <c r="J86" i="80"/>
  <c r="S219" i="31"/>
  <c r="J78" i="80"/>
  <c r="S211" i="31"/>
  <c r="J70" i="80"/>
  <c r="S203" i="31"/>
  <c r="J62" i="80"/>
  <c r="S195" i="31"/>
  <c r="J54" i="80"/>
  <c r="S187" i="31"/>
  <c r="J46" i="80"/>
  <c r="S179" i="31"/>
  <c r="J38" i="80"/>
  <c r="S171" i="31"/>
  <c r="J30" i="80"/>
  <c r="S163" i="31"/>
  <c r="J22" i="80"/>
  <c r="S155" i="31"/>
  <c r="J14" i="80"/>
  <c r="S272" i="31"/>
  <c r="J131" i="80"/>
  <c r="S264" i="31"/>
  <c r="J123" i="80"/>
  <c r="S256" i="31"/>
  <c r="J115" i="80"/>
  <c r="S248" i="31"/>
  <c r="J107" i="80"/>
  <c r="S240" i="31"/>
  <c r="J99" i="80"/>
  <c r="S232" i="31"/>
  <c r="J91" i="80"/>
  <c r="S224" i="31"/>
  <c r="J83" i="80"/>
  <c r="S216" i="31"/>
  <c r="J75" i="80"/>
  <c r="S208" i="31"/>
  <c r="J67" i="80"/>
  <c r="S200" i="31"/>
  <c r="J59" i="80"/>
  <c r="S192" i="31"/>
  <c r="J51" i="80"/>
  <c r="S184" i="31"/>
  <c r="J43" i="80"/>
  <c r="J35" i="80"/>
  <c r="S176" i="31"/>
  <c r="J27" i="80"/>
  <c r="S168" i="31"/>
  <c r="J19" i="80"/>
  <c r="S160" i="31"/>
  <c r="J11" i="80"/>
  <c r="S152" i="31"/>
  <c r="J128" i="80"/>
  <c r="S269" i="31"/>
  <c r="J120" i="80"/>
  <c r="S261" i="31"/>
  <c r="J112" i="80"/>
  <c r="S253" i="31"/>
  <c r="J104" i="80"/>
  <c r="S245" i="31"/>
  <c r="J96" i="80"/>
  <c r="S237" i="31"/>
  <c r="J88" i="80"/>
  <c r="S229" i="31"/>
  <c r="J80" i="80"/>
  <c r="S221" i="31"/>
  <c r="J72" i="80"/>
  <c r="S213" i="31"/>
  <c r="J64" i="80"/>
  <c r="S205" i="31"/>
  <c r="J56" i="80"/>
  <c r="S197" i="31"/>
  <c r="J48" i="80"/>
  <c r="S189" i="31"/>
  <c r="J40" i="80"/>
  <c r="S181" i="31"/>
  <c r="J32" i="80"/>
  <c r="S173" i="31"/>
  <c r="J24" i="80"/>
  <c r="S165" i="31"/>
  <c r="J16" i="80"/>
  <c r="S157" i="31"/>
  <c r="J8" i="80"/>
  <c r="S149" i="31"/>
  <c r="J6" i="80"/>
  <c r="S147" i="31"/>
  <c r="S266" i="31"/>
  <c r="J125" i="80"/>
  <c r="S258" i="31"/>
  <c r="J117" i="80"/>
  <c r="S250" i="31"/>
  <c r="J109" i="80"/>
  <c r="S242" i="31"/>
  <c r="J101" i="80"/>
  <c r="S234" i="31"/>
  <c r="J93" i="80"/>
  <c r="S226" i="31"/>
  <c r="J85" i="80"/>
  <c r="S218" i="31"/>
  <c r="J77" i="80"/>
  <c r="S210" i="31"/>
  <c r="J69" i="80"/>
  <c r="S202" i="31"/>
  <c r="J61" i="80"/>
  <c r="S194" i="31"/>
  <c r="J53" i="80"/>
  <c r="S186" i="31"/>
  <c r="J45" i="80"/>
  <c r="S178" i="31"/>
  <c r="J37" i="80"/>
  <c r="S170" i="31"/>
  <c r="J29" i="80"/>
  <c r="S162" i="31"/>
  <c r="J21" i="80"/>
  <c r="S154" i="31"/>
  <c r="J13" i="80"/>
  <c r="S271" i="31"/>
  <c r="J130" i="80"/>
  <c r="S263" i="31"/>
  <c r="J122" i="80"/>
  <c r="S255" i="31"/>
  <c r="J114" i="80"/>
  <c r="S247" i="31"/>
  <c r="J106" i="80"/>
  <c r="S239" i="31"/>
  <c r="J98" i="80"/>
  <c r="S231" i="31"/>
  <c r="J90" i="80"/>
  <c r="S223" i="31"/>
  <c r="J82" i="80"/>
  <c r="S215" i="31"/>
  <c r="J74" i="80"/>
  <c r="S207" i="31"/>
  <c r="J66" i="80"/>
  <c r="S199" i="31"/>
  <c r="J58" i="80"/>
  <c r="S191" i="31"/>
  <c r="J50" i="80"/>
  <c r="S183" i="31"/>
  <c r="J42" i="80"/>
  <c r="S175" i="31"/>
  <c r="J34" i="80"/>
  <c r="S167" i="31"/>
  <c r="J26" i="80"/>
  <c r="S159" i="31"/>
  <c r="J18" i="80"/>
  <c r="S151" i="31"/>
  <c r="J10" i="80"/>
  <c r="S268" i="31"/>
  <c r="J127" i="80"/>
  <c r="S260" i="31"/>
  <c r="J119" i="80"/>
  <c r="S252" i="31"/>
  <c r="J111" i="80"/>
  <c r="S244" i="31"/>
  <c r="J103" i="80"/>
  <c r="S236" i="31"/>
  <c r="J95" i="80"/>
  <c r="S228" i="31"/>
  <c r="J87" i="80"/>
  <c r="S220" i="31"/>
  <c r="J79" i="80"/>
  <c r="S212" i="31"/>
  <c r="J71" i="80"/>
  <c r="S204" i="31"/>
  <c r="J63" i="80"/>
  <c r="S196" i="31"/>
  <c r="J55" i="80"/>
  <c r="S188" i="31"/>
  <c r="J47" i="80"/>
  <c r="J39" i="80"/>
  <c r="S180" i="31"/>
  <c r="J31" i="80"/>
  <c r="S172" i="31"/>
  <c r="J23" i="80"/>
  <c r="S164" i="31"/>
  <c r="J15" i="80"/>
  <c r="S156" i="31"/>
  <c r="J7" i="80"/>
  <c r="S148" i="31"/>
  <c r="J124" i="80"/>
  <c r="S265" i="31"/>
  <c r="J116" i="80"/>
  <c r="S257" i="31"/>
  <c r="J108" i="80"/>
  <c r="S249" i="31"/>
  <c r="J100" i="80"/>
  <c r="S241" i="31"/>
  <c r="J92" i="80"/>
  <c r="S233" i="31"/>
  <c r="J84" i="80"/>
  <c r="S225" i="31"/>
  <c r="J76" i="80"/>
  <c r="S217" i="31"/>
  <c r="J68" i="80"/>
  <c r="S209" i="31"/>
  <c r="J60" i="80"/>
  <c r="S201" i="31"/>
  <c r="J52" i="80"/>
  <c r="S193" i="31"/>
  <c r="J44" i="80"/>
  <c r="S185" i="31"/>
  <c r="J36" i="80"/>
  <c r="S177" i="31"/>
  <c r="J28" i="80"/>
  <c r="S169" i="31"/>
  <c r="J20" i="80"/>
  <c r="S161" i="31"/>
  <c r="J12" i="80"/>
  <c r="S153" i="31"/>
  <c r="K55" i="80" l="1"/>
  <c r="M178" i="81"/>
  <c r="K71" i="80"/>
  <c r="M194" i="81"/>
  <c r="K87" i="80"/>
  <c r="M210" i="81"/>
  <c r="K103" i="80"/>
  <c r="M226" i="81"/>
  <c r="K119" i="80"/>
  <c r="M242" i="81"/>
  <c r="K18" i="80"/>
  <c r="M141" i="81"/>
  <c r="K34" i="80"/>
  <c r="M157" i="81"/>
  <c r="K50" i="80"/>
  <c r="M173" i="81"/>
  <c r="K66" i="80"/>
  <c r="M189" i="81"/>
  <c r="K82" i="80"/>
  <c r="M205" i="81"/>
  <c r="K90" i="80"/>
  <c r="M213" i="81"/>
  <c r="K106" i="80"/>
  <c r="M229" i="81"/>
  <c r="K114" i="80"/>
  <c r="M237" i="81"/>
  <c r="K122" i="80"/>
  <c r="M245" i="81"/>
  <c r="K130" i="80"/>
  <c r="M253" i="81"/>
  <c r="K13" i="80"/>
  <c r="M136" i="81"/>
  <c r="K21" i="80"/>
  <c r="M144" i="81"/>
  <c r="K29" i="80"/>
  <c r="M152" i="81"/>
  <c r="K37" i="80"/>
  <c r="M160" i="81"/>
  <c r="K45" i="80"/>
  <c r="M168" i="81"/>
  <c r="K53" i="80"/>
  <c r="M176" i="81"/>
  <c r="K61" i="80"/>
  <c r="M184" i="81"/>
  <c r="K69" i="80"/>
  <c r="M192" i="81"/>
  <c r="K77" i="80"/>
  <c r="M200" i="81"/>
  <c r="K85" i="80"/>
  <c r="M208" i="81"/>
  <c r="K93" i="80"/>
  <c r="M216" i="81"/>
  <c r="K101" i="80"/>
  <c r="M224" i="81"/>
  <c r="K109" i="80"/>
  <c r="M232" i="81"/>
  <c r="K117" i="80"/>
  <c r="M240" i="81"/>
  <c r="K125" i="80"/>
  <c r="M248" i="81"/>
  <c r="K43" i="80"/>
  <c r="M166" i="81"/>
  <c r="K51" i="80"/>
  <c r="M174" i="81"/>
  <c r="K59" i="80"/>
  <c r="M182" i="81"/>
  <c r="K67" i="80"/>
  <c r="M190" i="81"/>
  <c r="K75" i="80"/>
  <c r="M198" i="81"/>
  <c r="K83" i="80"/>
  <c r="M206" i="81"/>
  <c r="K91" i="80"/>
  <c r="M214" i="81"/>
  <c r="K99" i="80"/>
  <c r="M222" i="81"/>
  <c r="K107" i="80"/>
  <c r="M230" i="81"/>
  <c r="K115" i="80"/>
  <c r="M238" i="81"/>
  <c r="K123" i="80"/>
  <c r="M246" i="81"/>
  <c r="K131" i="80"/>
  <c r="M254" i="81"/>
  <c r="K14" i="80"/>
  <c r="M137" i="81"/>
  <c r="K22" i="80"/>
  <c r="M145" i="81"/>
  <c r="K30" i="80"/>
  <c r="M153" i="81"/>
  <c r="K38" i="80"/>
  <c r="M161" i="81"/>
  <c r="K46" i="80"/>
  <c r="M169" i="81"/>
  <c r="K54" i="80"/>
  <c r="M177" i="81"/>
  <c r="K62" i="80"/>
  <c r="M185" i="81"/>
  <c r="K70" i="80"/>
  <c r="M193" i="81"/>
  <c r="K78" i="80"/>
  <c r="M201" i="81"/>
  <c r="K86" i="80"/>
  <c r="M209" i="81"/>
  <c r="K94" i="80"/>
  <c r="M217" i="81"/>
  <c r="K102" i="80"/>
  <c r="M225" i="81"/>
  <c r="K110" i="80"/>
  <c r="M233" i="81"/>
  <c r="K118" i="80"/>
  <c r="M241" i="81"/>
  <c r="K126" i="80"/>
  <c r="M249" i="81"/>
  <c r="K9" i="80"/>
  <c r="M132" i="81"/>
  <c r="K17" i="80"/>
  <c r="M140" i="81"/>
  <c r="K25" i="80"/>
  <c r="M148" i="81"/>
  <c r="K33" i="80"/>
  <c r="M156" i="81"/>
  <c r="K41" i="80"/>
  <c r="M164" i="81"/>
  <c r="K49" i="80"/>
  <c r="M172" i="81"/>
  <c r="K57" i="80"/>
  <c r="M180" i="81"/>
  <c r="K65" i="80"/>
  <c r="M188" i="81"/>
  <c r="K73" i="80"/>
  <c r="M196" i="81"/>
  <c r="K81" i="80"/>
  <c r="M204" i="81"/>
  <c r="K89" i="80"/>
  <c r="M212" i="81"/>
  <c r="K97" i="80"/>
  <c r="M220" i="81"/>
  <c r="K105" i="80"/>
  <c r="M228" i="81"/>
  <c r="K113" i="80"/>
  <c r="M236" i="81"/>
  <c r="K121" i="80"/>
  <c r="M244" i="81"/>
  <c r="K129" i="80"/>
  <c r="M252" i="81"/>
  <c r="K47" i="80"/>
  <c r="M170" i="81"/>
  <c r="K63" i="80"/>
  <c r="M186" i="81"/>
  <c r="K79" i="80"/>
  <c r="M202" i="81"/>
  <c r="K95" i="80"/>
  <c r="M218" i="81"/>
  <c r="K111" i="80"/>
  <c r="M234" i="81"/>
  <c r="K127" i="80"/>
  <c r="M250" i="81"/>
  <c r="K10" i="80"/>
  <c r="M133" i="81"/>
  <c r="K26" i="80"/>
  <c r="M149" i="81"/>
  <c r="K42" i="80"/>
  <c r="M165" i="81"/>
  <c r="K58" i="80"/>
  <c r="M181" i="81"/>
  <c r="K74" i="80"/>
  <c r="M197" i="81"/>
  <c r="K98" i="80"/>
  <c r="M221" i="81"/>
  <c r="K12" i="80"/>
  <c r="M135" i="81"/>
  <c r="K20" i="80"/>
  <c r="M143" i="81"/>
  <c r="K28" i="80"/>
  <c r="M151" i="81"/>
  <c r="K36" i="80"/>
  <c r="M159" i="81"/>
  <c r="K44" i="80"/>
  <c r="M167" i="81"/>
  <c r="K52" i="80"/>
  <c r="M175" i="81"/>
  <c r="K60" i="80"/>
  <c r="M183" i="81"/>
  <c r="K68" i="80"/>
  <c r="M191" i="81"/>
  <c r="K76" i="80"/>
  <c r="M199" i="81"/>
  <c r="K84" i="80"/>
  <c r="M207" i="81"/>
  <c r="K92" i="80"/>
  <c r="M215" i="81"/>
  <c r="K100" i="80"/>
  <c r="M223" i="81"/>
  <c r="K108" i="80"/>
  <c r="M231" i="81"/>
  <c r="K116" i="80"/>
  <c r="M239" i="81"/>
  <c r="K124" i="80"/>
  <c r="M247" i="81"/>
  <c r="K7" i="80"/>
  <c r="M130" i="81"/>
  <c r="K15" i="80"/>
  <c r="M138" i="81"/>
  <c r="K23" i="80"/>
  <c r="M146" i="81"/>
  <c r="K31" i="80"/>
  <c r="M154" i="81"/>
  <c r="K39" i="80"/>
  <c r="M162" i="81"/>
  <c r="K6" i="80"/>
  <c r="M129" i="81"/>
  <c r="K8" i="80"/>
  <c r="M131" i="81"/>
  <c r="K16" i="80"/>
  <c r="M139" i="81"/>
  <c r="K24" i="80"/>
  <c r="M147" i="81"/>
  <c r="K32" i="80"/>
  <c r="M155" i="81"/>
  <c r="K40" i="80"/>
  <c r="M163" i="81"/>
  <c r="K48" i="80"/>
  <c r="M171" i="81"/>
  <c r="K56" i="80"/>
  <c r="M179" i="81"/>
  <c r="K64" i="80"/>
  <c r="M187" i="81"/>
  <c r="K72" i="80"/>
  <c r="M195" i="81"/>
  <c r="K80" i="80"/>
  <c r="M203" i="81"/>
  <c r="K88" i="80"/>
  <c r="M211" i="81"/>
  <c r="K96" i="80"/>
  <c r="M219" i="81"/>
  <c r="K104" i="80"/>
  <c r="M227" i="81"/>
  <c r="K112" i="80"/>
  <c r="M235" i="81"/>
  <c r="K120" i="80"/>
  <c r="M243" i="81"/>
  <c r="K128" i="80"/>
  <c r="M251" i="81"/>
  <c r="K11" i="80"/>
  <c r="M134" i="81"/>
  <c r="K19" i="80"/>
  <c r="M142" i="81"/>
  <c r="K27" i="80"/>
  <c r="M150" i="81"/>
  <c r="K35" i="80"/>
  <c r="M158" i="81"/>
  <c r="S22" i="31"/>
  <c r="C34" i="9"/>
  <c r="D118" i="9" s="1"/>
  <c r="C104" i="9"/>
  <c r="H119" i="9"/>
  <c r="H5" i="52" s="1"/>
  <c r="I118" i="9"/>
  <c r="D14" i="74"/>
  <c r="H101" i="9"/>
  <c r="H4" i="52"/>
  <c r="G118" i="9"/>
  <c r="G4" i="52" s="1"/>
  <c r="B52" i="72" s="1"/>
  <c r="F4" i="52"/>
  <c r="B51" i="72" s="1"/>
  <c r="F119" i="9"/>
  <c r="F5" i="52" s="1"/>
  <c r="B53" i="72" s="1"/>
  <c r="M287" i="81" l="1"/>
  <c r="E14" i="74"/>
  <c r="B5" i="74"/>
  <c r="F14" i="74"/>
  <c r="D119" i="9"/>
  <c r="D5" i="52" s="1"/>
  <c r="B49" i="72" s="1"/>
  <c r="D4" i="52"/>
  <c r="B47" i="72" s="1"/>
  <c r="M48" i="9"/>
  <c r="H107" i="9"/>
  <c r="D45" i="9"/>
  <c r="D5" i="53"/>
  <c r="C105" i="9"/>
  <c r="I4" i="52"/>
  <c r="H102" i="9"/>
  <c r="D7" i="53" s="1"/>
  <c r="B21" i="72" s="1"/>
  <c r="E118" i="9"/>
  <c r="E4" i="52" s="1"/>
  <c r="B48" i="72" s="1"/>
  <c r="B20" i="31"/>
  <c r="R22" i="31"/>
  <c r="B21" i="31" s="1"/>
  <c r="B20" i="72" l="1"/>
  <c r="D6" i="53"/>
  <c r="B22" i="72" s="1"/>
  <c r="D53" i="9"/>
  <c r="C93" i="9"/>
  <c r="C86" i="9" s="1"/>
  <c r="C78" i="9"/>
  <c r="C73" i="9" s="1"/>
  <c r="C72" i="9"/>
  <c r="C64" i="9"/>
  <c r="C63" i="9" s="1"/>
  <c r="C67" i="9" s="1"/>
  <c r="C68" i="9" s="1"/>
  <c r="D54" i="9" s="1"/>
  <c r="D52" i="9"/>
  <c r="C85" i="9"/>
  <c r="D55" i="9"/>
  <c r="M53" i="9" s="1"/>
  <c r="D5" i="74"/>
  <c r="C5" i="74"/>
  <c r="H108" i="9"/>
  <c r="D15" i="53" s="1"/>
  <c r="B31" i="72" s="1"/>
  <c r="D122" i="9"/>
  <c r="D13" i="53"/>
  <c r="C79" i="9" l="1"/>
  <c r="G14" i="74"/>
  <c r="B6" i="74" s="1"/>
  <c r="D123" i="9"/>
  <c r="D9" i="52" s="1"/>
  <c r="D8" i="52"/>
  <c r="C80" i="9"/>
  <c r="E80" i="9" s="1"/>
  <c r="E81" i="9" s="1"/>
  <c r="D14" i="53"/>
  <c r="B32" i="72" s="1"/>
  <c r="B30" i="72"/>
  <c r="C95" i="9"/>
  <c r="C96" i="9" l="1"/>
  <c r="E96" i="9" s="1"/>
  <c r="E97" i="9" s="1"/>
  <c r="C81" i="9"/>
  <c r="D6" i="74"/>
  <c r="C6" i="74"/>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<sst xmlns="http://schemas.openxmlformats.org/spreadsheetml/2006/main" count="11916" uniqueCount="4627">
  <si>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</si>
  <si>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</si>
  <si>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</si>
  <si>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</si>
  <si>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</si>
  <si>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</si>
  <si>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</si>
  <si>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</si>
  <si>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</si>
  <si>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</si>
  <si>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</si>
  <si>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</si>
  <si>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</si>
  <si>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</si>
  <si>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</si>
  <si>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</si>
  <si>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</si>
  <si>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</si>
  <si>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</si>
  <si>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</si>
  <si>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</si>
  <si>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</si>
  <si>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</si>
  <si>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</si>
  <si>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</si>
  <si>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</si>
  <si>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</si>
  <si>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</si>
  <si>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</si>
  <si>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</si>
  <si>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</si>
  <si>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</si>
  <si>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</si>
  <si>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</si>
  <si>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</si>
  <si>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</si>
  <si>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</si>
  <si>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</si>
  <si>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</si>
  <si>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</si>
  <si>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</si>
  <si>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</si>
  <si>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</si>
  <si>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</si>
  <si>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</si>
  <si>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</si>
  <si>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</si>
  <si>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</si>
  <si>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</si>
  <si>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</si>
  <si>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</si>
  <si>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</si>
  <si>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</si>
  <si>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</si>
  <si>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</si>
  <si>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</si>
  <si>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</si>
  <si>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</si>
  <si>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</si>
  <si>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</si>
  <si>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</si>
  <si>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</si>
  <si>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</si>
  <si>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</si>
  <si>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</si>
  <si>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</si>
  <si>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</si>
  <si>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</si>
  <si>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</si>
  <si>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</si>
  <si>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</si>
  <si>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</si>
  <si>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</si>
  <si>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</si>
  <si>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</si>
  <si>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</si>
  <si>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</si>
  <si>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</si>
  <si>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</si>
  <si>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</si>
  <si>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</si>
  <si>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</si>
  <si>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</si>
  <si>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</si>
  <si>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</si>
  <si>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</si>
  <si>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</si>
  <si>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</si>
  <si>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</si>
  <si>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</si>
  <si>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</si>
  <si>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</si>
  <si>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</si>
  <si>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</si>
  <si>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</si>
  <si>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</si>
  <si>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</si>
  <si>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</si>
  <si>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</si>
  <si>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</si>
  <si>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</si>
  <si>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</si>
  <si>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</si>
  <si>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</si>
  <si>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</si>
  <si>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</si>
  <si>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</si>
  <si>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</si>
  <si>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</si>
  <si>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</si>
  <si>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</si>
  <si>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</si>
  <si>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</si>
  <si>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</si>
  <si>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</si>
  <si>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</si>
  <si>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</si>
  <si>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</si>
  <si>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</si>
  <si>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</si>
  <si>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</si>
  <si>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</si>
  <si>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</si>
  <si>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</si>
  <si>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</si>
  <si>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</si>
  <si>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</si>
  <si>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</si>
  <si>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</si>
  <si>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</si>
  <si>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</si>
  <si>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</si>
  <si>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</si>
  <si>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</si>
  <si>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</si>
  <si>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</si>
  <si>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</si>
  <si>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</si>
  <si>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</si>
  <si>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</si>
  <si>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</si>
  <si>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</si>
  <si>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</si>
  <si>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</si>
  <si>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</si>
  <si>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</si>
  <si>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</si>
  <si>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</si>
  <si>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</si>
  <si>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</si>
  <si>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</si>
  <si>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</si>
  <si>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</si>
  <si>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</si>
  <si>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</si>
  <si>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</si>
  <si>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</si>
  <si>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</si>
  <si>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</si>
  <si>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</si>
  <si>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</si>
  <si>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</si>
  <si>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</si>
  <si>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</si>
  <si>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</si>
  <si>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</si>
  <si>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</si>
  <si>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</si>
  <si>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</si>
  <si>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</si>
  <si>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</si>
  <si>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</si>
  <si>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</si>
  <si>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</si>
  <si>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</si>
  <si>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</si>
  <si>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</si>
  <si>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</si>
  <si>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</si>
  <si>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</si>
  <si>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</si>
  <si>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</si>
  <si>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</si>
  <si>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</si>
  <si>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</si>
  <si>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</si>
  <si>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</si>
  <si>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</si>
  <si>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</si>
  <si>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</si>
  <si>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</si>
  <si>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</si>
  <si>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</si>
  <si>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</si>
  <si>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</si>
  <si>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</si>
  <si>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</si>
  <si>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</si>
  <si>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</si>
  <si>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</si>
  <si>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</si>
  <si>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</si>
  <si>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</si>
  <si>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</si>
  <si>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</si>
  <si>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</si>
  <si>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</si>
  <si>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</si>
  <si>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</si>
  <si>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</si>
  <si>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</si>
  <si>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</si>
  <si>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</si>
  <si>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</si>
  <si>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</si>
  <si>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</si>
  <si>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</si>
  <si>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</si>
  <si>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</si>
  <si>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</si>
  <si>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</si>
  <si>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</si>
  <si>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</si>
  <si>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</si>
  <si>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</si>
  <si>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</si>
  <si>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</si>
  <si>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</si>
  <si>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</si>
  <si>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</si>
  <si>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</si>
  <si>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</si>
  <si>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</si>
  <si>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</si>
  <si>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</si>
  <si>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</si>
  <si>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</si>
  <si>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</si>
  <si>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</si>
  <si>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</si>
  <si>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</si>
  <si>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</si>
  <si>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</si>
  <si>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</si>
  <si>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</si>
  <si>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</si>
  <si>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</si>
  <si>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</si>
  <si>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</si>
  <si>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</si>
  <si>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</si>
  <si>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</si>
  <si>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</si>
  <si>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</si>
  <si>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</si>
  <si>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</si>
  <si>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</si>
  <si>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</si>
  <si>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</si>
  <si>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</si>
  <si>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</si>
  <si>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</si>
  <si>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</si>
  <si>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</si>
  <si>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</si>
  <si>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</si>
  <si>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</si>
  <si>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</si>
  <si>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</si>
  <si>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</si>
  <si>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</si>
  <si>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</si>
  <si>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</si>
  <si>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</si>
  <si>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</si>
  <si>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</si>
  <si>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</si>
  <si>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</si>
  <si>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</si>
  <si>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</si>
  <si>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</si>
  <si>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</si>
  <si>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</si>
  <si>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</si>
  <si>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</si>
  <si>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</si>
  <si>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</si>
  <si>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</si>
  <si>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</si>
  <si>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</si>
  <si>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</si>
  <si>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</si>
  <si>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</si>
  <si>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</si>
  <si>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</si>
  <si>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</si>
  <si>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</si>
  <si>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</si>
  <si>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</si>
  <si>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</si>
  <si>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</si>
  <si>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</si>
  <si>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</si>
  <si>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</si>
  <si>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</si>
  <si>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</si>
  <si>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</si>
  <si>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</si>
  <si>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</si>
  <si>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</si>
  <si>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</si>
  <si>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</si>
  <si>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</si>
  <si>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</si>
  <si>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</si>
  <si>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</si>
  <si>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</si>
  <si>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</si>
  <si>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</si>
  <si>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</si>
  <si>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</si>
  <si>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</si>
  <si>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</si>
  <si>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</si>
  <si>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</si>
  <si>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</si>
  <si>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</si>
  <si>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</si>
  <si>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</si>
  <si>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</si>
  <si>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</si>
  <si>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</si>
  <si>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</si>
  <si>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</si>
  <si>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</si>
  <si>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</si>
  <si>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</si>
  <si>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</si>
  <si>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</si>
  <si>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</si>
  <si>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</si>
  <si>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</si>
  <si>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</si>
  <si>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</si>
  <si>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</si>
  <si>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</si>
  <si>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</si>
  <si>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</si>
  <si>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</si>
  <si>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</si>
  <si>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</si>
  <si>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</si>
  <si>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</si>
  <si>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</si>
  <si>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</si>
  <si>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</si>
  <si>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</si>
  <si>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</si>
  <si>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</si>
  <si>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</si>
  <si>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</si>
  <si>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</si>
  <si>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</si>
  <si>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</si>
  <si>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</si>
  <si>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</si>
  <si>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</si>
  <si>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</si>
  <si>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</si>
  <si>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</si>
  <si>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</si>
  <si>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</si>
  <si>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</si>
  <si>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</si>
  <si>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</si>
  <si>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</si>
  <si>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</si>
  <si>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</si>
  <si>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</si>
  <si>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</si>
  <si>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</si>
  <si>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</si>
  <si>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</si>
  <si>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</si>
  <si>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</si>
  <si>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</si>
  <si>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</si>
  <si>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</si>
  <si>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</si>
  <si>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</si>
  <si>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</si>
  <si>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</si>
  <si>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</si>
  <si>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</si>
  <si>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</si>
  <si>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</si>
  <si>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</si>
  <si>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</si>
  <si>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</si>
  <si>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</si>
  <si>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</si>
  <si>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</si>
  <si>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</si>
  <si>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</si>
  <si>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</si>
  <si>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</si>
  <si>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</si>
  <si>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</si>
  <si>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</si>
  <si>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</si>
  <si>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</si>
  <si>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</si>
  <si>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</si>
  <si>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</si>
  <si>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</si>
  <si>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</si>
  <si>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</si>
  <si>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</si>
  <si>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</si>
  <si>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</si>
  <si>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</si>
  <si>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</si>
  <si>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</si>
  <si>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</si>
  <si>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</si>
  <si>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</si>
  <si>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</si>
  <si>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</si>
  <si>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</si>
  <si>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</si>
  <si>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</si>
  <si>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</si>
  <si>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</si>
  <si>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</si>
  <si>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</si>
  <si>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</si>
  <si>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</si>
  <si>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</si>
  <si>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</si>
  <si>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</si>
  <si>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</si>
  <si>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</si>
  <si>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</si>
  <si>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</si>
  <si>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</si>
  <si>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</si>
  <si>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</si>
  <si>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</si>
  <si>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</si>
  <si>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</si>
  <si>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</si>
  <si>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</si>
  <si>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</si>
  <si>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</si>
  <si>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</si>
  <si>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</si>
  <si>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</si>
  <si>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</si>
  <si>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</si>
  <si>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</si>
  <si>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</si>
  <si>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</si>
  <si>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</si>
  <si>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</si>
  <si>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</si>
  <si>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</si>
  <si>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</si>
  <si>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</si>
  <si>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</si>
  <si>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</si>
  <si>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</si>
  <si>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</si>
  <si>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</si>
  <si>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</si>
  <si>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</si>
  <si>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</si>
  <si>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</si>
  <si>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</si>
  <si>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</si>
  <si>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</si>
  <si>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</si>
  <si>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</si>
  <si>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</si>
  <si>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</si>
  <si>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</si>
  <si>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</si>
  <si>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</si>
  <si>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</si>
  <si>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</si>
  <si>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</si>
  <si>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</si>
  <si>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</si>
  <si>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</si>
  <si>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</si>
  <si>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</si>
  <si>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</si>
  <si>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</si>
  <si>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</si>
  <si>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</si>
  <si>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</si>
  <si>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</si>
  <si>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</si>
  <si>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</si>
  <si>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</si>
  <si>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</si>
  <si>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</si>
  <si>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</si>
  <si>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</si>
  <si>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</si>
  <si>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</si>
  <si>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</si>
  <si>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</si>
  <si>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</si>
  <si>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</si>
  <si>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</si>
  <si>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</si>
  <si>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</si>
  <si>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</si>
  <si>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</si>
  <si>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</si>
  <si>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</si>
  <si>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</si>
  <si>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</si>
  <si>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</si>
  <si>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</si>
  <si>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</si>
  <si>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</si>
  <si>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</si>
  <si>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</si>
  <si>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</si>
  <si>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</si>
  <si>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</si>
  <si>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</si>
  <si>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</si>
  <si>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</si>
  <si>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</si>
  <si>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</si>
  <si>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</si>
  <si>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</si>
  <si>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</si>
  <si>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</si>
  <si>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</si>
  <si>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</si>
  <si>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</si>
  <si>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</si>
  <si>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</si>
  <si>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</si>
  <si>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</si>
  <si>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</si>
  <si>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</si>
  <si>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</si>
  <si>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</si>
  <si>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</si>
  <si>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</si>
  <si>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</si>
  <si>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</si>
  <si>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</si>
  <si>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</si>
  <si>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</si>
  <si>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</si>
  <si>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</si>
  <si>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</si>
  <si>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</si>
  <si>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</si>
  <si>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</si>
  <si>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</si>
  <si>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</si>
  <si>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</si>
  <si>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</si>
  <si>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</si>
  <si>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</si>
  <si>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</si>
  <si>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</si>
  <si>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</si>
  <si>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</si>
  <si>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</si>
  <si>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</si>
  <si>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</si>
  <si>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</si>
  <si>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</si>
  <si>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</si>
  <si>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</si>
  <si>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</si>
  <si>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</si>
  <si>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</si>
  <si>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</si>
  <si>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</si>
  <si>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</si>
  <si>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</si>
  <si>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</si>
  <si>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</si>
  <si>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</si>
  <si>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</si>
  <si>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</si>
  <si>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</si>
  <si>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</si>
  <si>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</si>
  <si>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</si>
  <si>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</si>
  <si>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</si>
  <si>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</si>
  <si>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</si>
  <si>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</si>
  <si>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</si>
  <si>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</si>
  <si>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</si>
  <si>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</si>
  <si>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</si>
  <si>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</si>
  <si>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</si>
  <si>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</si>
  <si>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</si>
  <si>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</si>
  <si>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</si>
  <si>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</si>
  <si>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</si>
  <si>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</si>
  <si>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</si>
  <si>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</si>
  <si>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</si>
  <si>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</si>
  <si>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</si>
  <si>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</si>
  <si>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</si>
  <si>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</si>
  <si>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</si>
  <si>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</si>
  <si>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</si>
  <si>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</si>
  <si>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</si>
  <si>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</si>
  <si>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</si>
  <si>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</si>
  <si>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</si>
  <si>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</si>
  <si>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</si>
  <si>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</si>
  <si>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</si>
  <si>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</si>
  <si>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</si>
  <si>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</si>
  <si>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</si>
  <si>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</si>
  <si>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</si>
  <si>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</si>
  <si>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</si>
  <si>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</si>
  <si>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</si>
  <si>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</si>
  <si>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</si>
  <si>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</si>
  <si>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</si>
  <si>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</si>
  <si>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</si>
  <si>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</si>
  <si>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</si>
  <si>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</si>
  <si>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</si>
  <si>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</si>
  <si>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</si>
  <si>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</si>
  <si>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</si>
  <si>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</si>
  <si>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</si>
  <si>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</si>
  <si>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</si>
  <si>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</si>
  <si>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</si>
  <si>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</si>
  <si>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</si>
  <si>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</si>
  <si>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</si>
  <si>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</si>
  <si>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</si>
  <si>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</si>
  <si>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</si>
  <si>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</si>
  <si>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</si>
  <si>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</si>
  <si>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</si>
  <si>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</si>
  <si>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</si>
  <si>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</si>
  <si>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</si>
  <si>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</si>
  <si>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</si>
  <si>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</si>
  <si>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</si>
  <si>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</si>
  <si>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</si>
  <si>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</si>
  <si>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</si>
  <si>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</si>
  <si>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</si>
  <si>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</si>
  <si>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</si>
  <si>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</si>
  <si>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</si>
  <si>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</si>
  <si>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</si>
  <si>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</si>
  <si>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</si>
  <si>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</si>
  <si>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</si>
  <si>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</si>
  <si>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</si>
  <si>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</si>
  <si>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</si>
  <si>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</si>
  <si>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</si>
  <si>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</si>
  <si>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</si>
  <si>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</si>
  <si>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</si>
  <si>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</si>
  <si>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</si>
  <si>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</si>
  <si>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</si>
  <si>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</si>
  <si>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</si>
  <si>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</si>
  <si>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</si>
  <si>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</si>
  <si>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</si>
  <si>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</si>
  <si>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</si>
  <si>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</si>
  <si>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</si>
  <si>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</si>
  <si>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</si>
  <si>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</si>
  <si>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</si>
  <si>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</si>
  <si>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</si>
  <si>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</si>
  <si>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</si>
  <si>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</si>
  <si>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</si>
  <si>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</si>
  <si>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</si>
  <si>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</si>
  <si>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</si>
  <si>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</si>
  <si>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</si>
  <si>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</si>
  <si>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</si>
  <si>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</si>
  <si>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</si>
  <si>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</si>
  <si>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</si>
  <si>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</si>
  <si>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</si>
  <si>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</si>
  <si>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</si>
  <si>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</si>
  <si>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</si>
  <si>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</si>
  <si>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</si>
  <si>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</si>
  <si>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</si>
  <si>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</si>
  <si>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</si>
  <si>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</si>
  <si>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</si>
  <si>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</si>
  <si>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</si>
  <si>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</si>
  <si>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</si>
  <si>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</si>
  <si>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</si>
  <si>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</si>
  <si>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</si>
  <si>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</si>
  <si>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</si>
  <si>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</si>
  <si>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</si>
  <si>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</si>
  <si>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</si>
  <si>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</si>
  <si>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</si>
  <si>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</si>
  <si>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</si>
  <si>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</si>
  <si>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</si>
  <si>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</si>
  <si>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</si>
  <si>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</si>
  <si>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</si>
  <si>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</si>
  <si>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</si>
  <si>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</si>
  <si>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</si>
  <si>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</si>
  <si>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</si>
  <si>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</si>
  <si>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</si>
  <si>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</si>
  <si>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</si>
  <si>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</si>
  <si>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</si>
  <si>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</si>
  <si>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</si>
  <si>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</si>
  <si>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</si>
  <si>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</si>
  <si>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</si>
  <si>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</si>
  <si>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</si>
  <si>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</si>
  <si>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</si>
  <si>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</si>
  <si>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</si>
  <si>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</si>
  <si>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</si>
  <si>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</si>
  <si>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</si>
  <si>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</si>
  <si>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</si>
  <si>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</si>
  <si>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</si>
  <si>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</si>
  <si>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</si>
  <si>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</si>
  <si>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</si>
  <si>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</si>
  <si>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</si>
  <si>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</si>
  <si>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</si>
  <si>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</si>
  <si>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</si>
  <si>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</si>
  <si>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</si>
  <si>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</si>
  <si>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</si>
  <si>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</si>
  <si>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</si>
  <si>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</si>
  <si>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</si>
  <si>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</si>
  <si>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</si>
  <si>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</si>
  <si>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</si>
  <si>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</si>
  <si>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</si>
  <si>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</si>
  <si>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</si>
  <si>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</si>
  <si>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</si>
  <si>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</si>
  <si>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</si>
  <si>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</si>
  <si>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</si>
  <si>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</si>
  <si>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</si>
  <si>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</si>
  <si>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</si>
  <si>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</si>
  <si>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</si>
  <si>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</si>
  <si>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</si>
  <si>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</si>
  <si>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</si>
  <si>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</si>
  <si>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</si>
  <si>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</si>
  <si>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</si>
  <si>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</si>
  <si>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</si>
  <si>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</si>
  <si>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</si>
  <si>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</si>
  <si>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</si>
  <si>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</si>
  <si>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</si>
  <si>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</si>
  <si>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</si>
  <si>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</si>
  <si>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</si>
  <si>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</si>
  <si>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</si>
  <si>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</si>
  <si>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</si>
  <si>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</si>
  <si>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</si>
  <si>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</si>
  <si>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</si>
  <si>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</si>
  <si>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</si>
  <si>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</si>
  <si>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</si>
  <si>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</si>
  <si>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</si>
  <si>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</si>
  <si>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</si>
  <si>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</si>
  <si>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</si>
  <si>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</si>
  <si>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</si>
  <si>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</si>
  <si>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</si>
  <si>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</si>
  <si>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</si>
  <si>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</si>
  <si>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</si>
  <si>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</si>
  <si>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</si>
  <si>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</si>
  <si>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</si>
  <si>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</si>
  <si>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</si>
  <si>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</si>
  <si>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</si>
  <si>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</si>
  <si>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</si>
  <si>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</si>
  <si>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</si>
  <si>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</si>
  <si>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</si>
  <si>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</si>
  <si>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</si>
  <si>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</si>
  <si>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</si>
  <si>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</si>
  <si>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</si>
  <si>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</si>
  <si>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</si>
  <si>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</si>
  <si>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</si>
  <si>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</si>
  <si>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</si>
  <si>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</si>
  <si>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</si>
  <si>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</si>
  <si>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</si>
  <si>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</si>
  <si>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</si>
  <si>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</si>
  <si>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</si>
  <si>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</si>
  <si>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</si>
  <si>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</si>
  <si>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</si>
  <si>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</si>
  <si>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</si>
  <si>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</si>
  <si>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</si>
  <si>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</si>
  <si>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</si>
  <si>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</si>
  <si>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</si>
  <si>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</si>
  <si>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</si>
  <si>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</si>
  <si>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</si>
  <si>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</si>
  <si>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</si>
  <si>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</si>
  <si>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</si>
  <si>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</si>
  <si>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</si>
  <si>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</si>
  <si>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</si>
  <si>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</si>
  <si>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</si>
  <si>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</si>
  <si>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</si>
  <si>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</si>
  <si>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</si>
  <si>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</si>
  <si>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</si>
  <si>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</si>
  <si>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</si>
  <si>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</si>
  <si>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</si>
  <si>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</si>
  <si>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</si>
  <si>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</si>
  <si>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</si>
  <si>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</si>
  <si>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</si>
  <si>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</si>
  <si>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</si>
  <si>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</si>
  <si>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</si>
  <si>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</si>
  <si>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</si>
  <si>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</si>
  <si>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</si>
  <si>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</si>
  <si>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</si>
  <si>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</si>
  <si>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</si>
  <si>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</si>
  <si>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</si>
  <si>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</si>
  <si>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</si>
  <si>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</si>
  <si>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</si>
  <si>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</si>
  <si>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</si>
  <si>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</si>
  <si>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</si>
  <si>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</si>
  <si>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</si>
  <si>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</si>
  <si>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</si>
  <si>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</si>
  <si>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</si>
  <si>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</si>
  <si>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</si>
  <si>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</si>
  <si>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</si>
  <si>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</si>
  <si>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</si>
  <si>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</si>
  <si>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</si>
  <si>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</si>
  <si>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</si>
  <si>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</si>
  <si>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</si>
  <si>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</si>
  <si>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</si>
  <si>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</si>
  <si>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</si>
  <si>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</si>
  <si>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</si>
  <si>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</si>
  <si>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</si>
  <si>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</si>
  <si>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</si>
  <si>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</si>
  <si>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</si>
  <si>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</si>
  <si>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</si>
  <si>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</si>
  <si>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</si>
  <si>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</si>
  <si>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</si>
  <si>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</si>
  <si>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</si>
  <si>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</si>
  <si>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</si>
  <si>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</si>
  <si>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</si>
  <si>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</si>
  <si>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</si>
  <si>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</si>
  <si>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</si>
  <si>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</si>
  <si>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</si>
  <si>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</si>
  <si>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</si>
  <si>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</si>
  <si>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</si>
  <si>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</si>
  <si>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</si>
  <si>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</si>
  <si>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</si>
  <si>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</si>
  <si>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</si>
  <si>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</si>
  <si>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</si>
  <si>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</si>
  <si>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</si>
  <si>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</si>
  <si>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</si>
  <si>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</si>
  <si>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</si>
  <si>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</si>
  <si>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</si>
  <si>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</si>
  <si>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</si>
  <si>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</si>
  <si>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</si>
  <si>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</si>
  <si>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</si>
  <si>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</si>
  <si>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</si>
  <si>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</si>
  <si>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</si>
  <si>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</si>
  <si>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</si>
  <si>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</si>
  <si>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</si>
  <si>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</si>
  <si>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</si>
  <si>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</si>
  <si>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</si>
  <si>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</si>
  <si>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</si>
  <si>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</si>
  <si>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</si>
  <si>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</si>
  <si>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</si>
  <si>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</si>
  <si>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</si>
  <si>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</si>
  <si>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</si>
  <si>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</si>
  <si>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</si>
  <si>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</si>
  <si>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</si>
  <si>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</si>
  <si>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</si>
  <si>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</si>
  <si>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</si>
  <si>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</si>
  <si>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</si>
  <si>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</si>
  <si>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</si>
  <si>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</si>
  <si>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</si>
  <si>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</si>
  <si>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</si>
  <si>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</si>
  <si>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</si>
  <si>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</si>
  <si>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</si>
  <si>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</si>
  <si>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</si>
  <si>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</si>
  <si>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</si>
  <si>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</si>
  <si>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</si>
  <si>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</si>
  <si>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</si>
  <si>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</si>
  <si>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</si>
  <si>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</si>
  <si>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</si>
  <si>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</si>
  <si>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</si>
  <si>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</si>
  <si>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</si>
  <si>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</si>
  <si>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</si>
  <si>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</si>
  <si>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</si>
  <si>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</si>
  <si>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</si>
  <si>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</si>
  <si>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</si>
  <si>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</si>
  <si>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</si>
  <si>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</si>
  <si>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</si>
  <si>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</si>
  <si>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</si>
  <si>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</si>
  <si>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</si>
  <si>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</si>
  <si>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</si>
  <si>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</si>
  <si>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</si>
  <si>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</si>
  <si>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</si>
  <si>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</si>
  <si>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</si>
  <si>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</si>
  <si>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</si>
  <si>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</si>
  <si>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</si>
  <si>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</si>
  <si>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</si>
  <si>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</si>
  <si>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</si>
  <si>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</si>
  <si>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</si>
  <si>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</si>
  <si>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</si>
  <si>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</si>
  <si>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</si>
  <si>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</si>
  <si>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</si>
  <si>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</si>
  <si>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</si>
  <si>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</si>
  <si>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</si>
  <si>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</si>
  <si>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</si>
  <si>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</si>
  <si>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</si>
  <si>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</si>
  <si>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</si>
  <si>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</si>
  <si>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</si>
  <si>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</si>
  <si>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</si>
  <si>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</si>
  <si>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</si>
  <si>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</si>
  <si>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</si>
  <si>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</si>
  <si>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</si>
  <si>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</si>
  <si>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</si>
  <si>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</si>
  <si>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</si>
  <si>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</si>
  <si>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</si>
  <si>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</si>
  <si>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</si>
  <si>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</si>
  <si>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</si>
  <si>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</si>
  <si>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</si>
  <si>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</si>
  <si>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</si>
  <si>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</si>
  <si>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</si>
  <si>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</si>
  <si>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</si>
  <si>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</si>
  <si>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</si>
  <si>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</si>
  <si>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</si>
  <si>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</si>
  <si>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</si>
  <si>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</si>
  <si>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</si>
  <si>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</si>
  <si>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</si>
  <si>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</si>
  <si>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</si>
  <si>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</si>
  <si>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</si>
  <si>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</si>
  <si>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</si>
  <si>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</si>
  <si>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</si>
  <si>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</si>
  <si>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</si>
  <si>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</si>
  <si>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</si>
  <si>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</si>
  <si>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</si>
  <si>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</si>
  <si>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</si>
  <si>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</si>
  <si>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</si>
  <si>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</si>
  <si>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</si>
  <si>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</si>
  <si>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</si>
  <si>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</si>
  <si>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</si>
  <si>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</si>
  <si>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</si>
  <si>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</si>
  <si>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</si>
  <si>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</si>
  <si>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</si>
  <si>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</si>
  <si>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</si>
  <si>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</si>
  <si>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</si>
  <si>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</si>
  <si>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</si>
  <si>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</si>
  <si>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</si>
  <si>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</si>
  <si>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</si>
  <si>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</si>
  <si>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</si>
  <si>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</si>
  <si>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</si>
  <si>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</si>
  <si>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</si>
  <si>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</si>
  <si>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</si>
  <si>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</si>
  <si>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</si>
  <si>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</si>
  <si>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</si>
  <si>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</si>
  <si>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</si>
  <si>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</si>
  <si>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</si>
  <si>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</si>
  <si>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</si>
  <si>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</si>
  <si>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</si>
  <si>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</si>
  <si>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</si>
  <si>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</si>
  <si>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</si>
  <si>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</si>
  <si>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</si>
  <si>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</si>
  <si>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</si>
  <si>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</si>
  <si>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</si>
  <si>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</si>
  <si>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</si>
  <si>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</si>
  <si>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</si>
  <si>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</si>
  <si>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</si>
  <si>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</si>
  <si>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</si>
  <si>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</si>
  <si>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</si>
  <si>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</si>
  <si>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</si>
  <si>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</si>
  <si>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</si>
  <si>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</si>
  <si>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</si>
  <si>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</si>
  <si>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</si>
  <si>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</si>
  <si>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</si>
  <si>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</si>
  <si>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</si>
  <si>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</si>
  <si>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</si>
  <si>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</si>
  <si>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</si>
  <si>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</si>
  <si>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</si>
  <si>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</si>
  <si>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</si>
  <si>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</si>
  <si>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</si>
  <si>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</si>
  <si>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</si>
  <si>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</si>
  <si>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</si>
  <si>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</si>
  <si>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</si>
  <si>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</si>
  <si>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</si>
  <si>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</si>
  <si>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</si>
  <si>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</si>
  <si>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</si>
  <si>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</si>
  <si>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</si>
  <si>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</si>
  <si>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</si>
  <si>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</si>
  <si>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</si>
  <si>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</si>
  <si>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</si>
  <si>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</si>
  <si>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</si>
  <si>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</si>
  <si>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</si>
  <si>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</si>
  <si>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</si>
  <si>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</si>
  <si>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</si>
  <si>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</si>
  <si>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</si>
  <si>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</si>
  <si>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</si>
  <si>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</si>
  <si>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</si>
  <si>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</si>
  <si>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</si>
  <si>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</si>
  <si>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</si>
  <si>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</si>
  <si>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</si>
  <si>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</si>
  <si>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</si>
  <si>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</si>
  <si>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</si>
  <si>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</si>
  <si>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</si>
  <si>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</si>
  <si>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</si>
  <si>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</si>
  <si>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</si>
  <si>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</si>
  <si>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</si>
  <si>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</si>
  <si>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</si>
  <si>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</si>
  <si>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</si>
  <si>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</si>
  <si>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</si>
  <si>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</si>
  <si>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</si>
  <si>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</si>
  <si>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</si>
  <si>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</si>
  <si>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</si>
  <si>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</si>
  <si>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</si>
  <si>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</si>
  <si>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</si>
  <si>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</si>
  <si>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</si>
  <si>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</si>
  <si>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</si>
  <si>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</si>
  <si>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</si>
  <si>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</si>
  <si>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</si>
  <si>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</si>
  <si>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</si>
  <si>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</si>
  <si>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</si>
  <si>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</si>
  <si>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</si>
  <si>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</si>
  <si>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</si>
  <si>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</si>
  <si>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</si>
  <si>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</si>
  <si>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</si>
  <si>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</si>
  <si>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</si>
  <si>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</si>
  <si>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</si>
  <si>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</si>
  <si>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</si>
  <si>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</si>
  <si>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</si>
  <si>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</si>
  <si>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</si>
  <si>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</si>
  <si>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</si>
  <si>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</si>
  <si>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</si>
  <si>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</si>
  <si>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</si>
  <si>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</si>
  <si>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</si>
  <si>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</si>
  <si>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</si>
  <si>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</si>
  <si>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</si>
  <si>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</si>
  <si>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</si>
  <si>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</si>
  <si>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</si>
  <si>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</si>
  <si>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</si>
  <si>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</si>
  <si>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</si>
  <si>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</si>
  <si>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</si>
  <si>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</si>
  <si>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</si>
  <si>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</si>
  <si>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</si>
  <si>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</si>
  <si>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</si>
  <si>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</si>
  <si>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</si>
  <si>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</si>
  <si>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</si>
  <si>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</si>
  <si>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</si>
  <si>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</si>
  <si>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</si>
  <si>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</si>
  <si>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</si>
  <si>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</si>
  <si>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</si>
  <si>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</si>
  <si>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</si>
  <si>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</si>
  <si>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</si>
  <si>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</si>
  <si>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</si>
  <si>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</si>
  <si>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</si>
  <si>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</si>
  <si>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</si>
  <si>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</si>
  <si>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</si>
  <si>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</si>
  <si>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</si>
  <si>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</si>
  <si>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</si>
  <si>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</si>
  <si>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</si>
  <si>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</si>
  <si>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</si>
  <si>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</si>
  <si>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</si>
  <si>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</si>
  <si>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</si>
  <si>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</si>
  <si>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</si>
  <si>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</si>
  <si>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</si>
  <si>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</si>
  <si>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</si>
  <si>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</si>
  <si>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</si>
  <si>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</si>
  <si>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</si>
  <si>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</si>
  <si>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</si>
  <si>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</si>
  <si>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</si>
  <si>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</si>
  <si>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</si>
  <si>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</si>
  <si>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</si>
  <si>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</si>
  <si>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</si>
  <si>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</si>
  <si>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</si>
  <si>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</si>
  <si>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</si>
  <si>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</si>
  <si>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</si>
  <si>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</si>
  <si>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</si>
  <si>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</si>
  <si>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</si>
  <si>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</si>
  <si>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</si>
  <si>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</si>
  <si>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</si>
  <si>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</si>
  <si>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</si>
  <si>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</si>
  <si>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</si>
  <si>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</si>
  <si>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</si>
  <si>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</si>
  <si>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</si>
  <si>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</si>
  <si>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</si>
  <si>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</si>
  <si>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</si>
  <si>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</si>
  <si>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</si>
  <si>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</si>
  <si>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</si>
  <si>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</si>
  <si>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</si>
  <si>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</si>
  <si>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</si>
  <si>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</si>
  <si>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</si>
  <si>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</si>
  <si>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</si>
  <si>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</si>
  <si>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</si>
  <si>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</si>
  <si>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</si>
  <si>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</si>
  <si>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</si>
  <si>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</si>
  <si>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</si>
  <si>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</si>
  <si>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</si>
  <si>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</si>
  <si>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</si>
  <si>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</si>
  <si>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</si>
  <si>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</si>
  <si>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</si>
  <si>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</si>
  <si>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</si>
  <si>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</si>
  <si>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</si>
  <si>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</si>
  <si>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</si>
  <si>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</si>
  <si>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</si>
  <si>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</si>
  <si>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</si>
  <si>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</si>
  <si>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</si>
  <si>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</si>
  <si>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</si>
  <si>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</si>
  <si>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</si>
  <si>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</si>
  <si>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</si>
  <si>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</si>
  <si>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</si>
  <si>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</si>
  <si>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</si>
  <si>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</si>
  <si>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</si>
  <si>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</si>
  <si>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</si>
  <si>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</si>
  <si>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</si>
  <si>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</si>
  <si>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</si>
  <si>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</si>
  <si>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</si>
  <si>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</si>
  <si>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</si>
  <si>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</si>
  <si>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</si>
  <si>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</si>
  <si>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</si>
  <si>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</si>
  <si>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</si>
  <si>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</si>
  <si>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</si>
  <si>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</si>
  <si>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</si>
  <si>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</si>
  <si>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</si>
  <si>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</si>
  <si>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</si>
  <si>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</si>
  <si>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</si>
  <si>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</si>
  <si>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</si>
  <si>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</si>
  <si>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</si>
  <si>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</si>
  <si>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</si>
  <si>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</si>
  <si>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</si>
  <si>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</si>
  <si>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</si>
  <si>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</si>
  <si>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</si>
  <si>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</si>
  <si>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</si>
  <si>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</si>
  <si>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</si>
  <si>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</si>
  <si>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</si>
  <si>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</si>
  <si>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</si>
  <si>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</si>
  <si>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</si>
  <si>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</si>
  <si>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</si>
  <si>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</si>
  <si>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</si>
  <si>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</si>
  <si>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</si>
  <si>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</si>
  <si>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</si>
  <si>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</si>
  <si>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</si>
  <si>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</si>
  <si>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</si>
  <si>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</si>
  <si>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</si>
  <si>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</si>
  <si>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</si>
  <si>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</si>
  <si>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</si>
  <si>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</si>
  <si>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</si>
  <si>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</si>
  <si>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</si>
  <si>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</si>
  <si>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</si>
  <si>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</si>
  <si>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</si>
  <si>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</si>
  <si>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</si>
  <si>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</si>
  <si>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</si>
  <si>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</si>
  <si>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</si>
  <si>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</si>
  <si>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</si>
  <si>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</si>
  <si>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</si>
  <si>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</si>
  <si>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</si>
  <si>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</si>
  <si>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</si>
  <si>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</si>
  <si>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</si>
  <si>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</si>
  <si>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</si>
  <si>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</si>
  <si>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</si>
  <si>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</si>
  <si>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</si>
  <si>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</si>
  <si>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</si>
  <si>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</si>
  <si>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</si>
  <si>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</si>
  <si>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</si>
  <si>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</si>
  <si>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</si>
  <si>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</si>
  <si>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</si>
  <si>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</si>
  <si>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</si>
  <si>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</si>
  <si>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</si>
  <si>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</si>
  <si>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</si>
  <si>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</si>
  <si>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</si>
  <si>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</si>
  <si>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</si>
  <si>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</si>
  <si>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</si>
  <si>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</si>
  <si>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</si>
  <si>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</si>
  <si>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</si>
  <si>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</si>
  <si>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</si>
  <si>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</si>
  <si>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</si>
  <si>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</si>
  <si>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</si>
  <si>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</si>
  <si>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</si>
  <si>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</si>
  <si>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</si>
  <si>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</si>
  <si>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</si>
  <si>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</si>
  <si>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</si>
  <si>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</si>
  <si>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</si>
  <si>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</si>
  <si>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</si>
  <si>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</si>
  <si>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</si>
  <si>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</si>
  <si>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</si>
  <si>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</si>
  <si>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</si>
  <si>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</si>
  <si>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</si>
  <si>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</si>
  <si>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</si>
  <si>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</si>
  <si>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</si>
  <si>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</si>
  <si>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</si>
  <si>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</si>
  <si>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</si>
  <si>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</si>
  <si>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</si>
  <si>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</si>
  <si>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</si>
  <si>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</si>
  <si>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</si>
  <si>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</si>
  <si>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</si>
  <si>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</si>
  <si>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</si>
  <si>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</si>
  <si>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</si>
  <si>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</si>
  <si>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</si>
  <si>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</si>
  <si>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</si>
  <si>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</si>
  <si>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</si>
  <si>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</si>
  <si>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</si>
  <si>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</si>
  <si>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</si>
  <si>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</si>
  <si>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</si>
  <si>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</si>
  <si>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</si>
  <si>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</si>
  <si>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</si>
  <si>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</si>
  <si>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</si>
  <si>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</si>
  <si>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</si>
  <si>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</si>
  <si>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</si>
  <si>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</si>
  <si>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</si>
  <si>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</si>
  <si>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</si>
  <si>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</si>
  <si>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</si>
  <si>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</si>
  <si>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</si>
  <si>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</si>
  <si>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</si>
  <si>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</si>
  <si>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</si>
  <si>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</si>
  <si>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</si>
  <si>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</si>
  <si>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</si>
  <si>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</si>
  <si>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</si>
  <si>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</si>
  <si>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</si>
  <si>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</si>
  <si>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</si>
  <si>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</si>
  <si>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</si>
  <si>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</si>
  <si>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</si>
  <si>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</si>
  <si>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</si>
  <si>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</si>
  <si>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</si>
  <si>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</si>
  <si>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</si>
  <si>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</si>
  <si>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</si>
  <si>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</si>
  <si>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</si>
  <si>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</si>
  <si>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</si>
  <si>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</si>
  <si>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</si>
  <si>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</si>
  <si>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</si>
  <si>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</si>
  <si>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</si>
  <si>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</si>
  <si>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</si>
  <si>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</si>
  <si>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</si>
  <si>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</si>
  <si>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</si>
  <si>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</si>
  <si>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</si>
  <si>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</si>
  <si>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</si>
  <si>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</si>
  <si>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</si>
  <si>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</si>
  <si>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</si>
  <si>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</si>
  <si>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</si>
  <si>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</si>
  <si>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</si>
  <si>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</si>
  <si>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</si>
  <si>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</si>
  <si>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</si>
  <si>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</si>
  <si>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</si>
  <si>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</si>
  <si>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</si>
  <si>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</si>
  <si>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</si>
  <si>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</si>
  <si>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</si>
  <si>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</si>
  <si>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</si>
  <si>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</si>
  <si>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</si>
  <si>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</si>
  <si>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</si>
  <si>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</si>
  <si>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</si>
  <si>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</si>
  <si>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</si>
  <si>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</si>
  <si>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</si>
  <si>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</si>
  <si>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</si>
  <si>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</si>
  <si>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</si>
  <si>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</si>
  <si>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</si>
  <si>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</si>
  <si>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</si>
  <si>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</si>
  <si>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</si>
  <si>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</si>
  <si>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</si>
  <si>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</si>
  <si>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</si>
  <si>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</si>
  <si>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</si>
  <si>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</si>
  <si>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</si>
  <si>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</si>
  <si>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</si>
  <si>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</si>
  <si>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</si>
  <si>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</si>
  <si>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</si>
  <si>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</si>
  <si>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</si>
  <si>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</si>
  <si>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</si>
  <si>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</si>
  <si>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</si>
  <si>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</si>
  <si>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</si>
  <si>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</si>
  <si>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</si>
  <si>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</si>
  <si>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</si>
  <si>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</si>
  <si>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</si>
  <si>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</si>
  <si>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</si>
  <si>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</si>
  <si>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</si>
  <si>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</si>
  <si>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</si>
  <si>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</si>
  <si>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</si>
  <si>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</si>
  <si>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</si>
  <si>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</si>
  <si>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</si>
  <si>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</si>
  <si>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</si>
  <si>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</si>
  <si>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</si>
  <si>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</si>
  <si>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</si>
  <si>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</si>
  <si>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</si>
  <si>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</si>
  <si>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</si>
  <si>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</si>
  <si>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</si>
  <si>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</si>
  <si>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</si>
  <si>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</si>
  <si>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</si>
  <si>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</si>
  <si>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</si>
  <si>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</si>
  <si>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</si>
  <si>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</si>
  <si>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</si>
  <si>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</si>
  <si>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</si>
  <si>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</si>
  <si>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</si>
  <si>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</si>
  <si>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</si>
  <si>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</si>
  <si>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</si>
  <si>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</si>
  <si>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</si>
  <si>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</si>
  <si>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</si>
  <si>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</si>
  <si>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</si>
  <si>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</si>
  <si>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</si>
  <si>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</si>
  <si>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</si>
  <si>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</si>
  <si>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</si>
  <si>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</si>
  <si>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</si>
  <si>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</si>
  <si>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</si>
  <si>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</si>
  <si>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</si>
  <si>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</si>
  <si>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</si>
  <si>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</si>
  <si>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</si>
  <si>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</si>
  <si>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</si>
  <si>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</si>
  <si>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</si>
  <si>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</si>
  <si>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</si>
  <si>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</si>
  <si>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</si>
  <si>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</si>
  <si>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</si>
  <si>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</si>
  <si>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</si>
  <si>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</si>
  <si>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</si>
  <si>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</si>
  <si>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</si>
  <si>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</si>
  <si>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</si>
  <si>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</si>
  <si>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</si>
  <si>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</si>
  <si>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</si>
  <si>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</si>
  <si>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</si>
  <si>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</si>
  <si>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</si>
  <si>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</si>
  <si>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</si>
  <si>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</si>
  <si>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</si>
  <si>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</si>
  <si>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</si>
  <si>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</si>
  <si>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</si>
  <si>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</si>
  <si>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</si>
  <si>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</si>
  <si>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</si>
  <si>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</si>
  <si>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</si>
  <si>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</si>
  <si>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</si>
  <si>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</si>
  <si>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</si>
  <si>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</si>
  <si>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</si>
  <si>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</si>
  <si>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</si>
  <si>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</si>
  <si>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</si>
  <si>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</si>
  <si>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</si>
  <si>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</si>
  <si>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</si>
  <si>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</si>
  <si>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</si>
  <si>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</si>
  <si>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</si>
  <si>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</si>
  <si>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</si>
  <si>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</si>
  <si>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</si>
  <si>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</si>
  <si>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</si>
  <si>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</si>
  <si>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</si>
  <si>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</si>
  <si>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</si>
  <si>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</si>
  <si>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</si>
  <si>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</si>
  <si>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</si>
  <si>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</si>
  <si>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</si>
  <si>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</si>
  <si>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</si>
  <si>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</si>
  <si>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</si>
  <si>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</si>
  <si>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</si>
  <si>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</si>
  <si>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</si>
  <si>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</si>
  <si>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</si>
  <si>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</si>
  <si>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</si>
  <si>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</si>
  <si>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</si>
  <si>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</si>
  <si>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</si>
  <si>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</si>
  <si>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</si>
  <si>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</si>
  <si>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</si>
  <si>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</si>
  <si>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</si>
  <si>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</si>
  <si>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</si>
  <si>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</si>
  <si>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</si>
  <si>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</si>
  <si>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</si>
  <si>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</si>
  <si>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</si>
  <si>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</si>
  <si>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</si>
  <si>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</si>
  <si>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</si>
  <si>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</si>
  <si>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</si>
  <si>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</si>
  <si>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</si>
  <si>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</si>
  <si>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</si>
  <si>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</si>
  <si>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</si>
  <si>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</si>
  <si>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</si>
  <si>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</si>
  <si>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</si>
  <si>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</si>
  <si>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</si>
  <si>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</si>
  <si>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</si>
  <si>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</si>
  <si>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</si>
  <si>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</si>
  <si>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</si>
  <si>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</si>
  <si>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</si>
  <si>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</si>
  <si>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</si>
  <si>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</si>
  <si>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</si>
  <si>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</si>
  <si>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</si>
  <si>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</si>
  <si>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</si>
  <si>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</si>
  <si>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</si>
  <si>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</si>
  <si>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</si>
  <si>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</si>
  <si>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</si>
  <si>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</si>
  <si>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</si>
  <si>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</si>
  <si>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</si>
  <si>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</si>
  <si>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</si>
  <si>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</si>
  <si>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</si>
  <si>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</si>
  <si>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</si>
  <si>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</si>
  <si>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</si>
  <si>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</si>
  <si>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</si>
  <si>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</si>
  <si>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</si>
  <si>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</si>
  <si>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</si>
  <si>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</si>
  <si>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</si>
  <si>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</si>
  <si>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</si>
  <si>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</si>
  <si>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</si>
  <si>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</si>
  <si>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</si>
  <si>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</si>
  <si>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</si>
  <si>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</si>
  <si>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</si>
  <si>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</si>
  <si>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</si>
  <si>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</si>
  <si>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</si>
  <si>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</si>
  <si>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</si>
  <si>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</si>
  <si>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</si>
  <si>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</si>
  <si>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</si>
  <si>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</si>
  <si>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</si>
  <si>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</si>
  <si>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</si>
  <si>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</si>
  <si>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</si>
  <si>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</si>
  <si>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</si>
  <si>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</si>
  <si>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</si>
  <si>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</si>
  <si>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</si>
  <si>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</si>
  <si>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</si>
  <si>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</si>
  <si>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</si>
  <si>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</si>
  <si>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</si>
  <si>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</si>
  <si>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</si>
  <si>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</si>
  <si>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</si>
  <si>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</si>
  <si>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</si>
  <si>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</si>
  <si>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</si>
  <si>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</si>
  <si>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</si>
  <si>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</si>
  <si>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</si>
  <si>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</si>
  <si>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</si>
  <si>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</si>
  <si>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</si>
  <si>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</si>
  <si>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</si>
  <si>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</si>
  <si>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</si>
  <si>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</si>
  <si>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</si>
  <si>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</si>
  <si>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</si>
  <si>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</si>
  <si>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</si>
  <si>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</si>
  <si>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</si>
  <si>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</si>
  <si>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</si>
  <si>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</si>
  <si>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</si>
  <si>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</si>
  <si>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</si>
  <si>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</si>
  <si>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</si>
  <si>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</si>
  <si>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</si>
  <si>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</si>
  <si>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</si>
  <si>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</si>
  <si>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</si>
  <si>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</si>
  <si>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</si>
  <si>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</si>
  <si>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</si>
  <si>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</si>
  <si>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</si>
  <si>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</si>
  <si>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</si>
  <si>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</si>
  <si>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</si>
  <si>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</si>
  <si>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</si>
  <si>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</si>
  <si>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</si>
  <si>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</si>
  <si>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</si>
  <si>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</si>
  <si>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</si>
  <si>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</si>
  <si>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</si>
  <si>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</si>
  <si>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</si>
  <si>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</si>
  <si>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</si>
  <si>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</si>
  <si>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</si>
  <si>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</si>
  <si>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</si>
  <si>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</si>
  <si>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</si>
  <si>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</si>
  <si>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</si>
  <si>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</si>
  <si>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</si>
  <si>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</si>
  <si>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</si>
  <si>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</si>
  <si>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</si>
  <si>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</si>
  <si>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</si>
  <si>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</si>
  <si>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</si>
  <si>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</si>
  <si>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</si>
  <si>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</si>
  <si>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</si>
  <si>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</si>
  <si>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</si>
  <si>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</si>
  <si>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</si>
  <si>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</si>
  <si>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</si>
  <si>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</si>
  <si>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</si>
  <si>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</si>
  <si>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</si>
  <si>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</si>
  <si>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</si>
  <si>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</si>
  <si>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</si>
  <si>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</si>
  <si>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</si>
  <si>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</si>
  <si>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</si>
  <si>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</si>
  <si>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</si>
  <si>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</si>
  <si>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</si>
  <si>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</si>
  <si>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</si>
  <si>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</si>
  <si>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</si>
  <si>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</si>
  <si>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</si>
  <si>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</si>
  <si>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</si>
  <si>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</si>
  <si>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</si>
  <si>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</si>
  <si>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</si>
  <si>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</si>
  <si>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</si>
  <si>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</si>
  <si>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</si>
  <si>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</si>
  <si>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</si>
  <si>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</si>
  <si>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</si>
  <si>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</si>
  <si>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</si>
  <si>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</si>
  <si>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</si>
  <si>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</si>
  <si>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</si>
  <si>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</si>
  <si>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</si>
  <si>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</si>
  <si>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</si>
  <si>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</si>
  <si>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</si>
  <si>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</si>
  <si>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</si>
  <si>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</si>
  <si>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</si>
  <si>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</si>
  <si>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</si>
  <si>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</si>
  <si>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</si>
  <si>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</si>
  <si>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</si>
  <si>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</si>
  <si>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</si>
  <si>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</si>
  <si>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</si>
  <si>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</si>
  <si>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</si>
  <si>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</si>
  <si>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</si>
  <si>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</si>
  <si>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</si>
  <si>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</si>
  <si>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</si>
  <si>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</si>
  <si>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</si>
  <si>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</si>
  <si>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</si>
  <si>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</si>
  <si>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</si>
  <si>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</si>
  <si>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</si>
  <si>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</si>
  <si>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</si>
  <si>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</si>
  <si>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</si>
  <si>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</si>
  <si>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</si>
  <si>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</si>
  <si>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</si>
  <si>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</si>
  <si>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</si>
  <si>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</si>
  <si>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</si>
  <si>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</si>
  <si>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</si>
  <si>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</si>
  <si>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</si>
  <si>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</si>
  <si>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</si>
  <si>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</si>
  <si>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</si>
  <si>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</si>
  <si>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</si>
  <si>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</si>
  <si>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</si>
  <si>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</si>
  <si>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</si>
  <si>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</si>
  <si>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</si>
  <si>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</si>
  <si>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</si>
  <si>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</si>
  <si>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</si>
  <si>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</si>
  <si>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</si>
  <si>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</si>
  <si>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</si>
  <si>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</si>
  <si>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</si>
  <si>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</si>
  <si>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</si>
  <si>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</si>
  <si>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</si>
  <si>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</si>
  <si>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</si>
  <si>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</si>
  <si>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</si>
  <si>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</si>
  <si>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</si>
  <si>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</si>
  <si>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</si>
  <si>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</si>
  <si>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</si>
  <si>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</si>
  <si>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</si>
  <si>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</si>
  <si>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</si>
  <si>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</si>
  <si>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</si>
  <si>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</si>
  <si>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</si>
  <si>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</si>
  <si>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</si>
  <si>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</si>
  <si>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</si>
  <si>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</si>
  <si>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</si>
  <si>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</si>
  <si>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</si>
  <si>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</si>
  <si>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</si>
  <si>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</si>
  <si>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</si>
  <si>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</si>
  <si>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</si>
  <si>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</si>
  <si>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</si>
  <si>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</si>
  <si>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</si>
  <si>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</si>
  <si>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</si>
  <si>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</si>
  <si>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</si>
  <si>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</si>
  <si>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</si>
  <si>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</si>
  <si>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</si>
  <si>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</si>
  <si>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</si>
  <si>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</si>
  <si>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</si>
  <si>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</si>
  <si>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</si>
  <si>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</si>
  <si>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</si>
  <si>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</si>
  <si>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</si>
  <si>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</si>
  <si>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</si>
  <si>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</si>
  <si>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</si>
  <si>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</si>
  <si>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</si>
  <si>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</si>
  <si>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</si>
  <si>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</si>
  <si>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</si>
  <si>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</si>
  <si>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</si>
  <si>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</si>
  <si>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</si>
  <si>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</si>
  <si>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</si>
  <si>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</si>
  <si>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</si>
  <si>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</si>
  <si>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</si>
  <si>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</si>
  <si>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</si>
  <si>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</si>
  <si>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</si>
  <si>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</si>
  <si>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</si>
  <si>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</si>
  <si>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</si>
  <si>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</si>
  <si>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</si>
  <si>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</si>
  <si>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</si>
  <si>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</si>
  <si>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</si>
  <si>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</si>
  <si>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</si>
  <si>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</si>
  <si>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</si>
  <si>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</si>
  <si>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</si>
  <si>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</si>
  <si>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</si>
  <si>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</si>
  <si>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</si>
  <si>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</si>
  <si>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</si>
  <si>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</si>
  <si>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</si>
  <si>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</si>
  <si>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</si>
  <si>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</si>
  <si>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</si>
  <si>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</si>
  <si>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</si>
  <si>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</si>
  <si>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</si>
  <si>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</si>
  <si>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</si>
  <si>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</si>
  <si>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</si>
  <si>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</si>
  <si>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</si>
  <si>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</si>
  <si>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</si>
  <si>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</si>
  <si>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</si>
  <si>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</si>
  <si>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</si>
  <si>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</si>
  <si>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</si>
  <si>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</si>
  <si>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</si>
  <si>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</si>
  <si>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</si>
  <si>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</si>
  <si>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</si>
  <si>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</si>
  <si>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</si>
  <si>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</si>
  <si>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</si>
  <si>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</si>
  <si>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</si>
  <si>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</si>
  <si>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</si>
  <si>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</si>
  <si>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</si>
  <si>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</si>
  <si>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</si>
  <si>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</si>
  <si>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</si>
  <si>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</si>
  <si>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</si>
  <si>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</si>
  <si>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</si>
  <si>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</si>
  <si>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</si>
  <si>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</si>
  <si>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</si>
  <si>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</si>
  <si>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</si>
  <si>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</si>
  <si>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</si>
  <si>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</si>
  <si>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</si>
  <si>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</si>
  <si>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</si>
  <si>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</si>
  <si>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</si>
  <si>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</si>
  <si>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</si>
  <si>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</si>
  <si>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</si>
  <si>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</si>
  <si>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</si>
  <si>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</si>
  <si>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</si>
  <si>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</si>
  <si>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</si>
  <si>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</si>
  <si>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</si>
  <si>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</si>
  <si>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</si>
  <si>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</si>
  <si>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</si>
  <si>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</si>
  <si>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</si>
  <si>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</si>
  <si>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</si>
  <si>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</si>
  <si>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</si>
  <si>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</si>
  <si>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</si>
  <si>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</si>
  <si>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</si>
  <si>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</si>
  <si>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</si>
  <si>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</si>
  <si>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</si>
  <si>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</si>
  <si>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</si>
  <si>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</si>
  <si>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</si>
  <si>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</si>
  <si>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</si>
  <si>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</si>
  <si>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</si>
  <si>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</si>
  <si>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</si>
  <si>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</si>
  <si>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</si>
  <si>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</si>
  <si>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</si>
  <si>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</si>
  <si>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</si>
  <si>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</si>
  <si>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</si>
  <si>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</si>
  <si>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</si>
  <si>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</si>
  <si>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</si>
  <si>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</si>
  <si>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</si>
  <si>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</si>
  <si>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</si>
  <si>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</si>
  <si>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</si>
  <si>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</si>
  <si>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</si>
  <si>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</si>
  <si>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</si>
  <si>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</si>
  <si>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</si>
  <si>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</si>
  <si>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</si>
  <si>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</si>
  <si>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</si>
  <si>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</si>
  <si>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</si>
  <si>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</si>
  <si>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</si>
  <si>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</si>
  <si>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</si>
  <si>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</si>
  <si>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</si>
  <si>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</si>
  <si>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</si>
  <si>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</si>
  <si>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</si>
  <si>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</si>
  <si>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</si>
  <si>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</si>
  <si>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</si>
  <si>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</si>
  <si>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</si>
  <si>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</si>
  <si>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</si>
  <si>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</si>
  <si>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</si>
  <si>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</si>
  <si>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</si>
  <si>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</si>
  <si>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</si>
  <si>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</si>
  <si>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</si>
  <si>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</si>
  <si>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</si>
  <si>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</si>
  <si>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</si>
  <si>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</si>
  <si>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</si>
  <si>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</si>
  <si>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</si>
  <si>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</si>
  <si>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</si>
  <si>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</si>
  <si>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</si>
  <si>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</si>
  <si>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</si>
  <si>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</si>
  <si>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</si>
  <si>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</si>
  <si>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</si>
  <si>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</si>
  <si>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</si>
  <si>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</si>
  <si>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</si>
  <si>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</si>
  <si>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</si>
  <si>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</si>
  <si>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</si>
  <si>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</si>
  <si>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</si>
  <si>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</si>
  <si>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</si>
  <si>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</si>
  <si>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</si>
  <si>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</si>
  <si>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</si>
  <si>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</si>
  <si>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</si>
  <si>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</si>
  <si>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</si>
  <si>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</si>
  <si>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</si>
  <si>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</si>
  <si>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</si>
  <si>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</si>
  <si>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</si>
  <si>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</si>
  <si>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</si>
  <si>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</si>
  <si>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</si>
  <si>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</si>
  <si>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</si>
  <si>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</si>
  <si>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</si>
  <si>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</si>
  <si>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</si>
  <si>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</si>
  <si>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</si>
  <si>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</si>
  <si>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</si>
  <si>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</si>
  <si>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</si>
  <si>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</si>
  <si>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</si>
  <si>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</si>
  <si>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</si>
  <si>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</si>
  <si>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</si>
  <si>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</si>
  <si>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</si>
  <si>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</si>
  <si>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</si>
  <si>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</si>
  <si>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</si>
  <si>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</si>
  <si>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</si>
  <si>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</si>
  <si>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</si>
  <si>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</si>
  <si>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</si>
  <si>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</si>
  <si>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</si>
  <si>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</si>
  <si>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</si>
  <si>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</si>
  <si>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</si>
  <si>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</si>
  <si>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</si>
  <si>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</si>
  <si>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</si>
  <si>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</si>
  <si>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</si>
  <si>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</si>
  <si>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</si>
  <si>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</si>
  <si>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</si>
  <si>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</si>
  <si>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</si>
  <si>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</si>
  <si>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</si>
  <si>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</si>
  <si>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</si>
  <si>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</si>
  <si>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</si>
  <si>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</si>
  <si>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</si>
  <si>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</si>
  <si>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</si>
  <si>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</si>
  <si>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</si>
  <si>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</si>
  <si>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</si>
  <si>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</si>
  <si>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</si>
  <si>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</si>
  <si>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</si>
  <si>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</si>
  <si>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</si>
  <si>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</si>
  <si>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</si>
  <si>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</si>
  <si>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</si>
  <si>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</si>
  <si>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</si>
  <si>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</si>
  <si>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</si>
  <si>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</si>
  <si>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</si>
  <si>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</si>
  <si>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</si>
  <si>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</si>
  <si>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</si>
  <si>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</si>
  <si>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</si>
  <si>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</si>
  <si>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</si>
  <si>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</si>
  <si>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</si>
  <si>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</si>
  <si>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</si>
  <si>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</si>
  <si>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</si>
  <si>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</si>
  <si>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</si>
  <si>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</si>
  <si>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</si>
  <si>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</si>
  <si>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</si>
  <si>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</si>
  <si>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</si>
  <si>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</si>
  <si>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</si>
  <si>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</si>
  <si>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</si>
  <si>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</si>
  <si>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</si>
  <si>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</si>
  <si>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</si>
  <si>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</si>
  <si>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</si>
  <si>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</si>
  <si>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</si>
  <si>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</si>
  <si>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</si>
  <si>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</si>
  <si>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</si>
  <si>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</si>
  <si>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</si>
  <si>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</si>
  <si>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</si>
  <si>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</si>
  <si>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</si>
  <si>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</si>
  <si>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</si>
  <si>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</si>
  <si>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</si>
  <si>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</si>
  <si>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</si>
  <si>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</si>
  <si>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</si>
  <si>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</si>
  <si>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</si>
  <si>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</si>
  <si>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</si>
  <si>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</si>
  <si>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</si>
  <si>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</si>
  <si>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</si>
  <si>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</si>
  <si>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</si>
  <si>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</si>
  <si>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</si>
  <si>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</si>
  <si>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</si>
  <si>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</si>
  <si>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</si>
  <si>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</si>
  <si>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</si>
  <si>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</si>
  <si>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</si>
  <si>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</si>
  <si>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</si>
  <si>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</si>
  <si>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</si>
  <si>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</si>
  <si>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</si>
  <si>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</si>
  <si>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</si>
  <si>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</si>
  <si>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</si>
  <si>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</si>
  <si>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</si>
  <si>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</si>
  <si>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</si>
  <si>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</si>
  <si>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</si>
  <si>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</si>
  <si>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</si>
  <si>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</si>
  <si>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</si>
  <si>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</si>
  <si>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</si>
  <si>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</si>
  <si>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</si>
  <si>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</si>
  <si>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</si>
  <si>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</si>
  <si>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</si>
  <si>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</si>
  <si>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</si>
  <si>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</si>
  <si>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</si>
  <si>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</si>
  <si>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</si>
  <si>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</si>
  <si>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</si>
  <si>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</si>
  <si>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</si>
  <si>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</si>
  <si>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</si>
  <si>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</si>
  <si>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</si>
  <si>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</si>
  <si>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</si>
  <si>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</si>
  <si>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</si>
  <si>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</si>
  <si>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</si>
  <si>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</si>
  <si>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</si>
  <si>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</si>
  <si>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</si>
  <si>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</si>
  <si>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</si>
  <si>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</si>
  <si>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</si>
  <si>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</si>
  <si>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</si>
  <si>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</si>
  <si>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</si>
  <si>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</si>
  <si>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</si>
  <si>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</si>
  <si>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</si>
  <si>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</si>
  <si>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</si>
  <si>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</si>
  <si>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</si>
  <si>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</si>
  <si>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</si>
  <si>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</si>
  <si>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</si>
  <si>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</si>
  <si>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</si>
  <si>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</si>
  <si>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</si>
  <si>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</si>
  <si>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</si>
  <si>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</si>
  <si>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</si>
  <si>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</si>
  <si>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</si>
  <si>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</si>
  <si>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</si>
  <si>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</si>
  <si>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</si>
  <si>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</si>
  <si>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</si>
  <si>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</si>
  <si>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</si>
  <si>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</si>
  <si>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</si>
  <si>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</si>
  <si>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</si>
  <si>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</si>
  <si>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</si>
  <si>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</si>
  <si>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</si>
  <si>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</si>
  <si>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</si>
  <si>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</si>
  <si>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</si>
  <si>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</si>
  <si>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</si>
  <si>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</si>
  <si>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</si>
  <si>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</si>
  <si>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</si>
  <si>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</si>
  <si>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</si>
  <si>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</si>
  <si>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</si>
  <si>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</si>
  <si>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</si>
  <si>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</si>
  <si>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</si>
  <si>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</si>
  <si>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</si>
  <si>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</si>
  <si>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</si>
  <si>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</si>
  <si>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</si>
  <si>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</si>
  <si>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</si>
  <si>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</si>
  <si>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</si>
  <si>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</si>
  <si>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</si>
  <si>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</si>
  <si>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</si>
  <si>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</si>
  <si>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</si>
  <si>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</si>
  <si>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</si>
  <si>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</si>
  <si>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</si>
  <si>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</si>
  <si>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</si>
  <si>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</si>
  <si>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</si>
  <si>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</si>
  <si>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</si>
  <si>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</si>
  <si>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</si>
  <si>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</si>
  <si>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</si>
  <si>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</si>
  <si>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</si>
  <si>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</si>
  <si>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</si>
  <si>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</si>
  <si>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</si>
  <si>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</si>
  <si>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</si>
  <si>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</si>
  <si>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</si>
  <si>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</si>
  <si>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</si>
  <si>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</si>
  <si>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</si>
  <si>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</si>
  <si>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</si>
  <si>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</si>
  <si>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</si>
  <si>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</si>
  <si>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</si>
  <si>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</si>
  <si>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</si>
  <si>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</si>
  <si>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</si>
  <si>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</si>
  <si>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</si>
  <si>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</si>
  <si>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</si>
  <si>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</si>
  <si>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</si>
  <si>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</si>
  <si>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</si>
  <si>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</si>
  <si>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</si>
  <si>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</si>
  <si>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</si>
  <si>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</si>
  <si>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</si>
  <si>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</si>
  <si>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</si>
  <si>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</si>
  <si>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</si>
  <si>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</si>
  <si>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</si>
  <si>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</si>
  <si>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</si>
  <si>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</si>
  <si>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</si>
  <si>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</si>
  <si>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</si>
  <si>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</si>
  <si>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</si>
  <si>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</si>
  <si>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</si>
  <si>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</si>
  <si>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</si>
  <si>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</si>
  <si>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</si>
  <si>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</si>
  <si>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</si>
  <si>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</si>
  <si>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</si>
  <si>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</si>
  <si>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</si>
  <si>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</si>
  <si>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</si>
  <si>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</si>
  <si>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</si>
  <si>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</si>
  <si>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</si>
  <si>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</si>
  <si>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</si>
  <si>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</si>
  <si>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</si>
  <si>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</si>
  <si>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</si>
  <si>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</si>
  <si>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</si>
  <si>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</si>
  <si>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</si>
  <si>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</si>
  <si>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</si>
  <si>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</si>
  <si>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</si>
  <si>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</si>
  <si>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</si>
  <si>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</si>
  <si>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</si>
  <si>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</si>
  <si>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</si>
  <si>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</si>
  <si>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</si>
  <si>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</si>
  <si>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</si>
  <si>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</si>
  <si>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</si>
  <si>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</si>
  <si>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</si>
  <si>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</si>
  <si>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</si>
  <si>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</si>
  <si>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</si>
  <si>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</si>
  <si>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</si>
  <si>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</si>
  <si>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</si>
  <si>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</si>
  <si>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</si>
  <si>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</si>
  <si>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</si>
  <si>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</si>
  <si>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</si>
  <si>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</si>
  <si>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</si>
  <si>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</si>
  <si>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</si>
  <si>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</si>
  <si>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</si>
  <si>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</si>
  <si>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</si>
  <si>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</si>
  <si>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</si>
  <si>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</si>
  <si>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</si>
  <si>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</si>
  <si>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</si>
  <si>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</si>
  <si>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</si>
  <si>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</si>
  <si>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</si>
  <si>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</si>
  <si>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</si>
  <si>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</si>
  <si>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</si>
  <si>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</si>
  <si>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</si>
  <si>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</si>
  <si>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</si>
  <si>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</si>
  <si>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</si>
  <si>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</si>
  <si>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</si>
  <si>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</si>
  <si>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</si>
  <si>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</si>
  <si>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</si>
  <si>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</si>
  <si>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</si>
  <si>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</si>
  <si>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</si>
  <si>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</si>
  <si>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</si>
  <si>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</si>
  <si>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</si>
  <si>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</si>
  <si>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</si>
  <si>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</si>
  <si>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</si>
  <si>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</si>
  <si>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</si>
  <si>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</si>
  <si>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</si>
  <si>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</si>
  <si>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</si>
  <si>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</si>
  <si>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</si>
  <si>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</si>
  <si>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</si>
  <si>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</si>
  <si>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</si>
  <si>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</si>
  <si>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</si>
  <si>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</si>
  <si>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</si>
  <si>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</si>
  <si>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</si>
  <si>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</si>
  <si>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</si>
  <si>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</si>
  <si>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</si>
  <si>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</si>
  <si>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</si>
  <si>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</si>
  <si>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</si>
  <si>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</si>
  <si>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</si>
  <si>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</si>
  <si>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</si>
  <si>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</si>
  <si>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</si>
  <si>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</si>
  <si>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</si>
  <si>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</si>
  <si>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</si>
  <si>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</si>
  <si>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</si>
  <si>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</si>
  <si>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</si>
  <si>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</si>
  <si>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</si>
  <si>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</si>
  <si>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</si>
  <si>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</si>
  <si>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</si>
  <si>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</si>
  <si>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</si>
  <si>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</si>
  <si>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</si>
  <si>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</si>
  <si>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</si>
  <si>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</si>
  <si>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</si>
  <si>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</si>
  <si>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</si>
  <si>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</si>
  <si>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</si>
  <si>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</si>
  <si>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</si>
  <si>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</si>
  <si>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</si>
  <si>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</si>
  <si>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</si>
  <si>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</si>
  <si>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</si>
  <si>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</si>
  <si>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</si>
  <si>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</si>
  <si>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</si>
  <si>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</si>
  <si>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</si>
  <si>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</si>
  <si>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</si>
  <si>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</si>
  <si>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</si>
  <si>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</si>
  <si>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</si>
  <si>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</si>
  <si>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</si>
  <si>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</si>
  <si>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</si>
  <si>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</si>
  <si>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</si>
  <si>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</si>
  <si>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</si>
  <si>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</si>
  <si>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</si>
  <si>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</si>
  <si>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</si>
  <si>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</si>
  <si>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</si>
  <si>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</si>
  <si>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</si>
  <si>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</si>
  <si>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</si>
  <si>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</si>
  <si>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</si>
  <si>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</si>
  <si>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</si>
  <si>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</si>
  <si>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</si>
  <si>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</si>
  <si>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</si>
  <si>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</si>
  <si>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</si>
  <si>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</si>
  <si>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</si>
  <si>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</si>
  <si>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</si>
  <si>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</si>
  <si>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</si>
  <si>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</si>
  <si>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</si>
  <si>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</si>
  <si>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</si>
  <si>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</si>
  <si>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</si>
  <si>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</si>
  <si>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</si>
  <si>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</si>
  <si>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</si>
  <si>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</si>
  <si>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</si>
  <si>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</si>
  <si>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</si>
  <si>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</si>
  <si>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</si>
  <si>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</si>
  <si>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</si>
  <si>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</si>
  <si>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</si>
  <si>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</si>
  <si>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</si>
  <si>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</si>
  <si>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</si>
  <si>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</si>
  <si>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</si>
  <si>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</si>
  <si>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</si>
  <si>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</si>
  <si>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</si>
  <si>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</si>
  <si>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</si>
  <si>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</si>
  <si>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</si>
  <si>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</si>
  <si>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</si>
  <si>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</si>
  <si>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</si>
  <si>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</si>
  <si>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</si>
  <si>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</si>
  <si>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</si>
  <si>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</si>
  <si>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</si>
  <si>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7幢3层301号</t>
  </si>
  <si>
    <t>是</t>
    <phoneticPr fontId="5" type="noConversion"/>
  </si>
  <si>
    <t>地上</t>
  </si>
  <si>
    <t>办公楼</t>
  </si>
  <si>
    <t>商业街</t>
  </si>
  <si>
    <t>否</t>
  </si>
  <si>
    <t>其余办公用房</t>
    <phoneticPr fontId="9" type="noConversion"/>
  </si>
  <si>
    <t>商业</t>
    <phoneticPr fontId="5" type="noConversion"/>
  </si>
  <si>
    <t>成新度</t>
  </si>
  <si>
    <t>收益法 (元)</t>
  </si>
  <si>
    <t>省会市名称</t>
  </si>
  <si>
    <t>建筑型式</t>
  </si>
  <si>
    <t>多层</t>
  </si>
  <si>
    <t>小高层</t>
  </si>
  <si>
    <t>高层</t>
  </si>
  <si>
    <t>昆明市</t>
  </si>
  <si>
    <t>售价</t>
  </si>
  <si>
    <t>中铁云时代</t>
    <phoneticPr fontId="5" type="noConversion"/>
  </si>
  <si>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</si>
  <si>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</si>
  <si>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</si>
  <si>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</si>
  <si>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</si>
  <si>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</si>
  <si>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</si>
  <si>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</si>
  <si>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</si>
  <si>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</si>
  <si>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</si>
  <si>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</si>
  <si>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</si>
  <si>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</si>
  <si>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</si>
  <si>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</si>
  <si>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</si>
  <si>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</si>
  <si>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</si>
  <si>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</si>
  <si>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</si>
  <si>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</si>
  <si>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</si>
  <si>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</si>
  <si>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</si>
  <si>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</si>
  <si>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</si>
  <si>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</si>
  <si>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</si>
  <si>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</si>
  <si>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</si>
  <si>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比较法-办公</t>
  </si>
  <si>
    <t>楼层</t>
    <phoneticPr fontId="5" type="noConversion"/>
  </si>
  <si>
    <t>高楼层</t>
    <phoneticPr fontId="5" type="noConversion"/>
  </si>
  <si>
    <t>中间楼层</t>
    <phoneticPr fontId="5" type="noConversion"/>
  </si>
  <si>
    <t>低楼层</t>
    <phoneticPr fontId="5" type="noConversion"/>
  </si>
  <si>
    <t>装修</t>
    <phoneticPr fontId="5" type="noConversion"/>
  </si>
  <si>
    <t>精装修</t>
    <phoneticPr fontId="5" type="noConversion"/>
  </si>
  <si>
    <t>普通装修</t>
    <phoneticPr fontId="5" type="noConversion"/>
  </si>
  <si>
    <t>毛坯</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</si>
  <si>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</si>
  <si>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</si>
  <si>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</si>
  <si>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</si>
  <si>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</si>
  <si>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</si>
  <si>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</si>
  <si>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</si>
  <si>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</si>
  <si>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</si>
  <si>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</si>
  <si>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</si>
  <si>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</si>
  <si>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</si>
  <si>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</si>
  <si>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</si>
  <si>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</si>
  <si>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</si>
  <si>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60" type="noConversion"/>
  </si>
  <si>
    <t>3层303号</t>
    <phoneticPr fontId="260" type="noConversion"/>
  </si>
  <si>
    <t>云（2018）五华区不动产权第0083623号</t>
    <phoneticPr fontId="260" type="noConversion"/>
  </si>
  <si>
    <t>五华区科普路旁昆明联想科技城（二期）3层303号</t>
  </si>
  <si>
    <t>3层304号</t>
  </si>
  <si>
    <t>云（2018）五华区不动产权第0083624号</t>
    <phoneticPr fontId="260"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</si>
  <si>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</si>
  <si>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</si>
  <si>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</si>
  <si>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</si>
  <si>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</si>
  <si>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</si>
  <si>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</si>
  <si>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</si>
  <si>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</si>
  <si>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</si>
  <si>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</si>
  <si>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</si>
  <si>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</si>
  <si>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</si>
  <si>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</si>
  <si>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</si>
  <si>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</si>
  <si>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</si>
  <si>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</si>
  <si>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</si>
  <si>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</si>
  <si>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</si>
  <si>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60" type="noConversion"/>
  </si>
  <si>
    <t>云（2018）五华区不动产权第0083632号</t>
  </si>
  <si>
    <t>五华区科普路旁昆明联想科技城（二期）4层401号</t>
  </si>
  <si>
    <t>4层402号</t>
    <phoneticPr fontId="260"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</si>
  <si>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</si>
  <si>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</si>
  <si>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</si>
  <si>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</si>
  <si>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</si>
  <si>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</si>
  <si>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</si>
  <si>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</si>
  <si>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</si>
  <si>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</si>
  <si>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</si>
  <si>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</si>
  <si>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</si>
  <si>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</si>
  <si>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</si>
  <si>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</si>
  <si>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</si>
  <si>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</si>
  <si>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</si>
  <si>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</si>
  <si>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</si>
  <si>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</si>
  <si>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</si>
  <si>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</si>
  <si>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</si>
  <si>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</si>
  <si>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</si>
  <si>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</si>
  <si>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</si>
  <si>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</si>
  <si>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</si>
  <si>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</si>
  <si>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60" type="noConversion"/>
  </si>
  <si>
    <t>云（2018）五华区不动产权第0083544号</t>
    <phoneticPr fontId="260" type="noConversion"/>
  </si>
  <si>
    <t>五华区科普路旁昆明联想科技城（二期）6层608号</t>
  </si>
  <si>
    <t>8层802号</t>
    <phoneticPr fontId="260" type="noConversion"/>
  </si>
  <si>
    <t>云（2018）五华区不动产权第0083545号</t>
    <phoneticPr fontId="260"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</si>
  <si>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</si>
  <si>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</si>
  <si>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</si>
  <si>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</si>
  <si>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</si>
  <si>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</si>
  <si>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</si>
  <si>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</si>
  <si>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</si>
  <si>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</si>
  <si>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60"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</si>
  <si>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</si>
  <si>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</si>
  <si>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</si>
  <si>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</si>
  <si>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</si>
  <si>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</si>
  <si>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</si>
  <si>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</si>
  <si>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</si>
  <si>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</si>
  <si>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</si>
  <si>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</si>
  <si>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</si>
  <si>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</si>
  <si>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60"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</si>
  <si>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</si>
  <si>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</si>
  <si>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</si>
  <si>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</si>
  <si>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</si>
  <si>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</si>
  <si>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</si>
  <si>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</si>
  <si>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</si>
  <si>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</si>
  <si>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</si>
  <si>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</si>
  <si>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60"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</si>
  <si>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</si>
  <si>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</si>
  <si>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</si>
  <si>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</si>
  <si>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</si>
  <si>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</si>
  <si>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</si>
  <si>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</si>
  <si>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</si>
  <si>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</si>
  <si>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</si>
  <si>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</si>
  <si>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</si>
  <si>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</si>
  <si>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</si>
  <si>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</si>
  <si>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</si>
  <si>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</si>
  <si>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</si>
  <si>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</si>
  <si>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</si>
  <si>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60"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</si>
  <si>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</si>
  <si>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</si>
  <si>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</si>
  <si>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</si>
  <si>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</si>
  <si>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</si>
  <si>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</si>
  <si>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</si>
  <si>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</si>
  <si>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</si>
  <si>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</si>
  <si>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</si>
  <si>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</si>
  <si>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</si>
  <si>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</si>
  <si>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</si>
  <si>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</si>
  <si>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</si>
  <si>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</si>
  <si>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</si>
  <si>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60" type="noConversion"/>
  </si>
  <si>
    <t>云（2018）五华区不动产权第0083572号</t>
  </si>
  <si>
    <t>五华区科普路旁昆明联想科技城（二期）13层1309号</t>
  </si>
  <si>
    <t>14层1401号</t>
    <phoneticPr fontId="260"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</si>
  <si>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</si>
  <si>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</si>
  <si>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</si>
  <si>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</si>
  <si>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</si>
  <si>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</si>
  <si>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</si>
  <si>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</si>
  <si>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</si>
  <si>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</si>
  <si>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</si>
  <si>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</si>
  <si>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</si>
  <si>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</si>
  <si>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</si>
  <si>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</si>
  <si>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</si>
  <si>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</si>
  <si>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</si>
  <si>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</si>
  <si>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</si>
  <si>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</si>
  <si>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</si>
  <si>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</si>
  <si>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</si>
  <si>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</si>
  <si>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</si>
  <si>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</si>
  <si>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</si>
  <si>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</si>
  <si>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</si>
  <si>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</si>
  <si>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</si>
  <si>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</si>
  <si>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</si>
  <si>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</si>
  <si>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</si>
  <si>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</si>
  <si>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60"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</si>
  <si>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</si>
  <si>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</si>
  <si>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</si>
  <si>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</si>
  <si>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</si>
  <si>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</si>
  <si>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</si>
  <si>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</si>
  <si>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</si>
  <si>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</si>
  <si>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</si>
  <si>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</si>
  <si>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</si>
  <si>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</si>
  <si>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</si>
  <si>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</si>
  <si>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</si>
  <si>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</si>
  <si>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</si>
  <si>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</si>
  <si>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</si>
  <si>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</si>
  <si>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</si>
  <si>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</si>
  <si>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</si>
  <si>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</si>
  <si>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</si>
  <si>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</si>
  <si>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</si>
  <si>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</si>
  <si>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</si>
  <si>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</si>
  <si>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</si>
  <si>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</si>
  <si>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</si>
  <si>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</si>
  <si>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60"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</si>
  <si>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</si>
  <si>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</si>
  <si>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</si>
  <si>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</si>
  <si>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</si>
  <si>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</si>
  <si>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</si>
  <si>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</si>
  <si>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</si>
  <si>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60"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</si>
  <si>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</si>
  <si>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</si>
  <si>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</si>
  <si>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</si>
  <si>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</si>
  <si>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</si>
  <si>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</si>
  <si>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</si>
  <si>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</si>
  <si>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</si>
  <si>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</si>
  <si>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</si>
  <si>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</si>
  <si>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</si>
  <si>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</si>
  <si>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</si>
  <si>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</si>
  <si>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60"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</si>
  <si>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</si>
  <si>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</si>
  <si>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</si>
  <si>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</si>
  <si>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</si>
  <si>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</si>
  <si>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60"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</si>
  <si>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</si>
  <si>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</si>
  <si>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</si>
  <si>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</si>
  <si>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</si>
  <si>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</si>
  <si>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</si>
  <si>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</si>
  <si>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60"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</si>
  <si>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</si>
  <si>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</si>
  <si>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</si>
  <si>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</si>
  <si>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</si>
  <si>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</si>
  <si>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</si>
  <si>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</si>
  <si>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</si>
  <si>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60"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</si>
  <si>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</si>
  <si>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</si>
  <si>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</si>
  <si>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</si>
  <si>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</si>
  <si>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60"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</si>
  <si>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</si>
  <si>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</si>
  <si>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</si>
  <si>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</si>
  <si>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</si>
  <si>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</si>
  <si>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</si>
  <si>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</si>
  <si>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</si>
  <si>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</si>
  <si>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</si>
  <si>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</si>
  <si>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</si>
  <si>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</si>
  <si>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</si>
  <si>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</si>
  <si>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</si>
  <si>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60" type="noConversion"/>
  </si>
  <si>
    <t>钢混结构</t>
    <phoneticPr fontId="260" type="noConversion"/>
  </si>
  <si>
    <t>办公</t>
    <phoneticPr fontId="260" type="noConversion"/>
  </si>
  <si>
    <t>云（2018）五华区不动产权第0083484号</t>
    <phoneticPr fontId="260" type="noConversion"/>
  </si>
  <si>
    <t>五华区科普路旁昆明联想科技城（二期）16层1607号</t>
  </si>
  <si>
    <t>16层1608号</t>
  </si>
  <si>
    <t>云（2018）五华区不动产权第0083485号</t>
    <phoneticPr fontId="260" type="noConversion"/>
  </si>
  <si>
    <t>五华区科普路旁昆明联想科技城（二期）16层1608号</t>
  </si>
  <si>
    <t>16层1619号</t>
    <phoneticPr fontId="260"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</si>
  <si>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</si>
  <si>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</si>
  <si>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</si>
  <si>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</si>
  <si>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</si>
  <si>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</si>
  <si>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</si>
  <si>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</si>
  <si>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</si>
  <si>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</si>
  <si>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</si>
  <si>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</si>
  <si>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</si>
  <si>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</si>
  <si>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</si>
  <si>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60" type="noConversion"/>
  </si>
  <si>
    <t>办公</t>
    <phoneticPr fontId="260"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</si>
  <si>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</si>
  <si>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</si>
  <si>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</si>
  <si>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</si>
  <si>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</si>
  <si>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</si>
  <si>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</si>
  <si>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</si>
  <si>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</si>
  <si>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</si>
  <si>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</si>
  <si>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</si>
  <si>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</si>
  <si>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</si>
  <si>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60"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</si>
  <si>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</si>
  <si>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</si>
  <si>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</si>
  <si>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</si>
  <si>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</si>
  <si>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</si>
  <si>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</si>
  <si>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</si>
  <si>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</si>
  <si>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</si>
  <si>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</si>
  <si>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</si>
  <si>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</si>
  <si>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</si>
  <si>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</si>
  <si>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</si>
  <si>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</si>
  <si>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</si>
  <si>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</si>
  <si>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</si>
  <si>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</si>
  <si>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</si>
  <si>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</si>
  <si>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</si>
  <si>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</si>
  <si>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</si>
  <si>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</si>
  <si>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</si>
  <si>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</si>
  <si>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</si>
  <si>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</si>
  <si>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</si>
  <si>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</si>
  <si>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</si>
  <si>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</si>
  <si>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</si>
  <si>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</si>
  <si>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</si>
  <si>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</si>
  <si>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</si>
  <si>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</si>
  <si>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</si>
  <si>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</si>
  <si>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</si>
  <si>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</si>
  <si>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</si>
  <si>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</si>
  <si>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</si>
  <si>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</si>
  <si>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</si>
  <si>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五华区科普路旁昆明联想科技城（二期）18层1801号</t>
  </si>
  <si>
    <t>18层1802号</t>
  </si>
  <si>
    <t>云（2018）五华区不动产权第0092886号</t>
  </si>
  <si>
    <t>五华区科普路旁昆明联想科技城（二期）18层1802号</t>
  </si>
  <si>
    <t>18层1803号</t>
  </si>
  <si>
    <t>云（2018）五华区不动产权第0092887号</t>
  </si>
  <si>
    <t>五华区科普路旁昆明联想科技城（二期）18层1803号</t>
  </si>
  <si>
    <t>18层1804号</t>
  </si>
  <si>
    <t>云（2018）五华区不动产权第0092888号</t>
  </si>
  <si>
    <t>五华区科普路旁昆明联想科技城（二期）18层1804号</t>
  </si>
  <si>
    <t>18层1805号</t>
  </si>
  <si>
    <t>云（2018）五华区不动产权第0092889号</t>
  </si>
  <si>
    <t>五华区科普路旁昆明联想科技城（二期）18层1805号</t>
  </si>
  <si>
    <t>18层1806号</t>
  </si>
  <si>
    <t>云（2018）五华区不动产权第0092890号</t>
  </si>
  <si>
    <t>五华区科普路旁昆明联想科技城（二期）18层1806号</t>
  </si>
  <si>
    <t>18层1807号</t>
  </si>
  <si>
    <t>云（2018）五华区不动产权第0092891号</t>
  </si>
  <si>
    <t>五华区科普路旁昆明联想科技城（二期）18层1807号</t>
  </si>
  <si>
    <t>18层1808号</t>
  </si>
  <si>
    <t>云（2018）五华区不动产权第0092892号</t>
  </si>
  <si>
    <t>五华区科普路旁昆明联想科技城（二期）18层1808号</t>
  </si>
  <si>
    <t>18层1809号</t>
  </si>
  <si>
    <t>云（2018）五华区不动产权第0092893号</t>
  </si>
  <si>
    <t>五华区科普路旁昆明联想科技城（二期）18层1809号</t>
  </si>
  <si>
    <t>18层1810号</t>
  </si>
  <si>
    <t>云（2018）五华区不动产权第0092894号</t>
  </si>
  <si>
    <t>五华区科普路旁昆明联想科技城（二期）18层1810号</t>
  </si>
  <si>
    <t>18层1811号</t>
  </si>
  <si>
    <t>云（2018）五华区不动产权第0092895号</t>
  </si>
  <si>
    <t>五华区科普路旁昆明联想科技城（二期）18层1811号</t>
  </si>
  <si>
    <t>18层1812号</t>
  </si>
  <si>
    <t>云（2018）五华区不动产权第0092896号</t>
  </si>
  <si>
    <t>五华区科普路旁昆明联想科技城（二期）18层1812号</t>
  </si>
  <si>
    <t>18层1813号</t>
  </si>
  <si>
    <t>云（2018）五华区不动产权第0092897号</t>
  </si>
  <si>
    <t>五华区科普路旁昆明联想科技城（二期）18层1813号</t>
  </si>
  <si>
    <t>18层1814号</t>
  </si>
  <si>
    <t>云（2018）五华区不动产权第0092898号</t>
  </si>
  <si>
    <t>五华区科普路旁昆明联想科技城（二期）18层1814号</t>
  </si>
  <si>
    <t>18层1815号</t>
  </si>
  <si>
    <t>云（2018）五华区不动产权第0092899号</t>
  </si>
  <si>
    <t>五华区科普路旁昆明联想科技城（二期）18层1815号</t>
  </si>
  <si>
    <t>18层1816号</t>
  </si>
  <si>
    <t>云（2018）五华区不动产权第0092900号</t>
  </si>
  <si>
    <t>五华区科普路旁昆明联想科技城（二期）18层1816号</t>
  </si>
  <si>
    <t>18层1817号</t>
  </si>
  <si>
    <t>云（2018）五华区不动产权第0092901号</t>
  </si>
  <si>
    <t>五华区科普路旁昆明联想科技城（二期）18层1817号</t>
  </si>
  <si>
    <t>18层1818号</t>
  </si>
  <si>
    <t>云（2018）五华区不动产权第0092902号</t>
  </si>
  <si>
    <t>五华区科普路旁昆明联想科技城（二期）18层1818号</t>
  </si>
  <si>
    <t>18层1819号</t>
  </si>
  <si>
    <t>云（2018）五华区不动产权第0092903号</t>
  </si>
  <si>
    <t>五华区科普路旁昆明联想科技城（二期）18层1819号</t>
  </si>
  <si>
    <t>18层1820号</t>
  </si>
  <si>
    <t>云（2018）五华区不动产权第0092904号</t>
  </si>
  <si>
    <t>五华区科普路旁昆明联想科技城（二期）18层1820号</t>
  </si>
  <si>
    <t>18层1821号</t>
  </si>
  <si>
    <t>云（2018）五华区不动产权第0092905号</t>
  </si>
  <si>
    <t>五华区科普路旁昆明联想科技城（二期）18层1821号</t>
  </si>
  <si>
    <t>18层1822号</t>
  </si>
  <si>
    <t>云（2018）五华区不动产权第0092906号</t>
  </si>
  <si>
    <t>五华区科普路旁昆明联想科技城（二期）18层1822号</t>
  </si>
  <si>
    <t>18层1823号</t>
  </si>
  <si>
    <t>云（2018）五华区不动产权第0092907号</t>
  </si>
  <si>
    <t>五华区科普路旁昆明联想科技城（二期）18层1823号</t>
  </si>
  <si>
    <t>18层1824号</t>
  </si>
  <si>
    <t>云（2018）五华区不动产权第0092908号</t>
  </si>
  <si>
    <t>五华区科普路旁昆明联想科技城（二期）18层1824号</t>
  </si>
  <si>
    <t>18层1825号</t>
  </si>
  <si>
    <t>云（2018）五华区不动产权第0092909号</t>
  </si>
  <si>
    <t>五华区科普路旁昆明联想科技城（二期）18层1825号</t>
  </si>
  <si>
    <t>18层1826号</t>
  </si>
  <si>
    <t>云（2018）五华区不动产权第0092910号</t>
  </si>
  <si>
    <t>五华区科普路旁昆明联想科技城（二期）18层1826号</t>
  </si>
  <si>
    <t>18层1827号</t>
  </si>
  <si>
    <t>云（2018）五华区不动产权第0092911号</t>
  </si>
  <si>
    <t>五华区科普路旁昆明联想科技城（二期）18层1827号</t>
  </si>
  <si>
    <t>18层1828号</t>
  </si>
  <si>
    <t>云（2018）五华区不动产权第0092912号</t>
  </si>
  <si>
    <t>五华区科普路旁昆明联想科技城（二期）18层1828号</t>
  </si>
  <si>
    <t>19层1901号</t>
  </si>
  <si>
    <t>云（2018）五华区不动产权第0092913号</t>
  </si>
  <si>
    <t>五华区科普路旁昆明联想科技城（二期）19层1901号</t>
  </si>
  <si>
    <t>19层1902号</t>
  </si>
  <si>
    <t>云（2018）五华区不动产权第0092914号</t>
  </si>
  <si>
    <t>五华区科普路旁昆明联想科技城（二期）19层1902号</t>
  </si>
  <si>
    <t>19层1903号</t>
  </si>
  <si>
    <t>云（2018）五华区不动产权第0092915号</t>
  </si>
  <si>
    <t>五华区科普路旁昆明联想科技城（二期）19层1903号</t>
  </si>
  <si>
    <t>19层1904号</t>
  </si>
  <si>
    <t>云（2018）五华区不动产权第0092916号</t>
  </si>
  <si>
    <t>五华区科普路旁昆明联想科技城（二期）19层1904号</t>
  </si>
  <si>
    <t>19层1905号</t>
  </si>
  <si>
    <t>云（2018）五华区不动产权第0092917号</t>
  </si>
  <si>
    <t>五华区科普路旁昆明联想科技城（二期）19层1905号</t>
  </si>
  <si>
    <t>19层1906号</t>
  </si>
  <si>
    <t>云（2018）五华区不动产权第0092918号</t>
  </si>
  <si>
    <t>五华区科普路旁昆明联想科技城（二期）19层1906号</t>
  </si>
  <si>
    <t>19层1907号</t>
  </si>
  <si>
    <t>云（2018）五华区不动产权第0092919号</t>
  </si>
  <si>
    <t>五华区科普路旁昆明联想科技城（二期）19层1907号</t>
  </si>
  <si>
    <t>19层1908号</t>
  </si>
  <si>
    <t>云（2018）五华区不动产权第0092920号</t>
  </si>
  <si>
    <t>五华区科普路旁昆明联想科技城（二期）19层1908号</t>
  </si>
  <si>
    <t>19层1909号</t>
  </si>
  <si>
    <t>云（2018）五华区不动产权第0092921号</t>
  </si>
  <si>
    <t>五华区科普路旁昆明联想科技城（二期）19层1909号</t>
  </si>
  <si>
    <t>19层1910号</t>
  </si>
  <si>
    <t>云（2018）五华区不动产权第0092922号</t>
  </si>
  <si>
    <t>五华区科普路旁昆明联想科技城（二期）19层1910号</t>
  </si>
  <si>
    <t>19层1911号</t>
  </si>
  <si>
    <t>云（2018）五华区不动产权第0092923号</t>
  </si>
  <si>
    <t>五华区科普路旁昆明联想科技城（二期）19层1911号</t>
  </si>
  <si>
    <t>19层1912号</t>
  </si>
  <si>
    <t>云（2018）五华区不动产权第0092924号</t>
  </si>
  <si>
    <t>五华区科普路旁昆明联想科技城（二期）19层1912号</t>
  </si>
  <si>
    <t>19层1913号</t>
  </si>
  <si>
    <t>云（2018）五华区不动产权第0092925号</t>
  </si>
  <si>
    <t>五华区科普路旁昆明联想科技城（二期）19层1913号</t>
  </si>
  <si>
    <t>19层1914号</t>
  </si>
  <si>
    <t>云（2018）五华区不动产权第0092926号</t>
  </si>
  <si>
    <t>五华区科普路旁昆明联想科技城（二期）19层1914号</t>
  </si>
  <si>
    <t>19层1915号</t>
  </si>
  <si>
    <t>云（2018）五华区不动产权第0092927号</t>
  </si>
  <si>
    <t>五华区科普路旁昆明联想科技城（二期）19层1915号</t>
  </si>
  <si>
    <t>19层1916号</t>
  </si>
  <si>
    <t>云（2018）五华区不动产权第0092928号</t>
  </si>
  <si>
    <t>五华区科普路旁昆明联想科技城（二期）19层1916号</t>
  </si>
  <si>
    <t>19层1917号</t>
  </si>
  <si>
    <t>云（2018）五华区不动产权第0092929号</t>
  </si>
  <si>
    <t>五华区科普路旁昆明联想科技城（二期）19层1917号</t>
  </si>
  <si>
    <t>19层1918号</t>
  </si>
  <si>
    <t>云（2018）五华区不动产权第0092930号</t>
  </si>
  <si>
    <t>五华区科普路旁昆明联想科技城（二期）19层1918号</t>
  </si>
  <si>
    <t>19层1919号</t>
  </si>
  <si>
    <t>云（2018）五华区不动产权第0092931号</t>
  </si>
  <si>
    <t>五华区科普路旁昆明联想科技城（二期）19层1919号</t>
  </si>
  <si>
    <t>19层1920号</t>
  </si>
  <si>
    <t>云（2018）五华区不动产权第0092932号</t>
  </si>
  <si>
    <t>五华区科普路旁昆明联想科技城（二期）19层1920号</t>
  </si>
  <si>
    <t>19层1921号</t>
  </si>
  <si>
    <t>云（2018）五华区不动产权第0092933号</t>
  </si>
  <si>
    <t>五华区科普路旁昆明联想科技城（二期）19层1921号</t>
  </si>
  <si>
    <t>19层1922号</t>
  </si>
  <si>
    <t>云（2018）五华区不动产权第0092934号</t>
  </si>
  <si>
    <t>五华区科普路旁昆明联想科技城（二期）19层1922号</t>
  </si>
  <si>
    <t>19层1923号</t>
  </si>
  <si>
    <t>云（2018）五华区不动产权第0092935号</t>
  </si>
  <si>
    <t>五华区科普路旁昆明联想科技城（二期）19层1923号</t>
  </si>
  <si>
    <t>19层1924号</t>
  </si>
  <si>
    <t>云（2018）五华区不动产权第0092936号</t>
  </si>
  <si>
    <t>五华区科普路旁昆明联想科技城（二期）19层1924号</t>
  </si>
  <si>
    <t>19层1925号</t>
  </si>
  <si>
    <t>云（2018）五华区不动产权第0092937号</t>
  </si>
  <si>
    <t>五华区科普路旁昆明联想科技城（二期）19层1925号</t>
  </si>
  <si>
    <t>19层1926号</t>
  </si>
  <si>
    <t>云（2018）五华区不动产权第0092938号</t>
  </si>
  <si>
    <t>五华区科普路旁昆明联想科技城（二期）19层1926号</t>
  </si>
  <si>
    <t>19层1927号</t>
  </si>
  <si>
    <t>云（2018）五华区不动产权第0092939号</t>
  </si>
  <si>
    <t>五华区科普路旁昆明联想科技城（二期）19层1927号</t>
  </si>
  <si>
    <t>19层1928号</t>
  </si>
  <si>
    <t>云（2018）五华区不动产权第0092940号</t>
  </si>
  <si>
    <t>五华区科普路旁昆明联想科技城（二期）19层1928号</t>
  </si>
  <si>
    <t>20层2001号</t>
  </si>
  <si>
    <t>云（2018）五华区不动产权第0092941号</t>
  </si>
  <si>
    <t>五华区科普路旁昆明联想科技城（二期）20层2001号</t>
  </si>
  <si>
    <t>20层2002号</t>
  </si>
  <si>
    <t>云（2018）五华区不动产权第0092942号</t>
  </si>
  <si>
    <t>五华区科普路旁昆明联想科技城（二期）20层2002号</t>
  </si>
  <si>
    <t>20层2003号</t>
  </si>
  <si>
    <t>云（2018）五华区不动产权第0092943号</t>
  </si>
  <si>
    <t>五华区科普路旁昆明联想科技城（二期）20层2003号</t>
  </si>
  <si>
    <t>20层2004号</t>
  </si>
  <si>
    <t>云（2018）五华区不动产权第0092944号</t>
  </si>
  <si>
    <t>五华区科普路旁昆明联想科技城（二期）20层2004号</t>
  </si>
  <si>
    <t>20层2005号</t>
  </si>
  <si>
    <t>云（2018）五华区不动产权第0092945号</t>
  </si>
  <si>
    <t>五华区科普路旁昆明联想科技城（二期）20层2005号</t>
  </si>
  <si>
    <t>20层2006号</t>
  </si>
  <si>
    <t>云（2018）五华区不动产权第0092946号</t>
  </si>
  <si>
    <t>五华区科普路旁昆明联想科技城（二期）20层2006号</t>
  </si>
  <si>
    <t>20层2007号</t>
  </si>
  <si>
    <t>云（2018）五华区不动产权第0092947号</t>
  </si>
  <si>
    <t>五华区科普路旁昆明联想科技城（二期）20层2007号</t>
  </si>
  <si>
    <t>20层2008号</t>
  </si>
  <si>
    <t>云（2018）五华区不动产权第0092948号</t>
  </si>
  <si>
    <t>五华区科普路旁昆明联想科技城（二期）20层2008号</t>
  </si>
  <si>
    <t>20层2009号</t>
  </si>
  <si>
    <t>云（2018）五华区不动产权第0092949号</t>
  </si>
  <si>
    <t>五华区科普路旁昆明联想科技城（二期）20层2009号</t>
  </si>
  <si>
    <t>20层2010号</t>
  </si>
  <si>
    <t>云（2018）五华区不动产权第0092950号</t>
  </si>
  <si>
    <t>五华区科普路旁昆明联想科技城（二期）20层2010号</t>
  </si>
  <si>
    <t>20层2011号</t>
  </si>
  <si>
    <t>云（2018）五华区不动产权第0092951号</t>
  </si>
  <si>
    <t>五华区科普路旁昆明联想科技城（二期）20层2011号</t>
  </si>
  <si>
    <t>20层2012号</t>
  </si>
  <si>
    <t>云（2018）五华区不动产权第0092952号</t>
  </si>
  <si>
    <t>五华区科普路旁昆明联想科技城（二期）20层2012号</t>
  </si>
  <si>
    <t>20层2013号</t>
  </si>
  <si>
    <t>云（2018）五华区不动产权第0092953号</t>
  </si>
  <si>
    <t>五华区科普路旁昆明联想科技城（二期）20层2013号</t>
  </si>
  <si>
    <t>20层2014号</t>
  </si>
  <si>
    <t>云（2018）五华区不动产权第0092954号</t>
  </si>
  <si>
    <t>五华区科普路旁昆明联想科技城（二期）20层2014号</t>
  </si>
  <si>
    <t>20层2015号</t>
  </si>
  <si>
    <t>云（2018）五华区不动产权第0092955号</t>
  </si>
  <si>
    <t>五华区科普路旁昆明联想科技城（二期）20层2015号</t>
  </si>
  <si>
    <t>20层2016号</t>
  </si>
  <si>
    <t>云（2018）五华区不动产权第0092956号</t>
  </si>
  <si>
    <t>五华区科普路旁昆明联想科技城（二期）20层2016号</t>
  </si>
  <si>
    <t>20层2017号</t>
  </si>
  <si>
    <t>云（2018）五华区不动产权第0092957号</t>
  </si>
  <si>
    <t>五华区科普路旁昆明联想科技城（二期）20层2017号</t>
  </si>
  <si>
    <t>20层2018号</t>
  </si>
  <si>
    <t>云（2018）五华区不动产权第0092958号</t>
  </si>
  <si>
    <t>五华区科普路旁昆明联想科技城（二期）20层2018号</t>
  </si>
  <si>
    <t>20层2019号</t>
  </si>
  <si>
    <t>云（2018）五华区不动产权第0092959号</t>
  </si>
  <si>
    <t>五华区科普路旁昆明联想科技城（二期）20层2019号</t>
  </si>
  <si>
    <t>20层2020号</t>
  </si>
  <si>
    <t>云（2018）五华区不动产权第0092960号</t>
  </si>
  <si>
    <t>五华区科普路旁昆明联想科技城（二期）20层2020号</t>
  </si>
  <si>
    <t>20层2021号</t>
  </si>
  <si>
    <t>云（2018）五华区不动产权第0092961号</t>
  </si>
  <si>
    <t>五华区科普路旁昆明联想科技城（二期）20层2021号</t>
  </si>
  <si>
    <t>20层2022号</t>
  </si>
  <si>
    <t>云（2018）五华区不动产权第0092962号</t>
  </si>
  <si>
    <t>五华区科普路旁昆明联想科技城（二期）20层2022号</t>
  </si>
  <si>
    <t>20层2023号</t>
  </si>
  <si>
    <t>云（2018）五华区不动产权第0092963号</t>
  </si>
  <si>
    <t>五华区科普路旁昆明联想科技城（二期）20层2023号</t>
  </si>
  <si>
    <t>20层2024号</t>
  </si>
  <si>
    <t>云（2018）五华区不动产权第0092964号</t>
  </si>
  <si>
    <t>五华区科普路旁昆明联想科技城（二期）20层2024号</t>
  </si>
  <si>
    <t>20层2025号</t>
  </si>
  <si>
    <t>云（2018）五华区不动产权第0092965号</t>
  </si>
  <si>
    <t>五华区科普路旁昆明联想科技城（二期）20层2025号</t>
  </si>
  <si>
    <t>20层2026号</t>
  </si>
  <si>
    <t>云（2018）五华区不动产权第0092966号</t>
  </si>
  <si>
    <t>五华区科普路旁昆明联想科技城（二期）20层2026号</t>
  </si>
  <si>
    <t>20层2027号</t>
  </si>
  <si>
    <t>云（2018）五华区不动产权第0092967号</t>
  </si>
  <si>
    <t>五华区科普路旁昆明联想科技城（二期）20层2027号</t>
  </si>
  <si>
    <t>20层2028号</t>
  </si>
  <si>
    <t>云（2018）五华区不动产权第0092968号</t>
  </si>
  <si>
    <t>五华区科普路旁昆明联想科技城（二期）20层2028号</t>
  </si>
  <si>
    <t>21层2101号</t>
  </si>
  <si>
    <t>云（2018）五华区不动产权第0092969号</t>
  </si>
  <si>
    <t>五华区科普路旁昆明联想科技城（二期）21层2101号</t>
  </si>
  <si>
    <t>21层2102号</t>
  </si>
  <si>
    <t>云（2018）五华区不动产权第0092970号</t>
  </si>
  <si>
    <t>五华区科普路旁昆明联想科技城（二期）21层2102号</t>
  </si>
  <si>
    <t>21层2103号</t>
  </si>
  <si>
    <t>云（2018）五华区不动产权第0092971号</t>
  </si>
  <si>
    <t>五华区科普路旁昆明联想科技城（二期）21层2103号</t>
  </si>
  <si>
    <t>21层2104号</t>
  </si>
  <si>
    <t>云（2018）五华区不动产权第0092972号</t>
  </si>
  <si>
    <t>五华区科普路旁昆明联想科技城（二期）21层2104号</t>
  </si>
  <si>
    <t>21层2105号</t>
  </si>
  <si>
    <t>云（2018）五华区不动产权第0092973号</t>
  </si>
  <si>
    <t>五华区科普路旁昆明联想科技城（二期）21层2105号</t>
  </si>
  <si>
    <t>21层2106号</t>
  </si>
  <si>
    <t>云（2018）五华区不动产权第0092974号</t>
  </si>
  <si>
    <t>五华区科普路旁昆明联想科技城（二期）21层2106号</t>
  </si>
  <si>
    <t>21层2107号</t>
  </si>
  <si>
    <t>云（2018）五华区不动产权第0092975号</t>
  </si>
  <si>
    <t>五华区科普路旁昆明联想科技城（二期）21层2107号</t>
  </si>
  <si>
    <t>21层2108号</t>
  </si>
  <si>
    <t>云（2018）五华区不动产权第0092976号</t>
  </si>
  <si>
    <t>五华区科普路旁昆明联想科技城（二期）21层2108号</t>
  </si>
  <si>
    <t>21层2109号</t>
  </si>
  <si>
    <t>云（2018）五华区不动产权第0092977号</t>
  </si>
  <si>
    <t>五华区科普路旁昆明联想科技城（二期）21层2109号</t>
  </si>
  <si>
    <t>21层2110号</t>
  </si>
  <si>
    <t>云（2018）五华区不动产权第0092978号</t>
  </si>
  <si>
    <t>五华区科普路旁昆明联想科技城（二期）21层2110号</t>
  </si>
  <si>
    <t>21层2111号</t>
  </si>
  <si>
    <t>云（2018）五华区不动产权第0092979号</t>
  </si>
  <si>
    <t>五华区科普路旁昆明联想科技城（二期）21层2111号</t>
  </si>
  <si>
    <t>21层2112号</t>
  </si>
  <si>
    <t>云（2018）五华区不动产权第0092980号</t>
  </si>
  <si>
    <t>五华区科普路旁昆明联想科技城（二期）21层2112号</t>
  </si>
  <si>
    <t>21层2113号</t>
  </si>
  <si>
    <t>云（2018）五华区不动产权第0092981号</t>
  </si>
  <si>
    <t>五华区科普路旁昆明联想科技城（二期）21层2113号</t>
  </si>
  <si>
    <t>21层2114号</t>
  </si>
  <si>
    <t>云（2018）五华区不动产权第0092982号</t>
  </si>
  <si>
    <t>五华区科普路旁昆明联想科技城（二期）21层2114号</t>
  </si>
  <si>
    <t>21层2115号</t>
  </si>
  <si>
    <t>云（2018）五华区不动产权第0092983号</t>
  </si>
  <si>
    <t>五华区科普路旁昆明联想科技城（二期）21层2115号</t>
  </si>
  <si>
    <t>21层2116号</t>
  </si>
  <si>
    <t>云（2018）五华区不动产权第0092984号</t>
  </si>
  <si>
    <t>五华区科普路旁昆明联想科技城（二期）21层2116号</t>
  </si>
  <si>
    <t>21层2117号</t>
  </si>
  <si>
    <t>云（2018）五华区不动产权第0090603号</t>
  </si>
  <si>
    <t>五华区科普路旁昆明联想科技城（二期）21层2117号</t>
  </si>
  <si>
    <t>21层2118号</t>
  </si>
  <si>
    <t>云（2018）五华区不动产权第0090604号</t>
  </si>
  <si>
    <t>五华区科普路旁昆明联想科技城（二期）21层2118号</t>
  </si>
  <si>
    <t>21层2119号</t>
  </si>
  <si>
    <t>云（2018）五华区不动产权第0090605号</t>
  </si>
  <si>
    <t>五华区科普路旁昆明联想科技城（二期）21层2119号</t>
  </si>
  <si>
    <t>21层2120号</t>
  </si>
  <si>
    <t>云（2018）五华区不动产权第0090606号</t>
  </si>
  <si>
    <t>五华区科普路旁昆明联想科技城（二期）21层2120号</t>
  </si>
  <si>
    <t>21层2121号</t>
  </si>
  <si>
    <t>云（2018）五华区不动产权第0090607号</t>
  </si>
  <si>
    <t>五华区科普路旁昆明联想科技城（二期）21层2121号</t>
  </si>
  <si>
    <t>21层2122号</t>
  </si>
  <si>
    <t>云（2018）五华区不动产权第0090608号</t>
  </si>
  <si>
    <t>五华区科普路旁昆明联想科技城（二期）21层2122号</t>
  </si>
  <si>
    <t>21层2123号</t>
  </si>
  <si>
    <t>云（2018）五华区不动产权第0090609号</t>
  </si>
  <si>
    <t>五华区科普路旁昆明联想科技城（二期）21层2123号</t>
  </si>
  <si>
    <t>21层2124号</t>
  </si>
  <si>
    <t>云（2018）五华区不动产权第0090610号</t>
  </si>
  <si>
    <t>五华区科普路旁昆明联想科技城（二期）21层2124号</t>
  </si>
  <si>
    <t>21层2125号</t>
  </si>
  <si>
    <t>云（2018）五华区不动产权第0090611号</t>
  </si>
  <si>
    <t>五华区科普路旁昆明联想科技城（二期）21层2125号</t>
  </si>
  <si>
    <t>21层2126号</t>
  </si>
  <si>
    <t>云（2018）五华区不动产权第0090612号</t>
  </si>
  <si>
    <t>五华区科普路旁昆明联想科技城（二期）21层2126号</t>
  </si>
  <si>
    <t>21层2127号</t>
  </si>
  <si>
    <t>云（2018）五华区不动产权第0090613号</t>
  </si>
  <si>
    <t>五华区科普路旁昆明联想科技城（二期）21层2127号</t>
  </si>
  <si>
    <t>21层2128号</t>
  </si>
  <si>
    <t>云（2018）五华区不动产权第0090614号</t>
  </si>
  <si>
    <t>五华区科普路旁昆明联想科技城（二期）21层2128号</t>
  </si>
  <si>
    <t>22层2201号</t>
  </si>
  <si>
    <t>云（2018）五华区不动产权第0090615号</t>
  </si>
  <si>
    <t>五华区科普路旁昆明联想科技城（二期）22层2201号</t>
  </si>
  <si>
    <t>22层2202号</t>
  </si>
  <si>
    <t>云（2018）五华区不动产权第0090616号</t>
  </si>
  <si>
    <t>五华区科普路旁昆明联想科技城（二期）22层2202号</t>
  </si>
  <si>
    <t>22层2203号</t>
  </si>
  <si>
    <t>云（2018）五华区不动产权第0090617号</t>
  </si>
  <si>
    <t>五华区科普路旁昆明联想科技城（二期）22层2203号</t>
  </si>
  <si>
    <t>22层2204号</t>
  </si>
  <si>
    <t>云（2018）五华区不动产权第0090618号</t>
  </si>
  <si>
    <t>五华区科普路旁昆明联想科技城（二期）22层2204号</t>
  </si>
  <si>
    <t>22层2205号</t>
  </si>
  <si>
    <t>云（2018）五华区不动产权第0090619号</t>
  </si>
  <si>
    <t>五华区科普路旁昆明联想科技城（二期）22层2205号</t>
  </si>
  <si>
    <t>22层2206号</t>
  </si>
  <si>
    <t>云（2018）五华区不动产权第0090620号</t>
  </si>
  <si>
    <t>五华区科普路旁昆明联想科技城（二期）22层2206号</t>
  </si>
  <si>
    <t>22层2207号</t>
  </si>
  <si>
    <t>云（2018）五华区不动产权第0090621号</t>
  </si>
  <si>
    <t>五华区科普路旁昆明联想科技城（二期）22层2207号</t>
  </si>
  <si>
    <t>22层2208号</t>
  </si>
  <si>
    <t>云（2018）五华区不动产权第0090622号</t>
  </si>
  <si>
    <t>五华区科普路旁昆明联想科技城（二期）22层2208号</t>
  </si>
  <si>
    <t>22层2209号</t>
  </si>
  <si>
    <t>云（2018）五华区不动产权第0090623号</t>
  </si>
  <si>
    <t>五华区科普路旁昆明联想科技城（二期）22层2209号</t>
  </si>
  <si>
    <t>22层2210号</t>
  </si>
  <si>
    <t>云（2018）五华区不动产权第0090624号</t>
  </si>
  <si>
    <t>五华区科普路旁昆明联想科技城（二期）22层2210号</t>
  </si>
  <si>
    <t>22层2211号</t>
  </si>
  <si>
    <t>云（2018）五华区不动产权第0090625号</t>
  </si>
  <si>
    <t>五华区科普路旁昆明联想科技城（二期）22层2211号</t>
  </si>
  <si>
    <t>22层2212号</t>
  </si>
  <si>
    <t>云（2018）五华区不动产权第0090626号</t>
  </si>
  <si>
    <t>五华区科普路旁昆明联想科技城（二期）22层2212号</t>
  </si>
  <si>
    <t>22层2213号</t>
  </si>
  <si>
    <t>云（2018）五华区不动产权第0090627号</t>
  </si>
  <si>
    <t>五华区科普路旁昆明联想科技城（二期）22层2213号</t>
  </si>
  <si>
    <t>22层2214号</t>
  </si>
  <si>
    <t>云（2018）五华区不动产权第0090628号</t>
  </si>
  <si>
    <t>五华区科普路旁昆明联想科技城（二期）22层2214号</t>
  </si>
  <si>
    <t>22层2215号</t>
  </si>
  <si>
    <t>云（2018）五华区不动产权第0090629号</t>
  </si>
  <si>
    <t>五华区科普路旁昆明联想科技城（二期）22层2215号</t>
  </si>
  <si>
    <t>22层2216号</t>
  </si>
  <si>
    <t>云（2018）五华区不动产权第0090630号</t>
  </si>
  <si>
    <t>五华区科普路旁昆明联想科技城（二期）22层2216号</t>
  </si>
  <si>
    <t>22层2218号</t>
  </si>
  <si>
    <t>云（2018）五华区不动产权第0090631号</t>
  </si>
  <si>
    <t>五华区科普路旁昆明联想科技城（二期）22层2218号</t>
  </si>
  <si>
    <t>22层2219号</t>
  </si>
  <si>
    <t>云（2018）五华区不动产权第0090632号</t>
  </si>
  <si>
    <t>五华区科普路旁昆明联想科技城（二期）22层2219号</t>
  </si>
  <si>
    <t>22层2220号</t>
  </si>
  <si>
    <t>云（2018）五华区不动产权第0090633号</t>
  </si>
  <si>
    <t>五华区科普路旁昆明联想科技城（二期）22层2220号</t>
  </si>
  <si>
    <t>22层2221号</t>
  </si>
  <si>
    <t>云（2018）五华区不动产权第0090634号</t>
  </si>
  <si>
    <t>五华区科普路旁昆明联想科技城（二期）22层2221号</t>
  </si>
  <si>
    <t>22层2222号</t>
  </si>
  <si>
    <t>云（2018）五华区不动产权第0090635号</t>
  </si>
  <si>
    <t>五华区科普路旁昆明联想科技城（二期）22层2222号</t>
  </si>
  <si>
    <t>22层2223号</t>
  </si>
  <si>
    <t>云（2018）五华区不动产权第0090636号</t>
  </si>
  <si>
    <t>五华区科普路旁昆明联想科技城（二期）22层2223号</t>
  </si>
  <si>
    <t>22层2224号</t>
  </si>
  <si>
    <t>云（2018）五华区不动产权第0090637号</t>
  </si>
  <si>
    <t>五华区科普路旁昆明联想科技城（二期）22层2224号</t>
  </si>
  <si>
    <t>22层2225号</t>
  </si>
  <si>
    <t>云（2018）五华区不动产权第0090638号</t>
  </si>
  <si>
    <t>五华区科普路旁昆明联想科技城（二期）22层2225号</t>
  </si>
  <si>
    <t>22层2226号</t>
  </si>
  <si>
    <t>云（2018）五华区不动产权第0090639号</t>
  </si>
  <si>
    <t>五华区科普路旁昆明联想科技城（二期）22层2226号</t>
  </si>
  <si>
    <t>22层2227号</t>
  </si>
  <si>
    <t>云（2018）五华区不动产权第0090640号</t>
  </si>
  <si>
    <t>五华区科普路旁昆明联想科技城（二期）22层2227号</t>
  </si>
  <si>
    <t>22层2228号</t>
  </si>
  <si>
    <t>云（2018）五华区不动产权第0090641号</t>
  </si>
  <si>
    <t>五华区科普路旁昆明联想科技城（二期）22层2228号</t>
  </si>
  <si>
    <t>23层2301号</t>
  </si>
  <si>
    <t>云（2018）五华区不动产权第0090642号</t>
  </si>
  <si>
    <t>五华区科普路旁昆明联想科技城（二期）23层2301号</t>
  </si>
  <si>
    <t>23层2302号</t>
  </si>
  <si>
    <t>云（2018）五华区不动产权第0090643号</t>
  </si>
  <si>
    <t>五华区科普路旁昆明联想科技城（二期）23层2302号</t>
  </si>
  <si>
    <t>23层2303号</t>
  </si>
  <si>
    <t>云（2018）五华区不动产权第0090644号</t>
  </si>
  <si>
    <t>五华区科普路旁昆明联想科技城（二期）23层2303号</t>
  </si>
  <si>
    <t>23层2304号</t>
  </si>
  <si>
    <t>云（2018）五华区不动产权第0090645号</t>
  </si>
  <si>
    <t>五华区科普路旁昆明联想科技城（二期）23层2304号</t>
  </si>
  <si>
    <t>23层2305号</t>
  </si>
  <si>
    <t>云（2018）五华区不动产权第0090646号</t>
  </si>
  <si>
    <t>五华区科普路旁昆明联想科技城（二期）23层2305号</t>
  </si>
  <si>
    <t>23层2306号</t>
  </si>
  <si>
    <t>云（2018）五华区不动产权第0090647号</t>
  </si>
  <si>
    <t>五华区科普路旁昆明联想科技城（二期）23层2306号</t>
  </si>
  <si>
    <t>23层2307号</t>
  </si>
  <si>
    <t>云（2018）五华区不动产权第0090648号</t>
  </si>
  <si>
    <t>五华区科普路旁昆明联想科技城（二期）23层2307号</t>
  </si>
  <si>
    <t>23层2308号</t>
  </si>
  <si>
    <t>云（2018）五华区不动产权第0090649号</t>
  </si>
  <si>
    <t>五华区科普路旁昆明联想科技城（二期）23层2308号</t>
  </si>
  <si>
    <t>23层2309号</t>
  </si>
  <si>
    <t>云（2018）五华区不动产权第0090650号</t>
  </si>
  <si>
    <t>五华区科普路旁昆明联想科技城（二期）23层2309号</t>
  </si>
  <si>
    <t>23层2310号</t>
  </si>
  <si>
    <t>云（2018）五华区不动产权第0090651号</t>
  </si>
  <si>
    <t>五华区科普路旁昆明联想科技城（二期）23层2310号</t>
  </si>
  <si>
    <t>23层2311号</t>
  </si>
  <si>
    <t>云（2018）五华区不动产权第0090652号</t>
  </si>
  <si>
    <t>五华区科普路旁昆明联想科技城（二期）23层2311号</t>
  </si>
  <si>
    <t>23层2312号</t>
  </si>
  <si>
    <t>云（2018）五华区不动产权第0090653号</t>
  </si>
  <si>
    <t>五华区科普路旁昆明联想科技城（二期）23层2312号</t>
  </si>
  <si>
    <t>23层2313号</t>
  </si>
  <si>
    <t>云（2018）五华区不动产权第0090654号</t>
  </si>
  <si>
    <t>五华区科普路旁昆明联想科技城（二期）23层2313号</t>
  </si>
  <si>
    <t>23层2314号</t>
  </si>
  <si>
    <t>云（2018）五华区不动产权第0090655号</t>
  </si>
  <si>
    <t>五华区科普路旁昆明联想科技城（二期）23层2314号</t>
  </si>
  <si>
    <t>23层2315号</t>
  </si>
  <si>
    <t>云（2018）五华区不动产权第0090656号</t>
  </si>
  <si>
    <t>五华区科普路旁昆明联想科技城（二期）23层2315号</t>
  </si>
  <si>
    <t>23层2316号</t>
  </si>
  <si>
    <t>云（2018）五华区不动产权第0090657号</t>
  </si>
  <si>
    <t>五华区科普路旁昆明联想科技城（二期）23层2316号</t>
  </si>
  <si>
    <t>23层2317号</t>
  </si>
  <si>
    <t>云（2018）五华区不动产权第0090658号</t>
  </si>
  <si>
    <t>五华区科普路旁昆明联想科技城（二期）23层2317号</t>
  </si>
  <si>
    <t>23层2318号</t>
  </si>
  <si>
    <t>云（2018）五华区不动产权第0090659号</t>
  </si>
  <si>
    <t>五华区科普路旁昆明联想科技城（二期）23层2318号</t>
  </si>
  <si>
    <t>23层2319号</t>
  </si>
  <si>
    <t>云（2018）五华区不动产权第0090660号</t>
  </si>
  <si>
    <t>五华区科普路旁昆明联想科技城（二期）23层2319号</t>
  </si>
  <si>
    <t>23层2320号</t>
  </si>
  <si>
    <t>云（2018）五华区不动产权第0090661号</t>
  </si>
  <si>
    <t>五华区科普路旁昆明联想科技城（二期）23层2320号</t>
  </si>
  <si>
    <t>23层2321号</t>
  </si>
  <si>
    <t>云（2018）五华区不动产权第0090662号</t>
  </si>
  <si>
    <t>五华区科普路旁昆明联想科技城（二期）23层2321号</t>
  </si>
  <si>
    <t>23层2322号</t>
  </si>
  <si>
    <t>云（2018）五华区不动产权第0090663号</t>
  </si>
  <si>
    <t>五华区科普路旁昆明联想科技城（二期）23层2322号</t>
  </si>
  <si>
    <t>23层2323号</t>
  </si>
  <si>
    <t>云（2018）五华区不动产权第0090664号</t>
  </si>
  <si>
    <t>五华区科普路旁昆明联想科技城（二期）23层2323号</t>
  </si>
  <si>
    <t>23层2324号</t>
  </si>
  <si>
    <t>云（2018）五华区不动产权第0090665号</t>
  </si>
  <si>
    <t>五华区科普路旁昆明联想科技城（二期）23层2324号</t>
  </si>
  <si>
    <t>23层2325号</t>
  </si>
  <si>
    <t>云（2018）五华区不动产权第0090666号</t>
  </si>
  <si>
    <t>五华区科普路旁昆明联想科技城（二期）23层2325号</t>
  </si>
  <si>
    <t>23层2326号</t>
  </si>
  <si>
    <t>云（2018）五华区不动产权第0090667号</t>
  </si>
  <si>
    <t>五华区科普路旁昆明联想科技城（二期）23层2326号</t>
  </si>
  <si>
    <t>23层2327号</t>
  </si>
  <si>
    <t>云（2018）五华区不动产权第0090668号</t>
  </si>
  <si>
    <t>五华区科普路旁昆明联想科技城（二期）23层2327号</t>
  </si>
  <si>
    <t>23层2328号</t>
  </si>
  <si>
    <t>云（2018）五华区不动产权第0090669号</t>
  </si>
  <si>
    <t>五华区科普路旁昆明联想科技城（二期）23层2328号</t>
  </si>
  <si>
    <t>24层2401号</t>
  </si>
  <si>
    <t>云（2018）五华区不动产权第0090670号</t>
  </si>
  <si>
    <t>五华区科普路旁昆明联想科技城（二期）24层2301号</t>
  </si>
  <si>
    <t>24层2402号</t>
  </si>
  <si>
    <t>云（2018）五华区不动产权第0090671号</t>
  </si>
  <si>
    <t>五华区科普路旁昆明联想科技城（二期）24层2302号</t>
  </si>
  <si>
    <t>24层2403号</t>
  </si>
  <si>
    <t>云（2018）五华区不动产权第0090672号</t>
  </si>
  <si>
    <t>五华区科普路旁昆明联想科技城（二期）24层2303号</t>
  </si>
  <si>
    <t>24层2404号</t>
  </si>
  <si>
    <t>云（2018）五华区不动产权第0090673号</t>
  </si>
  <si>
    <t>五华区科普路旁昆明联想科技城（二期）24层2304号</t>
  </si>
  <si>
    <t>24层2405号</t>
  </si>
  <si>
    <t>云（2018）五华区不动产权第0090674号</t>
  </si>
  <si>
    <t>五华区科普路旁昆明联想科技城（二期）24层2305号</t>
  </si>
  <si>
    <t>24层2406号</t>
  </si>
  <si>
    <t>云（2018）五华区不动产权第0090675号</t>
  </si>
  <si>
    <t>五华区科普路旁昆明联想科技城（二期）24层2306号</t>
  </si>
  <si>
    <t>24层2407号</t>
  </si>
  <si>
    <t>云（2018）五华区不动产权第0090676号</t>
  </si>
  <si>
    <t>五华区科普路旁昆明联想科技城（二期）24层2307号</t>
  </si>
  <si>
    <t>24层2408号</t>
  </si>
  <si>
    <t>云（2018）五华区不动产权第0090677号</t>
  </si>
  <si>
    <t>五华区科普路旁昆明联想科技城（二期）24层2308号</t>
  </si>
  <si>
    <t>24层2409号</t>
  </si>
  <si>
    <t>云（2018）五华区不动产权第0090678号</t>
  </si>
  <si>
    <t>五华区科普路旁昆明联想科技城（二期）24层2309号</t>
  </si>
  <si>
    <t>24层2410号</t>
  </si>
  <si>
    <t>云（2018）五华区不动产权第0090679号</t>
  </si>
  <si>
    <t>五华区科普路旁昆明联想科技城（二期）24层2310号</t>
  </si>
  <si>
    <t>24层2411号</t>
  </si>
  <si>
    <t>云（2018）五华区不动产权第0090680号</t>
  </si>
  <si>
    <t>五华区科普路旁昆明联想科技城（二期）24层2311号</t>
  </si>
  <si>
    <t>24层2412号</t>
  </si>
  <si>
    <t>云（2018）五华区不动产权第0090681号</t>
  </si>
  <si>
    <t>五华区科普路旁昆明联想科技城（二期）24层2312号</t>
  </si>
  <si>
    <t>24层2413号</t>
  </si>
  <si>
    <t>云（2018）五华区不动产权第0090682号</t>
  </si>
  <si>
    <t>五华区科普路旁昆明联想科技城（二期）24层2313号</t>
  </si>
  <si>
    <t>24层2414号</t>
  </si>
  <si>
    <t>云（2018）五华区不动产权第0090683号</t>
  </si>
  <si>
    <t>五华区科普路旁昆明联想科技城（二期）24层2314号</t>
  </si>
  <si>
    <t>24层2415号</t>
  </si>
  <si>
    <t>云（2018）五华区不动产权第0090684号</t>
  </si>
  <si>
    <t>五华区科普路旁昆明联想科技城（二期）24层2315号</t>
  </si>
  <si>
    <t>24层2416号</t>
  </si>
  <si>
    <t>云（2018）五华区不动产权第0090685号</t>
  </si>
  <si>
    <t>五华区科普路旁昆明联想科技城（二期）24层2316号</t>
  </si>
  <si>
    <t>24层2417号</t>
  </si>
  <si>
    <t>云（2018）五华区不动产权第0090686号</t>
  </si>
  <si>
    <t>五华区科普路旁昆明联想科技城（二期）24层2317号</t>
  </si>
  <si>
    <t>24层2418号</t>
  </si>
  <si>
    <t>云（2018）五华区不动产权第0090687号</t>
  </si>
  <si>
    <t>五华区科普路旁昆明联想科技城（二期）24层2318号</t>
  </si>
  <si>
    <t>24层2419号</t>
  </si>
  <si>
    <t>云（2018）五华区不动产权第0090688号</t>
  </si>
  <si>
    <t>五华区科普路旁昆明联想科技城（二期）24层2319号</t>
  </si>
  <si>
    <t>24层2420号</t>
  </si>
  <si>
    <t>云（2018）五华区不动产权第0090689号</t>
  </si>
  <si>
    <t>五华区科普路旁昆明联想科技城（二期）24层2320号</t>
  </si>
  <si>
    <t>24层2421号</t>
  </si>
  <si>
    <t>云（2018）五华区不动产权第0090690号</t>
  </si>
  <si>
    <t>五华区科普路旁昆明联想科技城（二期）24层2321号</t>
  </si>
  <si>
    <t>24层2422号</t>
  </si>
  <si>
    <t>云（2018）五华区不动产权第0090691号</t>
  </si>
  <si>
    <t>五华区科普路旁昆明联想科技城（二期）24层2322号</t>
  </si>
  <si>
    <t>24层2423号</t>
  </si>
  <si>
    <t>云（2018）五华区不动产权第0090692号</t>
  </si>
  <si>
    <t>五华区科普路旁昆明联想科技城（二期）24层2323号</t>
  </si>
  <si>
    <t>24层2424号</t>
  </si>
  <si>
    <t>云（2018）五华区不动产权第0090693号</t>
  </si>
  <si>
    <t>五华区科普路旁昆明联想科技城（二期）24层2324号</t>
  </si>
  <si>
    <t>24层2425号</t>
  </si>
  <si>
    <t>云（2018）五华区不动产权第0090694号</t>
  </si>
  <si>
    <t>五华区科普路旁昆明联想科技城（二期）24层2325号</t>
  </si>
  <si>
    <t>24层2426号</t>
  </si>
  <si>
    <t>云（2018）五华区不动产权第0090695号</t>
  </si>
  <si>
    <t>五华区科普路旁昆明联想科技城（二期）24层2326号</t>
  </si>
  <si>
    <t>24层2427号</t>
  </si>
  <si>
    <t>云（2018）五华区不动产权第0090696号</t>
  </si>
  <si>
    <t>五华区科普路旁昆明联想科技城（二期）24层2327号</t>
  </si>
  <si>
    <t>24层2428号</t>
  </si>
  <si>
    <t>云（2018）五华区不动产权第0090697号</t>
  </si>
  <si>
    <t>五华区科普路旁昆明联想科技城（二期）24层2328号</t>
  </si>
  <si>
    <t>25层2501号</t>
  </si>
  <si>
    <t>云（2018）五华区不动产权第0090698号</t>
  </si>
  <si>
    <t>五华区科普路旁昆明联想科技城（二期）25层2501号</t>
  </si>
  <si>
    <t>25层2502号</t>
  </si>
  <si>
    <t>云（2018）五华区不动产权第0090699号</t>
  </si>
  <si>
    <t>五华区科普路旁昆明联想科技城（二期）25层2502号</t>
  </si>
  <si>
    <t>25层2503号</t>
  </si>
  <si>
    <t>云（2018）五华区不动产权第0090700号</t>
  </si>
  <si>
    <t>五华区科普路旁昆明联想科技城（二期）25层2503号</t>
  </si>
  <si>
    <t>25层2504号</t>
  </si>
  <si>
    <t>云（2018）五华区不动产权第0090701号</t>
  </si>
  <si>
    <t>五华区科普路旁昆明联想科技城（二期）25层2504号</t>
  </si>
  <si>
    <t>25层2505号</t>
  </si>
  <si>
    <t>云（2018）五华区不动产权第0090702号</t>
  </si>
  <si>
    <t>五华区科普路旁昆明联想科技城（二期）25层2505号</t>
  </si>
  <si>
    <t>25层2506号</t>
  </si>
  <si>
    <t>云（2018）五华区不动产权第0088004号</t>
  </si>
  <si>
    <t>五华区科普路旁昆明联想科技城（二期）25层2506号</t>
  </si>
  <si>
    <t>25层2507号</t>
  </si>
  <si>
    <t>云（2018）五华区不动产权第0088005号</t>
  </si>
  <si>
    <t>五华区科普路旁昆明联想科技城（二期）25层2507号</t>
  </si>
  <si>
    <t>25层2508号</t>
  </si>
  <si>
    <t>云（2018）五华区不动产权第0088006号</t>
  </si>
  <si>
    <t>五华区科普路旁昆明联想科技城（二期）25层2508号</t>
  </si>
  <si>
    <t>25层2509号</t>
  </si>
  <si>
    <t>云（2018）五华区不动产权第0088007号</t>
  </si>
  <si>
    <t>五华区科普路旁昆明联想科技城（二期）25层2509号</t>
  </si>
  <si>
    <t>25层2510号</t>
  </si>
  <si>
    <t>云（2018）五华区不动产权第0088008号</t>
  </si>
  <si>
    <t>五华区科普路旁昆明联想科技城（二期）25层2510号</t>
  </si>
  <si>
    <t>25层2511号</t>
  </si>
  <si>
    <t>云（2018）五华区不动产权第0088009号</t>
  </si>
  <si>
    <t>五华区科普路旁昆明联想科技城（二期）25层2511号</t>
  </si>
  <si>
    <t>25层2512号</t>
  </si>
  <si>
    <t>云（2018）五华区不动产权第0088010号</t>
  </si>
  <si>
    <t>五华区科普路旁昆明联想科技城（二期）25层2512号</t>
  </si>
  <si>
    <t>25层2513号</t>
  </si>
  <si>
    <t>云（2018）五华区不动产权第0088011号</t>
  </si>
  <si>
    <t>五华区科普路旁昆明联想科技城（二期）25层2513号</t>
  </si>
  <si>
    <t>25层2514号</t>
  </si>
  <si>
    <t>云（2018）五华区不动产权第0088012号</t>
  </si>
  <si>
    <t>五华区科普路旁昆明联想科技城（二期）25层2514号</t>
  </si>
  <si>
    <t>25层2515号</t>
  </si>
  <si>
    <t>云（2018）五华区不动产权第0088013号</t>
  </si>
  <si>
    <t>五华区科普路旁昆明联想科技城（二期）25层2515号</t>
  </si>
  <si>
    <t>25层2516号</t>
  </si>
  <si>
    <t>云（2018）五华区不动产权第0088014号</t>
  </si>
  <si>
    <t>五华区科普路旁昆明联想科技城（二期）25层2516号</t>
  </si>
  <si>
    <t>25层2517号</t>
  </si>
  <si>
    <t>云（2018）五华区不动产权第0088015号</t>
  </si>
  <si>
    <t>五华区科普路旁昆明联想科技城（二期）25层2517号</t>
  </si>
  <si>
    <t>25层2518号</t>
  </si>
  <si>
    <t>云（2018）五华区不动产权第0088016号</t>
  </si>
  <si>
    <t>五华区科普路旁昆明联想科技城（二期）25层2518号</t>
  </si>
  <si>
    <t>25层2519号</t>
  </si>
  <si>
    <t>云（2018）五华区不动产权第0088017号</t>
  </si>
  <si>
    <t>五华区科普路旁昆明联想科技城（二期）25层2519号</t>
  </si>
  <si>
    <t>25层2520号</t>
  </si>
  <si>
    <t>云（2018）五华区不动产权第0088018号</t>
  </si>
  <si>
    <t>五华区科普路旁昆明联想科技城（二期）25层2520号</t>
  </si>
  <si>
    <t>25层2521号</t>
  </si>
  <si>
    <t>云（2018）五华区不动产权第0088019号</t>
  </si>
  <si>
    <t>五华区科普路旁昆明联想科技城（二期）25层2521号</t>
  </si>
  <si>
    <t>25层2522号</t>
  </si>
  <si>
    <t>云（2018）五华区不动产权第0088020号</t>
  </si>
  <si>
    <t>五华区科普路旁昆明联想科技城（二期）25层2522号</t>
  </si>
  <si>
    <t>25层2523号</t>
  </si>
  <si>
    <t>云（2018）五华区不动产权第0088021号</t>
  </si>
  <si>
    <t>五华区科普路旁昆明联想科技城（二期）25层2523号</t>
  </si>
  <si>
    <t>25层2524号</t>
  </si>
  <si>
    <t>云（2018）五华区不动产权第0088022号</t>
  </si>
  <si>
    <t>五华区科普路旁昆明联想科技城（二期）25层2524号</t>
  </si>
  <si>
    <t>25层2525号</t>
  </si>
  <si>
    <t>云（2018）五华区不动产权第0088023号</t>
  </si>
  <si>
    <t>五华区科普路旁昆明联想科技城（二期）25层2525号</t>
  </si>
  <si>
    <t>25层2526号</t>
  </si>
  <si>
    <t>云（2018）五华区不动产权第0088024号</t>
  </si>
  <si>
    <t>五华区科普路旁昆明联想科技城（二期）25层2526号</t>
  </si>
  <si>
    <t>25层2527号</t>
  </si>
  <si>
    <t>云（2018）五华区不动产权第0088025号</t>
  </si>
  <si>
    <t>五华区科普路旁昆明联想科技城（二期）25层2527号</t>
  </si>
  <si>
    <t>25层2528号</t>
  </si>
  <si>
    <t>云（2018）五华区不动产权第0088026号</t>
  </si>
  <si>
    <t>五华区科普路旁昆明联想科技城（二期）25层2528号</t>
  </si>
  <si>
    <t>26层2601号</t>
  </si>
  <si>
    <t>云（2018）五华区不动产权第0088027号</t>
  </si>
  <si>
    <t>五华区科普路旁昆明联想科技城（二期）26层2601号</t>
  </si>
  <si>
    <t>26层2602号</t>
  </si>
  <si>
    <t>云（2018）五华区不动产权第0088028号</t>
  </si>
  <si>
    <t>五华区科普路旁昆明联想科技城（二期）26层2602号</t>
  </si>
  <si>
    <t>26层2603号</t>
  </si>
  <si>
    <t>云（2018）五华区不动产权第0088029号</t>
  </si>
  <si>
    <t>五华区科普路旁昆明联想科技城（二期）26层2603号</t>
  </si>
  <si>
    <t>26层2604号</t>
  </si>
  <si>
    <t>云（2018）五华区不动产权第0088030号</t>
  </si>
  <si>
    <t>五华区科普路旁昆明联想科技城（二期）26层2604号</t>
  </si>
  <si>
    <t>26层2605号</t>
  </si>
  <si>
    <t>云（2018）五华区不动产权第0088031号</t>
  </si>
  <si>
    <t>五华区科普路旁昆明联想科技城（二期）26层2605号</t>
  </si>
  <si>
    <t>26层2606号</t>
  </si>
  <si>
    <t>云（2018）五华区不动产权第0088032号</t>
  </si>
  <si>
    <t>五华区科普路旁昆明联想科技城（二期）26层2606号</t>
  </si>
  <si>
    <t>26层2607号</t>
  </si>
  <si>
    <t>云（2018）五华区不动产权第0088033号</t>
  </si>
  <si>
    <t>五华区科普路旁昆明联想科技城（二期）26层2607号</t>
  </si>
  <si>
    <t>26层2608号</t>
  </si>
  <si>
    <t>云（2018）五华区不动产权第0088034号</t>
  </si>
  <si>
    <t>五华区科普路旁昆明联想科技城（二期）26层2608号</t>
  </si>
  <si>
    <t>26层2609号</t>
  </si>
  <si>
    <t>云（2018）五华区不动产权第0088035号</t>
  </si>
  <si>
    <t>五华区科普路旁昆明联想科技城（二期）26层2609号</t>
  </si>
  <si>
    <t>26层2610号</t>
  </si>
  <si>
    <t>云（2018）五华区不动产权第0088036号</t>
  </si>
  <si>
    <t>五华区科普路旁昆明联想科技城（二期）26层2610号</t>
  </si>
  <si>
    <t>26层2611号</t>
  </si>
  <si>
    <t>云（2018）五华区不动产权第0088037号</t>
  </si>
  <si>
    <t>五华区科普路旁昆明联想科技城（二期）26层2611号</t>
  </si>
  <si>
    <t>26层2612号</t>
  </si>
  <si>
    <t>云（2018）五华区不动产权第0088038号</t>
  </si>
  <si>
    <t>五华区科普路旁昆明联想科技城（二期）26层2612号</t>
  </si>
  <si>
    <t>26层2613号</t>
  </si>
  <si>
    <t>云（2018）五华区不动产权第0088039号</t>
  </si>
  <si>
    <t>五华区科普路旁昆明联想科技城（二期）26层2613号</t>
  </si>
  <si>
    <t>26层2614号</t>
  </si>
  <si>
    <t>云（2018）五华区不动产权第0088040号</t>
  </si>
  <si>
    <t>五华区科普路旁昆明联想科技城（二期）26层2614号</t>
  </si>
  <si>
    <t>26层2615号</t>
  </si>
  <si>
    <t>云（2018）五华区不动产权第0088041号</t>
  </si>
  <si>
    <t>五华区科普路旁昆明联想科技城（二期）26层2615号</t>
  </si>
  <si>
    <t>26层2616号</t>
  </si>
  <si>
    <t>云（2018）五华区不动产权第0088042号</t>
  </si>
  <si>
    <t>五华区科普路旁昆明联想科技城（二期）26层2616号</t>
  </si>
  <si>
    <t>26层2617号</t>
  </si>
  <si>
    <t>云（2018）五华区不动产权第0088043号</t>
  </si>
  <si>
    <t>五华区科普路旁昆明联想科技城（二期）26层2617号</t>
  </si>
  <si>
    <t>26层2618号</t>
  </si>
  <si>
    <t>云（2018）五华区不动产权第0088044号</t>
  </si>
  <si>
    <t>五华区科普路旁昆明联想科技城（二期）26层2618号</t>
  </si>
  <si>
    <t>26层2619号</t>
  </si>
  <si>
    <t>云（2018）五华区不动产权第0088045号</t>
  </si>
  <si>
    <t>五华区科普路旁昆明联想科技城（二期）26层2619号</t>
  </si>
  <si>
    <t>26层2620号</t>
  </si>
  <si>
    <t>云（2018）五华区不动产权第0088046号</t>
  </si>
  <si>
    <t>五华区科普路旁昆明联想科技城（二期）26层2620号</t>
  </si>
  <si>
    <t>26层2621号</t>
  </si>
  <si>
    <t>云（2018）五华区不动产权第0088047号</t>
  </si>
  <si>
    <t>五华区科普路旁昆明联想科技城（二期）26层2621号</t>
  </si>
  <si>
    <t>26层2622号</t>
  </si>
  <si>
    <t>云（2018）五华区不动产权第0088048号</t>
  </si>
  <si>
    <t>五华区科普路旁昆明联想科技城（二期）26层2622号</t>
  </si>
  <si>
    <t>26层2623号</t>
  </si>
  <si>
    <t>云（2018）五华区不动产权第0088049号</t>
  </si>
  <si>
    <t>五华区科普路旁昆明联想科技城（二期）26层2623号</t>
  </si>
  <si>
    <t>26层2624号</t>
  </si>
  <si>
    <t>云（2018）五华区不动产权第0088050号</t>
  </si>
  <si>
    <t>五华区科普路旁昆明联想科技城（二期）26层2624号</t>
  </si>
  <si>
    <t>26层2625号</t>
  </si>
  <si>
    <t>云（2018）五华区不动产权第0088051号</t>
  </si>
  <si>
    <t>五华区科普路旁昆明联想科技城（二期）26层2625号</t>
  </si>
  <si>
    <t>26层2626号</t>
  </si>
  <si>
    <t>云（2018）五华区不动产权第0088052号</t>
  </si>
  <si>
    <t>五华区科普路旁昆明联想科技城（二期）26层2626号</t>
  </si>
  <si>
    <t>26层2627号</t>
  </si>
  <si>
    <t>云（2018）五华区不动产权第0088053号</t>
  </si>
  <si>
    <t>五华区科普路旁昆明联想科技城（二期）26层2627号</t>
  </si>
  <si>
    <t>26层2628号</t>
  </si>
  <si>
    <t>云（2018）五华区不动产权第0088054号</t>
  </si>
  <si>
    <t>五华区科普路旁昆明联想科技城（二期）26层2628号</t>
  </si>
  <si>
    <t>27层2701号</t>
  </si>
  <si>
    <t>云（2018）五华区不动产权第0088055号</t>
  </si>
  <si>
    <t>五华区科普路旁昆明联想科技城（二期）27层2701号</t>
  </si>
  <si>
    <t>27层2702号</t>
  </si>
  <si>
    <t>云（2018）五华区不动产权第0088056号</t>
  </si>
  <si>
    <t>五华区科普路旁昆明联想科技城（二期）27层2702号</t>
  </si>
  <si>
    <t>27层2703号</t>
  </si>
  <si>
    <t>云（2018）五华区不动产权第0088057号</t>
  </si>
  <si>
    <t>五华区科普路旁昆明联想科技城（二期）27层2703号</t>
  </si>
  <si>
    <t>27层2704号</t>
  </si>
  <si>
    <t>云（2018）五华区不动产权第0088058号</t>
  </si>
  <si>
    <t>五华区科普路旁昆明联想科技城（二期）27层2704号</t>
  </si>
  <si>
    <t>27层2705号</t>
  </si>
  <si>
    <t>云（2018）五华区不动产权第0088059号</t>
  </si>
  <si>
    <t>五华区科普路旁昆明联想科技城（二期）27层2705号</t>
  </si>
  <si>
    <t>27层2706号</t>
  </si>
  <si>
    <t>云（2018）五华区不动产权第0088060号</t>
  </si>
  <si>
    <t>五华区科普路旁昆明联想科技城（二期）27层2706号</t>
  </si>
  <si>
    <t>27层2707号</t>
  </si>
  <si>
    <t>云（2018）五华区不动产权第0088061号</t>
  </si>
  <si>
    <t>五华区科普路旁昆明联想科技城（二期）27层2707号</t>
  </si>
  <si>
    <t>27层2708号</t>
  </si>
  <si>
    <t>云（2018）五华区不动产权第0088062号</t>
  </si>
  <si>
    <t>五华区科普路旁昆明联想科技城（二期）27层2708号</t>
  </si>
  <si>
    <t>27层2709号</t>
  </si>
  <si>
    <t>云（2018）五华区不动产权第0088063号</t>
  </si>
  <si>
    <t>五华区科普路旁昆明联想科技城（二期）27层2709号</t>
  </si>
  <si>
    <t>27层2710号</t>
  </si>
  <si>
    <t>云（2018）五华区不动产权第0088064号</t>
  </si>
  <si>
    <t>五华区科普路旁昆明联想科技城（二期）27层2710号</t>
  </si>
  <si>
    <t>27层2711号</t>
  </si>
  <si>
    <t>云（2018）五华区不动产权第0088065号</t>
  </si>
  <si>
    <t>五华区科普路旁昆明联想科技城（二期）27层2711号</t>
  </si>
  <si>
    <t>27层2712号</t>
  </si>
  <si>
    <t>云（2018）五华区不动产权第0088066号</t>
  </si>
  <si>
    <t>五华区科普路旁昆明联想科技城（二期）27层2712号</t>
  </si>
  <si>
    <t>27层2713号</t>
  </si>
  <si>
    <t>云（2018）五华区不动产权第0088067号</t>
  </si>
  <si>
    <t>五华区科普路旁昆明联想科技城（二期）27层2713号</t>
  </si>
  <si>
    <t>27层2714号</t>
  </si>
  <si>
    <t>云（2018）五华区不动产权第0088068号</t>
  </si>
  <si>
    <t>五华区科普路旁昆明联想科技城（二期）27层2714号</t>
  </si>
  <si>
    <t>27层2715号</t>
  </si>
  <si>
    <t>云（2018）五华区不动产权第0088069号</t>
  </si>
  <si>
    <t>五华区科普路旁昆明联想科技城（二期）27层2715号</t>
  </si>
  <si>
    <t>27层2716号</t>
  </si>
  <si>
    <t>云（2018）五华区不动产权第0088070号</t>
  </si>
  <si>
    <t>五华区科普路旁昆明联想科技城（二期）27层2716号</t>
  </si>
  <si>
    <t>27层2717号</t>
  </si>
  <si>
    <t>云（2018）五华区不动产权第0088071号</t>
  </si>
  <si>
    <t>五华区科普路旁昆明联想科技城（二期）27层2717号</t>
  </si>
  <si>
    <t>27层2718号</t>
  </si>
  <si>
    <t>云（2018）五华区不动产权第0088072号</t>
  </si>
  <si>
    <t>五华区科普路旁昆明联想科技城（二期）27层2718号</t>
  </si>
  <si>
    <t>27层2719号</t>
  </si>
  <si>
    <t>云（2018）五华区不动产权第0088073号</t>
  </si>
  <si>
    <t>五华区科普路旁昆明联想科技城（二期）27层2719号</t>
  </si>
  <si>
    <t>27层2720号</t>
  </si>
  <si>
    <t>云（2018）五华区不动产权第0088074号</t>
  </si>
  <si>
    <t>五华区科普路旁昆明联想科技城（二期）27层2720号</t>
  </si>
  <si>
    <t>27层2721号</t>
  </si>
  <si>
    <t>云（2018）五华区不动产权第0088075号</t>
  </si>
  <si>
    <t>五华区科普路旁昆明联想科技城（二期）27层2721号</t>
  </si>
  <si>
    <t>27层2722号</t>
  </si>
  <si>
    <t>云（2018）五华区不动产权第0088076号</t>
  </si>
  <si>
    <t>五华区科普路旁昆明联想科技城（二期）27层2722号</t>
  </si>
  <si>
    <t>27层2723号</t>
  </si>
  <si>
    <t>云（2018）五华区不动产权第0088077号</t>
  </si>
  <si>
    <t>五华区科普路旁昆明联想科技城（二期）27层2723号</t>
  </si>
  <si>
    <t>27层2724号</t>
  </si>
  <si>
    <t>云（2018）五华区不动产权第0088078号</t>
  </si>
  <si>
    <t>五华区科普路旁昆明联想科技城（二期）27层2724号</t>
  </si>
  <si>
    <t>27层2725号</t>
  </si>
  <si>
    <t>云（2018）五华区不动产权第0088079号</t>
  </si>
  <si>
    <t>五华区科普路旁昆明联想科技城（二期）27层2725号</t>
  </si>
  <si>
    <t>27层2726号</t>
  </si>
  <si>
    <t>云（2018）五华区不动产权第0088080号</t>
  </si>
  <si>
    <t>五华区科普路旁昆明联想科技城（二期）27层2726号</t>
  </si>
  <si>
    <t>27层2727号</t>
  </si>
  <si>
    <t>云（2018）五华区不动产权第0088081号</t>
  </si>
  <si>
    <t>五华区科普路旁昆明联想科技城（二期）27层2727号</t>
  </si>
  <si>
    <t>27层2728号</t>
  </si>
  <si>
    <t>云（2018）五华区不动产权第0088082号</t>
  </si>
  <si>
    <t>五华区科普路旁昆明联想科技城（二期）27层2728号</t>
  </si>
  <si>
    <t>10层1010号</t>
  </si>
  <si>
    <t>云（2018）五华区不动产权第0088002号</t>
  </si>
  <si>
    <t>五华区科普路旁昆明联想科技城（二期）10层1010号</t>
  </si>
  <si>
    <t>22层2217号</t>
  </si>
  <si>
    <t>云（2018）五华区不动产权第0088003号</t>
  </si>
  <si>
    <t>五华区科普路旁昆明联想科技城（二期）22层2217号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</si>
  <si>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</si>
  <si>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</si>
  <si>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</si>
  <si>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</si>
  <si>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</si>
  <si>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</si>
  <si>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</si>
  <si>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</si>
  <si>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</si>
  <si>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</si>
  <si>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</si>
  <si>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</si>
  <si>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</si>
  <si>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</si>
  <si>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</si>
  <si>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</si>
  <si>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高楼层</t>
  </si>
  <si>
    <t>2.74.</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</si>
</sst>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62">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2" fillId="19" borderId="0" applyNumberFormat="0" applyBorder="0" applyAlignment="0" applyProtection="0">
      <alignment vertical="center"/>
    </xf>
    <xf numFmtId="0" fontId="262" fillId="19"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4" fillId="20" borderId="0" applyNumberFormat="0" applyBorder="0" applyAlignment="0" applyProtection="0">
      <alignment vertical="center"/>
    </xf>
    <xf numFmtId="0" fontId="264"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cellStyleXfs>
  <cellXfs count="337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0" fontId="82" fillId="2" borderId="2" xfId="0" applyFont="1" applyFill="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0" fontId="257" fillId="0" borderId="156" xfId="0" applyFont="1" applyFill="1" applyBorder="1" applyAlignment="1" applyProtection="1">
      <alignment horizontal="center" vertical="top" wrapText="1"/>
      <protection locked="0"/>
    </xf>
    <xf numFmtId="0" fontId="257" fillId="0" borderId="1" xfId="0" applyFont="1" applyFill="1" applyBorder="1" applyAlignment="1" applyProtection="1">
      <alignment horizontal="center" vertical="top" wrapText="1"/>
      <protection locked="0"/>
    </xf>
    <xf numFmtId="0" fontId="257" fillId="0" borderId="157" xfId="0" applyFont="1" applyFill="1" applyBorder="1" applyAlignment="1" applyProtection="1">
      <alignment horizontal="center" vertical="top" wrapText="1"/>
      <protection locked="0"/>
    </xf>
    <xf numFmtId="0" fontId="256" fillId="0" borderId="5" xfId="0" applyFont="1" applyFill="1" applyBorder="1" applyAlignment="1" applyProtection="1">
      <alignment vertical="top" wrapText="1"/>
      <protection locked="0"/>
    </xf>
    <xf numFmtId="0" fontId="257" fillId="0" borderId="156" xfId="0" applyNumberFormat="1" applyFont="1" applyFill="1" applyBorder="1" applyAlignment="1" applyProtection="1">
      <alignment vertical="top" wrapText="1"/>
      <protection locked="0"/>
    </xf>
    <xf numFmtId="0" fontId="257" fillId="0" borderId="1" xfId="0" applyNumberFormat="1" applyFont="1" applyFill="1" applyBorder="1" applyAlignment="1" applyProtection="1">
      <alignment vertical="top" wrapText="1"/>
      <protection locked="0"/>
    </xf>
    <xf numFmtId="0" fontId="257" fillId="0" borderId="157" xfId="0" applyNumberFormat="1" applyFont="1" applyFill="1" applyBorder="1" applyAlignment="1" applyProtection="1">
      <alignment vertical="top" wrapText="1"/>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176" fontId="52" fillId="17" borderId="1" xfId="0" applyNumberFormat="1" applyFont="1" applyFill="1" applyBorder="1" applyAlignment="1" applyProtection="1">
      <alignment horizontal="center" vertical="center" wrapText="1"/>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9"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50" fillId="5" borderId="1" xfId="0" applyFont="1" applyFill="1" applyBorder="1" applyAlignment="1" applyProtection="1">
      <alignment horizontal="center" vertical="center"/>
      <protection locked="0"/>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9"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176" fontId="150" fillId="5" borderId="1" xfId="0" applyNumberFormat="1" applyFont="1" applyFill="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8"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258"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6" fillId="0" borderId="5" xfId="0" applyFont="1" applyFill="1" applyBorder="1" applyAlignment="1" applyProtection="1">
      <alignment horizontal="center" vertical="top" wrapText="1"/>
      <protection locked="0"/>
    </xf>
    <xf numFmtId="0" fontId="257" fillId="0" borderId="156" xfId="0" applyFont="1" applyFill="1" applyBorder="1" applyAlignment="1" applyProtection="1">
      <alignment horizontal="center" vertical="top" wrapText="1"/>
      <protection locked="0"/>
    </xf>
    <xf numFmtId="0" fontId="257" fillId="0" borderId="1" xfId="0" applyFont="1" applyFill="1" applyBorder="1" applyAlignment="1" applyProtection="1">
      <alignment horizontal="center" vertical="top" wrapText="1"/>
      <protection locked="0"/>
    </xf>
    <xf numFmtId="0" fontId="257" fillId="0" borderId="157" xfId="0" applyFont="1" applyFill="1" applyBorder="1" applyAlignment="1" applyProtection="1">
      <alignment horizontal="center" vertical="top"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49" fillId="6" borderId="37"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cellXfs>
  <cellStyles count="62">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16</xdr:col>
      <xdr:colOff>579606</xdr:colOff>
      <xdr:row>42</xdr:row>
      <xdr:rowOff>151497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23825"/>
          <a:ext cx="11361906" cy="7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受贵公司委托，我公司对进行了预评估。</v>
      </c>
    </row>
    <row r="7" spans="1:2" s="1595" customFormat="1">
      <c r="A7" s="1593" t="s">
        <v>1264</v>
      </c>
      <c r="B7" s="1594" t="str">
        <f>'预评函-1'!A7</f>
        <v>估价对象为房地产，为所有。根据《国有土地使用证》[]，估价对象（分摊）出让国有建设用地使用权面积为888.1平方米，建筑面积为16960.35平方米。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估价对象为房地产,属开发建设的，该项目尚在开发建设中。根据《国有土地使用证》[]，估价对象（分摊）出让国有建设用地使用权面积为888.1平方米，规划建筑面积为16960.35平方米。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2018年4月24日</v>
      </c>
    </row>
    <row r="13" spans="1:2" s="1595" customFormat="1">
      <c r="A13" s="1593" t="s">
        <v>1227</v>
      </c>
      <c r="B13" s="1594"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78</v>
      </c>
    </row>
    <row r="21" spans="1:2" s="1595" customFormat="1">
      <c r="A21" s="1593" t="s">
        <v>1235</v>
      </c>
      <c r="B21" s="1594" t="e">
        <f ca="1">'预评函-2'!D7</f>
        <v>#DIV/0!</v>
      </c>
    </row>
    <row r="22" spans="1:2" s="1595" customFormat="1">
      <c r="A22" s="1593" t="s">
        <v>1236</v>
      </c>
      <c r="B22" s="1594" t="str">
        <f ca="1">'预评函-2'!D6</f>
        <v>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78</v>
      </c>
    </row>
    <row r="31" spans="1:2" s="1595" customFormat="1">
      <c r="A31" s="1593" t="s">
        <v>1274</v>
      </c>
      <c r="B31" s="1594">
        <f ca="1">'预评函-2'!D15</f>
        <v>46</v>
      </c>
    </row>
    <row r="32" spans="1:2" s="1595" customFormat="1">
      <c r="A32" s="1593" t="s">
        <v>1241</v>
      </c>
      <c r="B32" s="1594" t="str">
        <f ca="1">'预评函-2'!D14</f>
        <v>柒拾捌万元整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16960.349999999999</v>
      </c>
    </row>
    <row r="44" spans="1:2" s="1595" customFormat="1">
      <c r="A44" s="1593" t="s">
        <v>1273</v>
      </c>
      <c r="B44" s="1594" t="str">
        <f>'预评函-3'!C2</f>
        <v>(分摊)土地面积</v>
      </c>
    </row>
    <row r="45" spans="1:2" s="1595" customFormat="1">
      <c r="A45" s="1593" t="s">
        <v>1245</v>
      </c>
      <c r="B45" s="1594">
        <f>'预评函-3'!C4</f>
        <v>888.1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#DIV/0!</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6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864</v>
      </c>
      <c r="C54" s="2021" t="s">
        <v>1281</v>
      </c>
    </row>
    <row r="55" spans="1:4">
      <c r="A55" s="3063"/>
      <c r="B55" s="2024" t="s">
        <v>865</v>
      </c>
      <c r="C55" s="2021" t="s">
        <v>1282</v>
      </c>
    </row>
    <row r="56" spans="1:4">
      <c r="A56" s="3063"/>
      <c r="B56" s="2024" t="s">
        <v>866</v>
      </c>
      <c r="C56" s="2021" t="s">
        <v>1286</v>
      </c>
    </row>
    <row r="57" spans="1:4">
      <c r="A57" s="306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7" style="2034" customWidth="1"/>
    <col min="3" max="3" width="11.5" style="2034" customWidth="1"/>
    <col min="4" max="4" width="17" style="2034" customWidth="1"/>
    <col min="5" max="5" width="13.375" style="2034" customWidth="1"/>
    <col min="6"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72" t="str">
        <f>IF(B10="北京市","北京市",C10)&amp;F10&amp;IF(结果表!G1="在建","出让国有建设用地使用权及在建建筑物",IF(结果表!G1="土地","出让国有建设用地使用权",))&amp;B9&amp;"预评估"</f>
        <v>预评估</v>
      </c>
      <c r="C1" s="3073"/>
      <c r="D1" s="3073"/>
      <c r="E1" s="3073"/>
      <c r="F1" s="3073"/>
      <c r="G1" s="3073"/>
      <c r="H1" s="3073"/>
      <c r="I1" s="307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1778</v>
      </c>
      <c r="B3" s="2038">
        <v>43033</v>
      </c>
      <c r="C3" s="2039" t="s">
        <v>1779</v>
      </c>
      <c r="D3" s="2038">
        <v>43214</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c r="C8" s="2058"/>
      <c r="D8" s="3075" t="s">
        <v>1785</v>
      </c>
      <c r="E8" s="2059"/>
      <c r="F8" s="2060"/>
      <c r="G8" s="2028"/>
      <c r="H8" s="2028"/>
      <c r="I8" s="2028"/>
      <c r="J8" s="2044"/>
      <c r="K8" s="2045"/>
      <c r="L8" s="2030"/>
      <c r="M8" s="2030"/>
      <c r="N8" s="2031"/>
      <c r="O8" s="2032"/>
      <c r="P8" s="2031"/>
      <c r="Q8" s="2031"/>
      <c r="R8" s="2031"/>
    </row>
    <row r="9" spans="1:19" ht="18" customHeight="1" thickBot="1">
      <c r="A9" s="2042" t="s">
        <v>1786</v>
      </c>
      <c r="B9" s="2061"/>
      <c r="C9" s="2062"/>
      <c r="D9" s="3076"/>
      <c r="E9" s="2061"/>
      <c r="F9" s="2063"/>
      <c r="G9" s="2064"/>
      <c r="H9" s="2064"/>
      <c r="I9" s="2064"/>
      <c r="J9" s="2044"/>
      <c r="K9" s="2056"/>
      <c r="L9" s="2030"/>
      <c r="M9" s="2030"/>
      <c r="N9" s="2031"/>
      <c r="O9" s="2032"/>
      <c r="P9" s="2031"/>
      <c r="Q9" s="2031"/>
      <c r="R9" s="2031"/>
    </row>
    <row r="10" spans="1:19" ht="18" customHeight="1" thickTop="1">
      <c r="A10" s="2065" t="s">
        <v>1787</v>
      </c>
      <c r="B10" s="2066"/>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3118</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55683</v>
      </c>
      <c r="F13" s="2082"/>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34.159999999999997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82"/>
      <c r="C16" s="3083"/>
      <c r="D16" s="3084"/>
      <c r="E16" s="2088" t="s">
        <v>1802</v>
      </c>
      <c r="F16" s="3085"/>
      <c r="G16" s="3086"/>
      <c r="H16" s="3086"/>
      <c r="I16" s="3087"/>
      <c r="J16" s="2031"/>
      <c r="K16" s="2085"/>
      <c r="L16" s="2086"/>
      <c r="M16" s="2086"/>
      <c r="N16" s="2087"/>
      <c r="O16" s="2086"/>
      <c r="P16" s="2087"/>
      <c r="Q16" s="2031"/>
      <c r="R16" s="2031"/>
    </row>
    <row r="17" spans="1:22" ht="18" customHeight="1">
      <c r="A17" s="2089" t="s">
        <v>1803</v>
      </c>
      <c r="B17" s="2037" t="s">
        <v>1804</v>
      </c>
      <c r="C17" s="1056">
        <f>'数据-汇总表'!E3</f>
        <v>16960.349999999999</v>
      </c>
      <c r="D17" s="2090" t="s">
        <v>1805</v>
      </c>
      <c r="E17" s="3088" t="s">
        <v>1806</v>
      </c>
      <c r="F17" s="3089"/>
      <c r="G17" s="3089"/>
      <c r="H17" s="3089"/>
      <c r="I17" s="3090"/>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888.1</v>
      </c>
      <c r="D18" s="2093" t="s">
        <v>1805</v>
      </c>
      <c r="E18" s="3091" t="s">
        <v>1809</v>
      </c>
      <c r="F18" s="3092"/>
      <c r="G18" s="3092"/>
      <c r="H18" s="3092"/>
      <c r="I18" s="3093"/>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78" t="s">
        <v>1814</v>
      </c>
      <c r="C20" s="3079"/>
      <c r="D20" s="3080" t="s">
        <v>1815</v>
      </c>
      <c r="E20" s="3081"/>
      <c r="F20" s="2100" t="s">
        <v>1816</v>
      </c>
      <c r="G20" s="2044"/>
      <c r="H20" s="2044"/>
      <c r="I20" s="2044"/>
      <c r="J20" s="2044"/>
      <c r="K20" s="3077"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7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7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5"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5"/>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5"/>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66"/>
      <c r="B30" s="2037" t="s">
        <v>1833</v>
      </c>
      <c r="C30" s="3067"/>
      <c r="D30" s="306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69"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64" t="s">
        <v>1843</v>
      </c>
      <c r="T34" s="2137" t="str">
        <f>NUMBERSTRING(7-K34,1)&amp;"通"</f>
        <v>七通</v>
      </c>
      <c r="U34" s="2031"/>
      <c r="V34" s="2031"/>
    </row>
    <row r="35" spans="1:22" ht="18" customHeight="1">
      <c r="A35" s="2138"/>
      <c r="B35" s="3071" t="s">
        <v>1844</v>
      </c>
      <c r="C35" s="3071"/>
      <c r="D35" s="3071"/>
      <c r="E35" s="3071"/>
      <c r="F35" s="2139">
        <f>C10</f>
        <v>0</v>
      </c>
      <c r="G35" s="2044"/>
      <c r="H35" s="2044"/>
      <c r="I35" s="2044"/>
      <c r="J35" s="2044"/>
      <c r="K35" s="2077"/>
      <c r="L35" s="207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4"/>
      <c r="T35" s="47"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9"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162" customWidth="1"/>
    <col min="2" max="2" width="11" style="2162" customWidth="1"/>
    <col min="3" max="3" width="13.625" style="2162" customWidth="1"/>
    <col min="4" max="4" width="9.125" style="2162" customWidth="1"/>
    <col min="5" max="5" width="10" style="2418" customWidth="1"/>
    <col min="6" max="6" width="10" style="2224"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45" width="9.5" style="2162" hidden="1" customWidth="1"/>
    <col min="46"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416"/>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500"/>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2987">
        <f>SUM(E13:E293)</f>
        <v>888.10000000000139</v>
      </c>
      <c r="B3" s="13">
        <f>IF(C3="否",G5-AT5,G5)</f>
        <v>16960.349999999999</v>
      </c>
      <c r="C3" s="2171" t="s">
        <v>1879</v>
      </c>
      <c r="D3" s="2167"/>
      <c r="E3" s="3014"/>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3014"/>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1880</v>
      </c>
      <c r="B5" s="1805"/>
      <c r="C5" s="1805"/>
      <c r="D5" s="1808"/>
      <c r="E5" s="15" t="s">
        <v>1</v>
      </c>
      <c r="F5" s="15">
        <f>SUM(F13:F587)</f>
        <v>0</v>
      </c>
      <c r="G5" s="15">
        <f>SUM(G13:G587)</f>
        <v>16960.349999999999</v>
      </c>
      <c r="H5" s="15">
        <f t="shared" ref="H5:AT5" si="0">SUM(H13:H656)</f>
        <v>16960.349999999999</v>
      </c>
      <c r="I5" s="15">
        <f t="shared" si="0"/>
        <v>16960.349999999999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1880</v>
      </c>
      <c r="AW5" s="1805"/>
      <c r="AX5" s="1805"/>
      <c r="AY5" s="16" t="s">
        <v>3</v>
      </c>
      <c r="AZ5" s="17">
        <f t="shared" ref="AZ5:BT5" si="1">SUM(AZ13:AZ656)</f>
        <v>16960.349999999999</v>
      </c>
      <c r="BA5" s="17">
        <f t="shared" si="1"/>
        <v>16960.349999999999</v>
      </c>
      <c r="BB5" s="17">
        <f t="shared" si="1"/>
        <v>16960.349999999999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1881</v>
      </c>
      <c r="B6" s="2177"/>
      <c r="C6" s="2177"/>
      <c r="D6" s="2178"/>
      <c r="E6" s="15">
        <f>H6+AC6+AT6</f>
        <v>888.1</v>
      </c>
      <c r="F6" s="15" t="s">
        <v>1</v>
      </c>
      <c r="G6" s="15" t="s">
        <v>2</v>
      </c>
      <c r="H6" s="19">
        <f>SUMIF(I$12:AB$12,"总值",I6:AB6)</f>
        <v>888.1</v>
      </c>
      <c r="I6" s="15">
        <f t="shared" ref="I6:AB6" si="2">ROUND($A$3*I5/$B$3,2)</f>
        <v>888.1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1881</v>
      </c>
      <c r="AW6" s="2177"/>
      <c r="AX6" s="2177"/>
      <c r="AY6" s="20">
        <f>IF(AY3&gt;0,AY3,ROUND($A$3*AZ5/$B$3,2))</f>
        <v>888.1</v>
      </c>
      <c r="AZ6" s="15" t="s">
        <v>3</v>
      </c>
      <c r="BA6" s="15">
        <f>ROUND($AY$6*BA5/$AZ$5,2)</f>
        <v>888.1</v>
      </c>
      <c r="BB6" s="15">
        <f>ROUND($AY$6*BB5/$AZ$5,2)</f>
        <v>888.1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1882</v>
      </c>
      <c r="B7" s="2112" t="s">
        <v>1883</v>
      </c>
      <c r="C7" s="2112" t="s">
        <v>1884</v>
      </c>
      <c r="D7" s="2112" t="s">
        <v>1885</v>
      </c>
      <c r="E7" s="3000"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2" t="s">
        <v>1890</v>
      </c>
      <c r="AW7" s="2169" t="s">
        <v>1891</v>
      </c>
      <c r="AX7" s="22"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1900</v>
      </c>
      <c r="I9" s="2194" t="s">
        <v>3296</v>
      </c>
      <c r="J9" s="983"/>
      <c r="K9" s="2194" t="s">
        <v>3296</v>
      </c>
      <c r="L9" s="983"/>
      <c r="M9" s="2194"/>
      <c r="N9" s="983"/>
      <c r="O9" s="2194"/>
      <c r="P9" s="983"/>
      <c r="Q9" s="2194"/>
      <c r="R9" s="983"/>
      <c r="S9" s="2194"/>
      <c r="T9" s="983"/>
      <c r="U9" s="2194"/>
      <c r="V9" s="983"/>
      <c r="W9" s="2194"/>
      <c r="X9" s="2195"/>
      <c r="Y9" s="2194"/>
      <c r="Z9" s="983"/>
      <c r="AA9" s="2194"/>
      <c r="AB9" s="983"/>
      <c r="AC9" s="2186" t="s">
        <v>1900</v>
      </c>
      <c r="AD9" s="14" t="s">
        <v>1901</v>
      </c>
      <c r="AE9" s="1300"/>
      <c r="AF9" s="14" t="s">
        <v>1902</v>
      </c>
      <c r="AG9" s="1300"/>
      <c r="AH9" s="14" t="s">
        <v>1901</v>
      </c>
      <c r="AI9" s="1300"/>
      <c r="AJ9" s="14" t="s">
        <v>1902</v>
      </c>
      <c r="AK9" s="1300"/>
      <c r="AL9" s="14" t="s">
        <v>1901</v>
      </c>
      <c r="AM9" s="1300"/>
      <c r="AN9" s="14" t="s">
        <v>1902</v>
      </c>
      <c r="AO9" s="1300"/>
      <c r="AP9" s="14" t="s">
        <v>1901</v>
      </c>
      <c r="AQ9" s="1300"/>
      <c r="AR9" s="14" t="s">
        <v>1902</v>
      </c>
      <c r="AS9" s="2196"/>
      <c r="AT9" s="2185"/>
      <c r="AU9" s="2185" t="s">
        <v>1903</v>
      </c>
      <c r="AV9" s="1294"/>
      <c r="AW9" s="2168"/>
      <c r="AX9" s="1294"/>
      <c r="AY9" s="27"/>
      <c r="AZ9" s="27" t="s">
        <v>1893</v>
      </c>
      <c r="BA9" s="2197" t="s">
        <v>1904</v>
      </c>
      <c r="BB9" s="2198"/>
      <c r="BC9" s="1340"/>
      <c r="BD9" s="1340"/>
      <c r="BE9" s="1340"/>
      <c r="BF9" s="1340"/>
      <c r="BG9" s="1340"/>
      <c r="BH9" s="1340"/>
      <c r="BI9" s="1340"/>
      <c r="BJ9" s="1340"/>
      <c r="BK9" s="2199"/>
      <c r="BL9" s="14" t="s">
        <v>1905</v>
      </c>
      <c r="BM9" s="1820"/>
      <c r="BN9" s="2188"/>
      <c r="BO9" s="1820"/>
      <c r="BP9" s="1820"/>
      <c r="BQ9" s="1820"/>
      <c r="BR9" s="1820"/>
      <c r="BS9" s="1820"/>
      <c r="BT9" s="25"/>
    </row>
    <row r="10" spans="1:72" s="2192" customFormat="1" ht="12.75">
      <c r="A10" s="2185"/>
      <c r="B10" s="2185"/>
      <c r="C10" s="2185"/>
      <c r="D10" s="2185"/>
      <c r="E10" s="2185"/>
      <c r="F10" s="2185"/>
      <c r="G10" s="1294"/>
      <c r="H10" s="27"/>
      <c r="I10" s="2194" t="s">
        <v>1377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4" t="s">
        <v>1906</v>
      </c>
      <c r="AE10" s="2201"/>
      <c r="AF10" s="14" t="s">
        <v>1906</v>
      </c>
      <c r="AG10" s="2201"/>
      <c r="AH10" s="14" t="s">
        <v>1907</v>
      </c>
      <c r="AI10" s="2201"/>
      <c r="AJ10" s="14" t="s">
        <v>1907</v>
      </c>
      <c r="AK10" s="2201"/>
      <c r="AL10" s="14" t="s">
        <v>1908</v>
      </c>
      <c r="AM10" s="1300"/>
      <c r="AN10" s="14" t="s">
        <v>1908</v>
      </c>
      <c r="AO10" s="1300"/>
      <c r="AP10" s="14" t="s">
        <v>1909</v>
      </c>
      <c r="AQ10" s="1300"/>
      <c r="AR10" s="14" t="s">
        <v>1909</v>
      </c>
      <c r="AS10" s="1300"/>
      <c r="AT10" s="2185"/>
      <c r="AU10" s="2185"/>
      <c r="AV10" s="1294"/>
      <c r="AW10" s="2168"/>
      <c r="AX10" s="1294"/>
      <c r="AY10" s="27"/>
      <c r="AZ10" s="27"/>
      <c r="BA10" s="2202" t="s">
        <v>1900</v>
      </c>
      <c r="BB10" s="2203" t="str">
        <f>I9</f>
        <v>地上</v>
      </c>
      <c r="BC10" s="28" t="str">
        <f>K9</f>
        <v>地上</v>
      </c>
      <c r="BD10" s="28">
        <f>M9</f>
        <v>0</v>
      </c>
      <c r="BE10" s="28">
        <f>O9</f>
        <v>0</v>
      </c>
      <c r="BF10" s="28">
        <f>Q9</f>
        <v>0</v>
      </c>
      <c r="BG10" s="28">
        <f>S9</f>
        <v>0</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t="s">
        <v>3297</v>
      </c>
      <c r="J11" s="2206"/>
      <c r="K11" s="2205" t="s">
        <v>3298</v>
      </c>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7"/>
      <c r="AZ11" s="27"/>
      <c r="BA11" s="27"/>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10" t="s">
        <v>1913</v>
      </c>
      <c r="AT12" s="2213"/>
      <c r="AU12" s="2210"/>
      <c r="AV12" s="30"/>
      <c r="AW12" s="2169"/>
      <c r="AX12" s="30"/>
      <c r="AY12" s="2214"/>
      <c r="AZ12" s="27"/>
      <c r="BA12" s="2202"/>
      <c r="BB12" s="23" t="str">
        <f>I11</f>
        <v>办公楼</v>
      </c>
      <c r="BC12" s="2215" t="str">
        <f>K11</f>
        <v>商业街</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1274" t="str">
        <f>办公清单!C6</f>
        <v>18层1801号</v>
      </c>
      <c r="D13" s="2951" t="s">
        <v>3295</v>
      </c>
      <c r="E13" s="3018">
        <v>4.24</v>
      </c>
      <c r="F13" s="31"/>
      <c r="G13" s="32">
        <f>H13+AC13+AT13</f>
        <v>80.73</v>
      </c>
      <c r="H13" s="19">
        <f>SUMIF(I$12:AB$12,"总值",I13:AB13)</f>
        <v>80.73</v>
      </c>
      <c r="I13" s="2216">
        <f>办公清单!E6</f>
        <v>80.73</v>
      </c>
      <c r="J13" s="2216"/>
      <c r="K13" s="2216"/>
      <c r="L13" s="2216"/>
      <c r="M13" s="2216"/>
      <c r="N13" s="2216"/>
      <c r="O13" s="2216"/>
      <c r="P13" s="2216"/>
      <c r="Q13" s="2216"/>
      <c r="R13" s="2216"/>
      <c r="S13" s="2216"/>
      <c r="T13" s="2216"/>
      <c r="U13" s="2216"/>
      <c r="V13" s="2216"/>
      <c r="W13" s="2216"/>
      <c r="X13" s="2216"/>
      <c r="Y13" s="2216"/>
      <c r="Z13" s="2216"/>
      <c r="AA13" s="2216"/>
      <c r="AB13" s="2216"/>
      <c r="AC13" s="15">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18层1801号</v>
      </c>
      <c r="AY13" s="1808">
        <f>ROUND($AY$6*AZ13/$AZ$5,2)</f>
        <v>4.2300000000000004</v>
      </c>
      <c r="AZ13" s="15">
        <f>BA13+BL13</f>
        <v>80.73</v>
      </c>
      <c r="BA13" s="15">
        <f>SUM(BB13:BK13)</f>
        <v>80.73</v>
      </c>
      <c r="BB13" s="15">
        <f>IF($D13="是",I13-J13,0)</f>
        <v>80.73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1274" t="str">
        <f>办公清单!C7</f>
        <v>18层1802号</v>
      </c>
      <c r="D14" s="2951" t="s">
        <v>3295</v>
      </c>
      <c r="E14" s="2983">
        <v>2.74</v>
      </c>
      <c r="F14" s="31"/>
      <c r="G14" s="32">
        <f>H14+AC14+AT14</f>
        <v>52.17</v>
      </c>
      <c r="H14" s="19">
        <f>SUMIF(I$12:AB$12,"总值",I14:AB14)</f>
        <v>52.17</v>
      </c>
      <c r="I14" s="2216">
        <f>办公清单!E7</f>
        <v>52.17</v>
      </c>
      <c r="J14" s="2216"/>
      <c r="K14" s="2216"/>
      <c r="L14" s="2216"/>
      <c r="M14" s="2216"/>
      <c r="N14" s="2216"/>
      <c r="O14" s="2216"/>
      <c r="P14" s="2216"/>
      <c r="Q14" s="2216"/>
      <c r="R14" s="2216"/>
      <c r="S14" s="2216"/>
      <c r="T14" s="2216"/>
      <c r="U14" s="2216"/>
      <c r="V14" s="2216"/>
      <c r="W14" s="2216"/>
      <c r="X14" s="2216"/>
      <c r="Y14" s="2216"/>
      <c r="Z14" s="2216"/>
      <c r="AA14" s="2216"/>
      <c r="AB14" s="2216"/>
      <c r="AC14" s="15">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18层1802号</v>
      </c>
      <c r="AY14" s="1808">
        <f>ROUND($AY$6*AZ14/$AZ$5,2)</f>
        <v>2.73</v>
      </c>
      <c r="AZ14" s="15">
        <f>BA14+BL14</f>
        <v>52.17</v>
      </c>
      <c r="BA14" s="15">
        <f>SUM(BB14:BK14)</f>
        <v>52.17</v>
      </c>
      <c r="BB14" s="15">
        <f>IF($D14="是",I14-J14,0)</f>
        <v>52.17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4"/>
      <c r="B15" s="1274"/>
      <c r="C15" s="1274" t="str">
        <f>办公清单!C8</f>
        <v>18层1803号</v>
      </c>
      <c r="D15" s="2951" t="s">
        <v>3295</v>
      </c>
      <c r="E15" s="2983">
        <v>2.74</v>
      </c>
      <c r="F15" s="31"/>
      <c r="G15" s="32">
        <f>H15+AC15+AT15</f>
        <v>52.17</v>
      </c>
      <c r="H15" s="19">
        <f>SUMIF(I$12:AB$12,"总值",I15:AB15)</f>
        <v>52.17</v>
      </c>
      <c r="I15" s="2216">
        <f>办公清单!E8</f>
        <v>52.17</v>
      </c>
      <c r="J15" s="2216"/>
      <c r="K15" s="2216"/>
      <c r="L15" s="2216"/>
      <c r="M15" s="2216"/>
      <c r="N15" s="2216"/>
      <c r="O15" s="2216"/>
      <c r="P15" s="2216"/>
      <c r="Q15" s="2216"/>
      <c r="R15" s="2216"/>
      <c r="S15" s="2216"/>
      <c r="T15" s="2216"/>
      <c r="U15" s="2216"/>
      <c r="V15" s="2216"/>
      <c r="W15" s="2216"/>
      <c r="X15" s="2216"/>
      <c r="Y15" s="2216"/>
      <c r="Z15" s="2216"/>
      <c r="AA15" s="2216"/>
      <c r="AB15" s="2216"/>
      <c r="AC15" s="15">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18层1803号</v>
      </c>
      <c r="AY15" s="1808">
        <f>ROUND($AY$6*AZ15/$AZ$5,2)</f>
        <v>2.73</v>
      </c>
      <c r="AZ15" s="15">
        <f>BA15+BL15</f>
        <v>52.17</v>
      </c>
      <c r="BA15" s="15">
        <f>SUM(BB15:BK15)</f>
        <v>52.17</v>
      </c>
      <c r="BB15" s="15">
        <f>IF($D15="是",I15-J15,0)</f>
        <v>52.17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4"/>
      <c r="B16" s="1274"/>
      <c r="C16" s="1274" t="str">
        <f>办公清单!C9</f>
        <v>18层1804号</v>
      </c>
      <c r="D16" s="2951" t="s">
        <v>3295</v>
      </c>
      <c r="E16" s="2983">
        <v>2.74</v>
      </c>
      <c r="F16" s="31"/>
      <c r="G16" s="32">
        <f>H16+AC16+AT16</f>
        <v>52.17</v>
      </c>
      <c r="H16" s="19">
        <f>SUMIF(I$12:AB$12,"总值",I16:AB16)</f>
        <v>52.17</v>
      </c>
      <c r="I16" s="2216">
        <f>办公清单!E9</f>
        <v>52.17</v>
      </c>
      <c r="J16" s="2216"/>
      <c r="K16" s="2216"/>
      <c r="L16" s="2216"/>
      <c r="M16" s="2216"/>
      <c r="N16" s="2216"/>
      <c r="O16" s="2216"/>
      <c r="P16" s="2216"/>
      <c r="Q16" s="2216"/>
      <c r="R16" s="2216"/>
      <c r="S16" s="2216"/>
      <c r="T16" s="2216"/>
      <c r="U16" s="2216"/>
      <c r="V16" s="2216"/>
      <c r="W16" s="2216"/>
      <c r="X16" s="2216"/>
      <c r="Y16" s="2216"/>
      <c r="Z16" s="2216"/>
      <c r="AA16" s="2216"/>
      <c r="AB16" s="2216"/>
      <c r="AC16" s="15">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18层1804号</v>
      </c>
      <c r="AY16" s="1808">
        <f>ROUND($AY$6*AZ16/$AZ$5,2)</f>
        <v>2.73</v>
      </c>
      <c r="AZ16" s="15">
        <f>BA16+BL16</f>
        <v>52.17</v>
      </c>
      <c r="BA16" s="15">
        <f>SUM(BB16:BK16)</f>
        <v>52.17</v>
      </c>
      <c r="BB16" s="15">
        <f>IF($D16="是",I16-J16,0)</f>
        <v>52.17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1274" t="str">
        <f>办公清单!C10</f>
        <v>18层1805号</v>
      </c>
      <c r="D17" s="2951" t="s">
        <v>3295</v>
      </c>
      <c r="E17" s="2983">
        <v>2.74</v>
      </c>
      <c r="F17" s="31"/>
      <c r="G17" s="32">
        <f>H17+AC17+AT17</f>
        <v>52.17</v>
      </c>
      <c r="H17" s="19">
        <f>SUMIF(I$12:AB$12,"总值",I17:AB17)</f>
        <v>52.17</v>
      </c>
      <c r="I17" s="2216">
        <f>办公清单!E10</f>
        <v>52.17</v>
      </c>
      <c r="J17" s="2216"/>
      <c r="K17" s="2216"/>
      <c r="L17" s="2216"/>
      <c r="M17" s="2216"/>
      <c r="N17" s="2216"/>
      <c r="O17" s="2216"/>
      <c r="P17" s="2216"/>
      <c r="Q17" s="2216"/>
      <c r="R17" s="2216"/>
      <c r="S17" s="2216"/>
      <c r="T17" s="2216"/>
      <c r="U17" s="2216"/>
      <c r="V17" s="2216"/>
      <c r="W17" s="2216"/>
      <c r="X17" s="2216"/>
      <c r="Y17" s="2216"/>
      <c r="Z17" s="2216"/>
      <c r="AA17" s="2216"/>
      <c r="AB17" s="2216"/>
      <c r="AC17" s="15">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18层1805号</v>
      </c>
      <c r="AY17" s="1808">
        <f>ROUND($AY$6*AZ17/$AZ$5,2)</f>
        <v>2.73</v>
      </c>
      <c r="AZ17" s="15">
        <f>BA17+BL17</f>
        <v>52.17</v>
      </c>
      <c r="BA17" s="15">
        <f>SUM(BB17:BK17)</f>
        <v>52.17</v>
      </c>
      <c r="BB17" s="15">
        <f>IF($D17="是",I17-J17,0)</f>
        <v>52.17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8.5">
      <c r="A18" s="9"/>
      <c r="B18" s="33"/>
      <c r="C18" s="1274" t="str">
        <f>办公清单!C11</f>
        <v>18层1806号</v>
      </c>
      <c r="D18" s="2951" t="s">
        <v>3295</v>
      </c>
      <c r="E18" s="2983">
        <v>2.74</v>
      </c>
      <c r="F18" s="35"/>
      <c r="G18" s="36">
        <f t="shared" ref="G18:G109" si="7">H18+AC18+AT18</f>
        <v>52.17</v>
      </c>
      <c r="H18" s="37">
        <f t="shared" ref="H18:H109" si="8">SUMIF(I$12:AB$12,"总值",I18:AB18)</f>
        <v>52.17</v>
      </c>
      <c r="I18" s="2216">
        <f>办公清单!E11</f>
        <v>52.17</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21"/>
      <c r="AV18" s="1797">
        <f t="shared" ref="AV18:AV112" si="10">A18</f>
        <v>0</v>
      </c>
      <c r="AW18" s="1797">
        <f t="shared" ref="AW18:AW112" si="11">B18</f>
        <v>0</v>
      </c>
      <c r="AX18" s="1797" t="str">
        <f t="shared" ref="AX18:AX112" si="12">C18</f>
        <v>18层1806号</v>
      </c>
      <c r="AY18" s="41">
        <f t="shared" ref="AY18:AY109" si="13">ROUND($AY$6*AZ18/$AZ$5,2)</f>
        <v>2.73</v>
      </c>
      <c r="AZ18" s="34">
        <f t="shared" ref="AZ18:AZ109" si="14">BA18+BL18</f>
        <v>52.17</v>
      </c>
      <c r="BA18" s="34">
        <f t="shared" ref="BA18:BA109" si="15">SUM(BB18:BK18)</f>
        <v>52.17</v>
      </c>
      <c r="BB18" s="34">
        <f t="shared" ref="BB18:BB109" si="16">IF($D18="是",I18-J18,0)</f>
        <v>52.17</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ht="28.5">
      <c r="A19" s="9"/>
      <c r="B19" s="33"/>
      <c r="C19" s="1274" t="str">
        <f>办公清单!C12</f>
        <v>18层1807号</v>
      </c>
      <c r="D19" s="2951" t="s">
        <v>3295</v>
      </c>
      <c r="E19" s="2983">
        <v>2.74</v>
      </c>
      <c r="F19" s="35"/>
      <c r="G19" s="36">
        <f t="shared" si="7"/>
        <v>52.17</v>
      </c>
      <c r="H19" s="37">
        <f t="shared" si="8"/>
        <v>52.17</v>
      </c>
      <c r="I19" s="2216">
        <f>办公清单!E12</f>
        <v>52.17</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21"/>
      <c r="AV19" s="1797">
        <f t="shared" si="10"/>
        <v>0</v>
      </c>
      <c r="AW19" s="1797">
        <f t="shared" si="11"/>
        <v>0</v>
      </c>
      <c r="AX19" s="1797" t="str">
        <f t="shared" si="12"/>
        <v>18层1807号</v>
      </c>
      <c r="AY19" s="41">
        <f t="shared" si="13"/>
        <v>2.73</v>
      </c>
      <c r="AZ19" s="34">
        <f t="shared" si="14"/>
        <v>52.17</v>
      </c>
      <c r="BA19" s="34">
        <f t="shared" si="15"/>
        <v>52.17</v>
      </c>
      <c r="BB19" s="34">
        <f t="shared" si="16"/>
        <v>52.17</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ht="28.5">
      <c r="A20" s="9"/>
      <c r="B20" s="33"/>
      <c r="C20" s="1274" t="str">
        <f>办公清单!C13</f>
        <v>18层1808号</v>
      </c>
      <c r="D20" s="2951" t="s">
        <v>3295</v>
      </c>
      <c r="E20" s="2983">
        <v>2.74</v>
      </c>
      <c r="F20" s="35"/>
      <c r="G20" s="36">
        <f t="shared" si="7"/>
        <v>52.17</v>
      </c>
      <c r="H20" s="37">
        <f t="shared" si="8"/>
        <v>52.17</v>
      </c>
      <c r="I20" s="2216">
        <f>办公清单!E13</f>
        <v>52.17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21"/>
      <c r="AV20" s="1797">
        <f t="shared" si="10"/>
        <v>0</v>
      </c>
      <c r="AW20" s="1797">
        <f t="shared" si="11"/>
        <v>0</v>
      </c>
      <c r="AX20" s="1797" t="str">
        <f t="shared" si="12"/>
        <v>18层1808号</v>
      </c>
      <c r="AY20" s="41">
        <f t="shared" si="13"/>
        <v>2.73</v>
      </c>
      <c r="AZ20" s="34">
        <f t="shared" si="14"/>
        <v>52.17</v>
      </c>
      <c r="BA20" s="34">
        <f t="shared" si="15"/>
        <v>52.17</v>
      </c>
      <c r="BB20" s="34">
        <f t="shared" si="16"/>
        <v>52.17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ht="28.5">
      <c r="A21" s="9"/>
      <c r="B21" s="33"/>
      <c r="C21" s="1274" t="str">
        <f>办公清单!C14</f>
        <v>18层1809号</v>
      </c>
      <c r="D21" s="2951" t="s">
        <v>3295</v>
      </c>
      <c r="E21" s="2983">
        <v>2.74</v>
      </c>
      <c r="F21" s="35"/>
      <c r="G21" s="36">
        <f t="shared" si="7"/>
        <v>52.17</v>
      </c>
      <c r="H21" s="37">
        <f t="shared" si="8"/>
        <v>52.17</v>
      </c>
      <c r="I21" s="2216">
        <f>办公清单!E14</f>
        <v>52.17</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21"/>
      <c r="AV21" s="1797">
        <f t="shared" si="10"/>
        <v>0</v>
      </c>
      <c r="AW21" s="1797">
        <f t="shared" si="11"/>
        <v>0</v>
      </c>
      <c r="AX21" s="1797" t="str">
        <f t="shared" si="12"/>
        <v>18层1809号</v>
      </c>
      <c r="AY21" s="41">
        <f t="shared" si="13"/>
        <v>2.73</v>
      </c>
      <c r="AZ21" s="34">
        <f t="shared" si="14"/>
        <v>52.17</v>
      </c>
      <c r="BA21" s="34">
        <f t="shared" si="15"/>
        <v>52.17</v>
      </c>
      <c r="BB21" s="34">
        <f t="shared" si="16"/>
        <v>52.17</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ht="28.5">
      <c r="A22" s="9"/>
      <c r="B22" s="33"/>
      <c r="C22" s="1274" t="str">
        <f>办公清单!C15</f>
        <v>18层1810号</v>
      </c>
      <c r="D22" s="2951" t="s">
        <v>3295</v>
      </c>
      <c r="E22" s="2983">
        <v>2.74</v>
      </c>
      <c r="F22" s="35"/>
      <c r="G22" s="36">
        <f t="shared" si="7"/>
        <v>52.17</v>
      </c>
      <c r="H22" s="37">
        <f t="shared" si="8"/>
        <v>52.17</v>
      </c>
      <c r="I22" s="2216">
        <f>办公清单!E15</f>
        <v>52.17</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21"/>
      <c r="AV22" s="1797">
        <f t="shared" si="10"/>
        <v>0</v>
      </c>
      <c r="AW22" s="1797">
        <f t="shared" si="11"/>
        <v>0</v>
      </c>
      <c r="AX22" s="1797" t="str">
        <f t="shared" si="12"/>
        <v>18层1810号</v>
      </c>
      <c r="AY22" s="41">
        <f t="shared" si="13"/>
        <v>2.73</v>
      </c>
      <c r="AZ22" s="34">
        <f t="shared" si="14"/>
        <v>52.17</v>
      </c>
      <c r="BA22" s="34">
        <f t="shared" si="15"/>
        <v>52.17</v>
      </c>
      <c r="BB22" s="34">
        <f t="shared" si="16"/>
        <v>52.17</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ht="28.5">
      <c r="A23" s="9"/>
      <c r="B23" s="33"/>
      <c r="C23" s="1274" t="str">
        <f>办公清单!C16</f>
        <v>18层1811号</v>
      </c>
      <c r="D23" s="2951" t="s">
        <v>3295</v>
      </c>
      <c r="E23" s="2983">
        <v>2.74</v>
      </c>
      <c r="F23" s="35"/>
      <c r="G23" s="36">
        <f t="shared" si="7"/>
        <v>52.17</v>
      </c>
      <c r="H23" s="37">
        <f t="shared" si="8"/>
        <v>52.17</v>
      </c>
      <c r="I23" s="2216">
        <f>办公清单!E16</f>
        <v>52.17</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21"/>
      <c r="AV23" s="1797">
        <f t="shared" si="10"/>
        <v>0</v>
      </c>
      <c r="AW23" s="1797">
        <f t="shared" si="11"/>
        <v>0</v>
      </c>
      <c r="AX23" s="1797" t="str">
        <f t="shared" si="12"/>
        <v>18层1811号</v>
      </c>
      <c r="AY23" s="41">
        <f t="shared" si="13"/>
        <v>2.73</v>
      </c>
      <c r="AZ23" s="34">
        <f t="shared" si="14"/>
        <v>52.17</v>
      </c>
      <c r="BA23" s="34">
        <f t="shared" si="15"/>
        <v>52.17</v>
      </c>
      <c r="BB23" s="34">
        <f t="shared" si="16"/>
        <v>52.17</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ht="28.5">
      <c r="A24" s="9"/>
      <c r="B24" s="33"/>
      <c r="C24" s="1274" t="str">
        <f>办公清单!C17</f>
        <v>18层1812号</v>
      </c>
      <c r="D24" s="2951" t="s">
        <v>3295</v>
      </c>
      <c r="E24" s="2983">
        <v>4.24</v>
      </c>
      <c r="F24" s="35"/>
      <c r="G24" s="36">
        <f t="shared" si="7"/>
        <v>80.73</v>
      </c>
      <c r="H24" s="37">
        <f t="shared" si="8"/>
        <v>80.73</v>
      </c>
      <c r="I24" s="2216">
        <f>办公清单!E17</f>
        <v>80.73</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21"/>
      <c r="AV24" s="1797">
        <f t="shared" si="10"/>
        <v>0</v>
      </c>
      <c r="AW24" s="1797">
        <f t="shared" si="11"/>
        <v>0</v>
      </c>
      <c r="AX24" s="1797" t="str">
        <f t="shared" si="12"/>
        <v>18层1812号</v>
      </c>
      <c r="AY24" s="41">
        <f t="shared" si="13"/>
        <v>4.2300000000000004</v>
      </c>
      <c r="AZ24" s="34">
        <f t="shared" si="14"/>
        <v>80.73</v>
      </c>
      <c r="BA24" s="34">
        <f t="shared" si="15"/>
        <v>80.73</v>
      </c>
      <c r="BB24" s="34">
        <f t="shared" si="16"/>
        <v>80.73</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ht="28.5">
      <c r="A25" s="9"/>
      <c r="B25" s="33"/>
      <c r="C25" s="1274" t="str">
        <f>办公清单!C18</f>
        <v>18层1813号</v>
      </c>
      <c r="D25" s="2951" t="s">
        <v>3295</v>
      </c>
      <c r="E25" s="2983">
        <v>3.47</v>
      </c>
      <c r="F25" s="35"/>
      <c r="G25" s="36">
        <f t="shared" si="7"/>
        <v>66.040000000000006</v>
      </c>
      <c r="H25" s="37">
        <f t="shared" si="8"/>
        <v>66.040000000000006</v>
      </c>
      <c r="I25" s="2216">
        <f>办公清单!E18</f>
        <v>66.040000000000006</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21"/>
      <c r="AV25" s="1797">
        <f t="shared" si="10"/>
        <v>0</v>
      </c>
      <c r="AW25" s="1797">
        <f t="shared" si="11"/>
        <v>0</v>
      </c>
      <c r="AX25" s="1797" t="str">
        <f t="shared" si="12"/>
        <v>18层1813号</v>
      </c>
      <c r="AY25" s="41">
        <f t="shared" si="13"/>
        <v>3.46</v>
      </c>
      <c r="AZ25" s="34">
        <f t="shared" si="14"/>
        <v>66.040000000000006</v>
      </c>
      <c r="BA25" s="34">
        <f t="shared" si="15"/>
        <v>66.040000000000006</v>
      </c>
      <c r="BB25" s="34">
        <f t="shared" si="16"/>
        <v>66.040000000000006</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ht="28.5">
      <c r="A26" s="9"/>
      <c r="B26" s="33"/>
      <c r="C26" s="1274" t="str">
        <f>办公清单!C19</f>
        <v>18层1814号</v>
      </c>
      <c r="D26" s="2951" t="s">
        <v>3295</v>
      </c>
      <c r="E26" s="2983">
        <v>3.47</v>
      </c>
      <c r="F26" s="35"/>
      <c r="G26" s="36">
        <f t="shared" si="7"/>
        <v>66.040000000000006</v>
      </c>
      <c r="H26" s="37">
        <f t="shared" si="8"/>
        <v>66.040000000000006</v>
      </c>
      <c r="I26" s="2216">
        <f>办公清单!E19</f>
        <v>66.040000000000006</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21"/>
      <c r="AV26" s="1797">
        <f t="shared" si="10"/>
        <v>0</v>
      </c>
      <c r="AW26" s="1797">
        <f t="shared" si="11"/>
        <v>0</v>
      </c>
      <c r="AX26" s="1797" t="str">
        <f t="shared" si="12"/>
        <v>18层1814号</v>
      </c>
      <c r="AY26" s="41">
        <f t="shared" si="13"/>
        <v>3.46</v>
      </c>
      <c r="AZ26" s="34">
        <f t="shared" si="14"/>
        <v>66.040000000000006</v>
      </c>
      <c r="BA26" s="34">
        <f t="shared" si="15"/>
        <v>66.040000000000006</v>
      </c>
      <c r="BB26" s="34">
        <f t="shared" si="16"/>
        <v>66.040000000000006</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ht="28.5">
      <c r="A27" s="9"/>
      <c r="B27" s="33"/>
      <c r="C27" s="1274" t="str">
        <f>办公清单!C20</f>
        <v>18层1815号</v>
      </c>
      <c r="D27" s="2951" t="s">
        <v>3295</v>
      </c>
      <c r="E27" s="2983">
        <v>4.24</v>
      </c>
      <c r="F27" s="35"/>
      <c r="G27" s="36">
        <f t="shared" si="7"/>
        <v>80.73</v>
      </c>
      <c r="H27" s="37">
        <f t="shared" si="8"/>
        <v>80.73</v>
      </c>
      <c r="I27" s="2216">
        <f>办公清单!E20</f>
        <v>80.73</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21"/>
      <c r="AV27" s="1797">
        <f t="shared" si="10"/>
        <v>0</v>
      </c>
      <c r="AW27" s="1797">
        <f t="shared" si="11"/>
        <v>0</v>
      </c>
      <c r="AX27" s="1797" t="str">
        <f t="shared" si="12"/>
        <v>18层1815号</v>
      </c>
      <c r="AY27" s="41">
        <f t="shared" si="13"/>
        <v>4.2300000000000004</v>
      </c>
      <c r="AZ27" s="34">
        <f t="shared" si="14"/>
        <v>80.73</v>
      </c>
      <c r="BA27" s="34">
        <f t="shared" si="15"/>
        <v>80.73</v>
      </c>
      <c r="BB27" s="34">
        <f t="shared" si="16"/>
        <v>80.73</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ht="28.5">
      <c r="A28" s="9"/>
      <c r="B28" s="33"/>
      <c r="C28" s="1274" t="str">
        <f>办公清单!C21</f>
        <v>18层1816号</v>
      </c>
      <c r="D28" s="2951" t="s">
        <v>3295</v>
      </c>
      <c r="E28" s="2983">
        <v>2.74</v>
      </c>
      <c r="F28" s="35"/>
      <c r="G28" s="36">
        <f t="shared" si="7"/>
        <v>52.17</v>
      </c>
      <c r="H28" s="37">
        <f t="shared" si="8"/>
        <v>52.17</v>
      </c>
      <c r="I28" s="2216">
        <f>办公清单!E21</f>
        <v>52.17</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21"/>
      <c r="AV28" s="1797">
        <f t="shared" si="10"/>
        <v>0</v>
      </c>
      <c r="AW28" s="1797">
        <f t="shared" si="11"/>
        <v>0</v>
      </c>
      <c r="AX28" s="1797" t="str">
        <f t="shared" si="12"/>
        <v>18层1816号</v>
      </c>
      <c r="AY28" s="41">
        <f t="shared" si="13"/>
        <v>2.73</v>
      </c>
      <c r="AZ28" s="34">
        <f t="shared" si="14"/>
        <v>52.17</v>
      </c>
      <c r="BA28" s="34">
        <f t="shared" si="15"/>
        <v>52.17</v>
      </c>
      <c r="BB28" s="34">
        <f t="shared" si="16"/>
        <v>52.17</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ht="28.5">
      <c r="A29" s="9"/>
      <c r="B29" s="33"/>
      <c r="C29" s="1274" t="str">
        <f>办公清单!C22</f>
        <v>18层1817号</v>
      </c>
      <c r="D29" s="2951" t="s">
        <v>3295</v>
      </c>
      <c r="E29" s="2983">
        <v>2.74</v>
      </c>
      <c r="F29" s="35"/>
      <c r="G29" s="36">
        <f t="shared" si="7"/>
        <v>52.17</v>
      </c>
      <c r="H29" s="37">
        <f t="shared" si="8"/>
        <v>52.17</v>
      </c>
      <c r="I29" s="2216">
        <f>办公清单!E22</f>
        <v>52.17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21"/>
      <c r="AV29" s="1797">
        <f t="shared" si="10"/>
        <v>0</v>
      </c>
      <c r="AW29" s="1797">
        <f t="shared" si="11"/>
        <v>0</v>
      </c>
      <c r="AX29" s="1797" t="str">
        <f t="shared" si="12"/>
        <v>18层1817号</v>
      </c>
      <c r="AY29" s="41">
        <f t="shared" si="13"/>
        <v>2.73</v>
      </c>
      <c r="AZ29" s="34">
        <f t="shared" si="14"/>
        <v>52.17</v>
      </c>
      <c r="BA29" s="34">
        <f t="shared" si="15"/>
        <v>52.17</v>
      </c>
      <c r="BB29" s="34">
        <f t="shared" si="16"/>
        <v>52.17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ht="28.5">
      <c r="A30" s="9"/>
      <c r="B30" s="33"/>
      <c r="C30" s="1274" t="str">
        <f>办公清单!C23</f>
        <v>18层1818号</v>
      </c>
      <c r="D30" s="2951" t="s">
        <v>3295</v>
      </c>
      <c r="E30" s="2983">
        <v>2.74</v>
      </c>
      <c r="F30" s="35"/>
      <c r="G30" s="36">
        <f t="shared" si="7"/>
        <v>52.17</v>
      </c>
      <c r="H30" s="37">
        <f t="shared" si="8"/>
        <v>52.17</v>
      </c>
      <c r="I30" s="2216">
        <f>办公清单!E23</f>
        <v>52.17</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21"/>
      <c r="AV30" s="1797">
        <f t="shared" si="10"/>
        <v>0</v>
      </c>
      <c r="AW30" s="1797">
        <f t="shared" si="11"/>
        <v>0</v>
      </c>
      <c r="AX30" s="1797" t="str">
        <f t="shared" si="12"/>
        <v>18层1818号</v>
      </c>
      <c r="AY30" s="41">
        <f t="shared" si="13"/>
        <v>2.73</v>
      </c>
      <c r="AZ30" s="34">
        <f t="shared" si="14"/>
        <v>52.17</v>
      </c>
      <c r="BA30" s="34">
        <f t="shared" si="15"/>
        <v>52.17</v>
      </c>
      <c r="BB30" s="34">
        <f t="shared" si="16"/>
        <v>52.17</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ht="28.5">
      <c r="A31" s="9"/>
      <c r="B31" s="33"/>
      <c r="C31" s="1274" t="str">
        <f>办公清单!C24</f>
        <v>18层1819号</v>
      </c>
      <c r="D31" s="2951" t="s">
        <v>3295</v>
      </c>
      <c r="E31" s="2983">
        <v>2.74</v>
      </c>
      <c r="F31" s="35"/>
      <c r="G31" s="36">
        <f t="shared" si="7"/>
        <v>52.17</v>
      </c>
      <c r="H31" s="37">
        <f t="shared" si="8"/>
        <v>52.17</v>
      </c>
      <c r="I31" s="2216">
        <f>办公清单!E24</f>
        <v>52.17</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21"/>
      <c r="AV31" s="1797">
        <f t="shared" si="10"/>
        <v>0</v>
      </c>
      <c r="AW31" s="1797">
        <f t="shared" si="11"/>
        <v>0</v>
      </c>
      <c r="AX31" s="1797" t="str">
        <f t="shared" si="12"/>
        <v>18层1819号</v>
      </c>
      <c r="AY31" s="41">
        <f t="shared" si="13"/>
        <v>2.73</v>
      </c>
      <c r="AZ31" s="34">
        <f t="shared" si="14"/>
        <v>52.17</v>
      </c>
      <c r="BA31" s="34">
        <f t="shared" si="15"/>
        <v>52.17</v>
      </c>
      <c r="BB31" s="34">
        <f t="shared" si="16"/>
        <v>52.17</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ht="28.5">
      <c r="A32" s="9"/>
      <c r="B32" s="33"/>
      <c r="C32" s="1274" t="str">
        <f>办公清单!C25</f>
        <v>18层1820号</v>
      </c>
      <c r="D32" s="2951" t="s">
        <v>3295</v>
      </c>
      <c r="E32" s="2983">
        <v>2.74</v>
      </c>
      <c r="F32" s="35"/>
      <c r="G32" s="36">
        <f t="shared" si="7"/>
        <v>52.17</v>
      </c>
      <c r="H32" s="37">
        <f t="shared" si="8"/>
        <v>52.17</v>
      </c>
      <c r="I32" s="2216">
        <f>办公清单!E25</f>
        <v>52.17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21"/>
      <c r="AV32" s="1797">
        <f t="shared" si="10"/>
        <v>0</v>
      </c>
      <c r="AW32" s="1797">
        <f t="shared" si="11"/>
        <v>0</v>
      </c>
      <c r="AX32" s="1797" t="str">
        <f t="shared" si="12"/>
        <v>18层1820号</v>
      </c>
      <c r="AY32" s="41">
        <f t="shared" si="13"/>
        <v>2.73</v>
      </c>
      <c r="AZ32" s="34">
        <f t="shared" si="14"/>
        <v>52.17</v>
      </c>
      <c r="BA32" s="34">
        <f t="shared" si="15"/>
        <v>52.17</v>
      </c>
      <c r="BB32" s="34">
        <f t="shared" si="16"/>
        <v>52.17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ht="28.5">
      <c r="A33" s="9"/>
      <c r="B33" s="33"/>
      <c r="C33" s="1274" t="str">
        <f>办公清单!C26</f>
        <v>18层1821号</v>
      </c>
      <c r="D33" s="2951" t="s">
        <v>3295</v>
      </c>
      <c r="E33" s="2983">
        <v>2.74</v>
      </c>
      <c r="F33" s="35"/>
      <c r="G33" s="36">
        <f t="shared" si="7"/>
        <v>52.17</v>
      </c>
      <c r="H33" s="37">
        <f t="shared" si="8"/>
        <v>52.17</v>
      </c>
      <c r="I33" s="2216">
        <f>办公清单!E26</f>
        <v>52.17</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21"/>
      <c r="AV33" s="1797">
        <f t="shared" si="10"/>
        <v>0</v>
      </c>
      <c r="AW33" s="1797">
        <f t="shared" si="11"/>
        <v>0</v>
      </c>
      <c r="AX33" s="1797" t="str">
        <f t="shared" si="12"/>
        <v>18层1821号</v>
      </c>
      <c r="AY33" s="41">
        <f t="shared" si="13"/>
        <v>2.73</v>
      </c>
      <c r="AZ33" s="34">
        <f t="shared" si="14"/>
        <v>52.17</v>
      </c>
      <c r="BA33" s="34">
        <f t="shared" si="15"/>
        <v>52.17</v>
      </c>
      <c r="BB33" s="34">
        <f t="shared" si="16"/>
        <v>52.17</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ht="28.5">
      <c r="A34" s="9"/>
      <c r="B34" s="33"/>
      <c r="C34" s="1274" t="str">
        <f>办公清单!C27</f>
        <v>18层1822号</v>
      </c>
      <c r="D34" s="2951" t="s">
        <v>3295</v>
      </c>
      <c r="E34" s="2983">
        <v>2.74</v>
      </c>
      <c r="F34" s="35"/>
      <c r="G34" s="36">
        <f t="shared" si="7"/>
        <v>52.17</v>
      </c>
      <c r="H34" s="37">
        <f t="shared" si="8"/>
        <v>52.17</v>
      </c>
      <c r="I34" s="2216">
        <f>办公清单!E27</f>
        <v>52.17</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21"/>
      <c r="AV34" s="1797">
        <f t="shared" si="10"/>
        <v>0</v>
      </c>
      <c r="AW34" s="1797">
        <f t="shared" si="11"/>
        <v>0</v>
      </c>
      <c r="AX34" s="1797" t="str">
        <f t="shared" si="12"/>
        <v>18层1822号</v>
      </c>
      <c r="AY34" s="41">
        <f t="shared" si="13"/>
        <v>2.73</v>
      </c>
      <c r="AZ34" s="34">
        <f t="shared" si="14"/>
        <v>52.17</v>
      </c>
      <c r="BA34" s="34">
        <f t="shared" si="15"/>
        <v>52.17</v>
      </c>
      <c r="BB34" s="34">
        <f t="shared" si="16"/>
        <v>52.17</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ht="28.5">
      <c r="A35" s="9"/>
      <c r="B35" s="33"/>
      <c r="C35" s="1274" t="str">
        <f>办公清单!C28</f>
        <v>18层1823号</v>
      </c>
      <c r="D35" s="2951" t="s">
        <v>3295</v>
      </c>
      <c r="E35" s="2983">
        <v>2.74</v>
      </c>
      <c r="F35" s="35"/>
      <c r="G35" s="36">
        <f t="shared" si="7"/>
        <v>52.17</v>
      </c>
      <c r="H35" s="37">
        <f t="shared" si="8"/>
        <v>52.17</v>
      </c>
      <c r="I35" s="2216">
        <f>办公清单!E28</f>
        <v>52.17</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21"/>
      <c r="AV35" s="1797">
        <f t="shared" si="10"/>
        <v>0</v>
      </c>
      <c r="AW35" s="1797">
        <f t="shared" si="11"/>
        <v>0</v>
      </c>
      <c r="AX35" s="1797" t="str">
        <f t="shared" si="12"/>
        <v>18层1823号</v>
      </c>
      <c r="AY35" s="41">
        <f t="shared" si="13"/>
        <v>2.73</v>
      </c>
      <c r="AZ35" s="34">
        <f t="shared" si="14"/>
        <v>52.17</v>
      </c>
      <c r="BA35" s="34">
        <f t="shared" si="15"/>
        <v>52.17</v>
      </c>
      <c r="BB35" s="34">
        <f t="shared" si="16"/>
        <v>52.17</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ht="28.5">
      <c r="A36" s="9"/>
      <c r="B36" s="33"/>
      <c r="C36" s="1274" t="str">
        <f>办公清单!C29</f>
        <v>18层1824号</v>
      </c>
      <c r="D36" s="2951" t="s">
        <v>3295</v>
      </c>
      <c r="E36" s="2983">
        <v>2.74</v>
      </c>
      <c r="F36" s="35"/>
      <c r="G36" s="36">
        <f t="shared" si="7"/>
        <v>52.17</v>
      </c>
      <c r="H36" s="37">
        <f t="shared" si="8"/>
        <v>52.17</v>
      </c>
      <c r="I36" s="2216">
        <f>办公清单!E29</f>
        <v>52.17</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21"/>
      <c r="AV36" s="1797">
        <f t="shared" si="10"/>
        <v>0</v>
      </c>
      <c r="AW36" s="1797">
        <f t="shared" si="11"/>
        <v>0</v>
      </c>
      <c r="AX36" s="1797" t="str">
        <f t="shared" si="12"/>
        <v>18层1824号</v>
      </c>
      <c r="AY36" s="41">
        <f t="shared" si="13"/>
        <v>2.73</v>
      </c>
      <c r="AZ36" s="34">
        <f t="shared" si="14"/>
        <v>52.17</v>
      </c>
      <c r="BA36" s="34">
        <f t="shared" si="15"/>
        <v>52.17</v>
      </c>
      <c r="BB36" s="34">
        <f t="shared" si="16"/>
        <v>52.17</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ht="28.5">
      <c r="A37" s="9"/>
      <c r="B37" s="33"/>
      <c r="C37" s="1274" t="str">
        <f>办公清单!C30</f>
        <v>18层1825号</v>
      </c>
      <c r="D37" s="2951" t="s">
        <v>3295</v>
      </c>
      <c r="E37" s="2983">
        <v>2.74</v>
      </c>
      <c r="F37" s="35"/>
      <c r="G37" s="36">
        <f t="shared" si="7"/>
        <v>52.17</v>
      </c>
      <c r="H37" s="37">
        <f t="shared" si="8"/>
        <v>52.17</v>
      </c>
      <c r="I37" s="2216">
        <f>办公清单!E30</f>
        <v>52.17</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21"/>
      <c r="AV37" s="1797">
        <f t="shared" si="10"/>
        <v>0</v>
      </c>
      <c r="AW37" s="1797">
        <f t="shared" si="11"/>
        <v>0</v>
      </c>
      <c r="AX37" s="1797" t="str">
        <f t="shared" si="12"/>
        <v>18层1825号</v>
      </c>
      <c r="AY37" s="41">
        <f t="shared" si="13"/>
        <v>2.73</v>
      </c>
      <c r="AZ37" s="34">
        <f t="shared" si="14"/>
        <v>52.17</v>
      </c>
      <c r="BA37" s="34">
        <f t="shared" si="15"/>
        <v>52.17</v>
      </c>
      <c r="BB37" s="34">
        <f t="shared" si="16"/>
        <v>52.17</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ht="28.5">
      <c r="A38" s="9"/>
      <c r="B38" s="33"/>
      <c r="C38" s="1274" t="str">
        <f>办公清单!C31</f>
        <v>18层1826号</v>
      </c>
      <c r="D38" s="2951" t="s">
        <v>3295</v>
      </c>
      <c r="E38" s="2983">
        <v>4.24</v>
      </c>
      <c r="F38" s="35"/>
      <c r="G38" s="36">
        <f t="shared" si="7"/>
        <v>80.73</v>
      </c>
      <c r="H38" s="37">
        <f t="shared" si="8"/>
        <v>80.73</v>
      </c>
      <c r="I38" s="2216">
        <f>办公清单!E31</f>
        <v>80.73</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21"/>
      <c r="AV38" s="1797">
        <f t="shared" si="10"/>
        <v>0</v>
      </c>
      <c r="AW38" s="1797">
        <f t="shared" si="11"/>
        <v>0</v>
      </c>
      <c r="AX38" s="1797" t="str">
        <f t="shared" si="12"/>
        <v>18层1826号</v>
      </c>
      <c r="AY38" s="41">
        <f t="shared" si="13"/>
        <v>4.2300000000000004</v>
      </c>
      <c r="AZ38" s="34">
        <f t="shared" si="14"/>
        <v>80.73</v>
      </c>
      <c r="BA38" s="34">
        <f t="shared" si="15"/>
        <v>80.73</v>
      </c>
      <c r="BB38" s="34">
        <f t="shared" si="16"/>
        <v>80.73</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ht="28.5">
      <c r="A39" s="9"/>
      <c r="B39" s="33"/>
      <c r="C39" s="1274" t="str">
        <f>办公清单!C32</f>
        <v>18层1827号</v>
      </c>
      <c r="D39" s="2951" t="s">
        <v>3295</v>
      </c>
      <c r="E39" s="2983">
        <v>4.8899999999999997</v>
      </c>
      <c r="F39" s="35"/>
      <c r="G39" s="36">
        <f t="shared" si="7"/>
        <v>93.08</v>
      </c>
      <c r="H39" s="37">
        <f t="shared" si="8"/>
        <v>93.08</v>
      </c>
      <c r="I39" s="2216">
        <f>办公清单!E32</f>
        <v>93.08</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21"/>
      <c r="AV39" s="1797">
        <f t="shared" si="10"/>
        <v>0</v>
      </c>
      <c r="AW39" s="1797">
        <f t="shared" si="11"/>
        <v>0</v>
      </c>
      <c r="AX39" s="1797" t="str">
        <f t="shared" si="12"/>
        <v>18层1827号</v>
      </c>
      <c r="AY39" s="41">
        <f t="shared" si="13"/>
        <v>4.87</v>
      </c>
      <c r="AZ39" s="34">
        <f t="shared" si="14"/>
        <v>93.08</v>
      </c>
      <c r="BA39" s="34">
        <f t="shared" si="15"/>
        <v>93.08</v>
      </c>
      <c r="BB39" s="34">
        <f t="shared" si="16"/>
        <v>93.08</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ht="28.5">
      <c r="A40" s="9"/>
      <c r="B40" s="33"/>
      <c r="C40" s="1274" t="str">
        <f>办公清单!C33</f>
        <v>18层1828号</v>
      </c>
      <c r="D40" s="2951" t="s">
        <v>3295</v>
      </c>
      <c r="E40" s="2983">
        <v>4.8899999999999997</v>
      </c>
      <c r="F40" s="35"/>
      <c r="G40" s="36">
        <f t="shared" si="7"/>
        <v>93.08</v>
      </c>
      <c r="H40" s="37">
        <f t="shared" si="8"/>
        <v>93.08</v>
      </c>
      <c r="I40" s="2216">
        <f>办公清单!E33</f>
        <v>93.08</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21"/>
      <c r="AV40" s="1797">
        <f t="shared" si="10"/>
        <v>0</v>
      </c>
      <c r="AW40" s="1797">
        <f t="shared" si="11"/>
        <v>0</v>
      </c>
      <c r="AX40" s="1797" t="str">
        <f t="shared" si="12"/>
        <v>18层1828号</v>
      </c>
      <c r="AY40" s="41">
        <f t="shared" si="13"/>
        <v>4.87</v>
      </c>
      <c r="AZ40" s="34">
        <f t="shared" si="14"/>
        <v>93.08</v>
      </c>
      <c r="BA40" s="34">
        <f t="shared" si="15"/>
        <v>93.08</v>
      </c>
      <c r="BB40" s="34">
        <f t="shared" si="16"/>
        <v>93.08</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ht="28.5">
      <c r="A41" s="9"/>
      <c r="B41" s="33"/>
      <c r="C41" s="1274" t="str">
        <f>办公清单!C34</f>
        <v>19层1901号</v>
      </c>
      <c r="D41" s="2951" t="s">
        <v>3295</v>
      </c>
      <c r="E41" s="2983">
        <v>4.24</v>
      </c>
      <c r="F41" s="35"/>
      <c r="G41" s="36">
        <f t="shared" si="7"/>
        <v>80.73</v>
      </c>
      <c r="H41" s="37">
        <f t="shared" si="8"/>
        <v>80.73</v>
      </c>
      <c r="I41" s="2216">
        <f>办公清单!E34</f>
        <v>80.73</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21"/>
      <c r="AV41" s="1797">
        <f t="shared" si="10"/>
        <v>0</v>
      </c>
      <c r="AW41" s="1797">
        <f t="shared" si="11"/>
        <v>0</v>
      </c>
      <c r="AX41" s="1797" t="str">
        <f t="shared" si="12"/>
        <v>19层1901号</v>
      </c>
      <c r="AY41" s="41">
        <f t="shared" si="13"/>
        <v>4.2300000000000004</v>
      </c>
      <c r="AZ41" s="34">
        <f t="shared" si="14"/>
        <v>80.73</v>
      </c>
      <c r="BA41" s="34">
        <f t="shared" si="15"/>
        <v>80.73</v>
      </c>
      <c r="BB41" s="34">
        <f t="shared" si="16"/>
        <v>80.73</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ht="28.5">
      <c r="A42" s="9"/>
      <c r="B42" s="33"/>
      <c r="C42" s="1274" t="str">
        <f>办公清单!C35</f>
        <v>19层1902号</v>
      </c>
      <c r="D42" s="2951" t="s">
        <v>3295</v>
      </c>
      <c r="E42" s="2983">
        <v>2.74</v>
      </c>
      <c r="F42" s="35"/>
      <c r="G42" s="36">
        <f t="shared" si="7"/>
        <v>52.17</v>
      </c>
      <c r="H42" s="37">
        <f t="shared" si="8"/>
        <v>52.17</v>
      </c>
      <c r="I42" s="2216">
        <f>办公清单!E35</f>
        <v>52.17</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21"/>
      <c r="AV42" s="1797">
        <f t="shared" si="10"/>
        <v>0</v>
      </c>
      <c r="AW42" s="1797">
        <f t="shared" si="11"/>
        <v>0</v>
      </c>
      <c r="AX42" s="1797" t="str">
        <f t="shared" si="12"/>
        <v>19层1902号</v>
      </c>
      <c r="AY42" s="41">
        <f t="shared" si="13"/>
        <v>2.73</v>
      </c>
      <c r="AZ42" s="34">
        <f t="shared" si="14"/>
        <v>52.17</v>
      </c>
      <c r="BA42" s="34">
        <f t="shared" si="15"/>
        <v>52.17</v>
      </c>
      <c r="BB42" s="34">
        <f t="shared" si="16"/>
        <v>52.17</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ht="28.5">
      <c r="A43" s="9"/>
      <c r="B43" s="33"/>
      <c r="C43" s="1274" t="str">
        <f>办公清单!C36</f>
        <v>19层1903号</v>
      </c>
      <c r="D43" s="2951" t="s">
        <v>3295</v>
      </c>
      <c r="E43" s="2983">
        <v>2.74</v>
      </c>
      <c r="F43" s="35"/>
      <c r="G43" s="36">
        <f t="shared" si="7"/>
        <v>52.17</v>
      </c>
      <c r="H43" s="37">
        <f t="shared" si="8"/>
        <v>52.17</v>
      </c>
      <c r="I43" s="2216">
        <f>办公清单!E36</f>
        <v>52.17</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21"/>
      <c r="AV43" s="1797">
        <f t="shared" si="10"/>
        <v>0</v>
      </c>
      <c r="AW43" s="1797">
        <f t="shared" si="11"/>
        <v>0</v>
      </c>
      <c r="AX43" s="1797" t="str">
        <f t="shared" si="12"/>
        <v>19层1903号</v>
      </c>
      <c r="AY43" s="41">
        <f t="shared" si="13"/>
        <v>2.73</v>
      </c>
      <c r="AZ43" s="34">
        <f t="shared" si="14"/>
        <v>52.17</v>
      </c>
      <c r="BA43" s="34">
        <f t="shared" si="15"/>
        <v>52.17</v>
      </c>
      <c r="BB43" s="34">
        <f t="shared" si="16"/>
        <v>52.17</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ht="28.5">
      <c r="A44" s="9"/>
      <c r="B44" s="33"/>
      <c r="C44" s="1274" t="str">
        <f>办公清单!C37</f>
        <v>19层1904号</v>
      </c>
      <c r="D44" s="2951" t="s">
        <v>3295</v>
      </c>
      <c r="E44" s="2983">
        <v>2.74</v>
      </c>
      <c r="F44" s="35"/>
      <c r="G44" s="36">
        <f t="shared" si="7"/>
        <v>52.17</v>
      </c>
      <c r="H44" s="37">
        <f t="shared" si="8"/>
        <v>52.17</v>
      </c>
      <c r="I44" s="2216">
        <f>办公清单!E37</f>
        <v>52.17</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21"/>
      <c r="AV44" s="1797">
        <f t="shared" si="10"/>
        <v>0</v>
      </c>
      <c r="AW44" s="1797">
        <f t="shared" si="11"/>
        <v>0</v>
      </c>
      <c r="AX44" s="1797" t="str">
        <f t="shared" si="12"/>
        <v>19层1904号</v>
      </c>
      <c r="AY44" s="41">
        <f t="shared" si="13"/>
        <v>2.73</v>
      </c>
      <c r="AZ44" s="34">
        <f t="shared" si="14"/>
        <v>52.17</v>
      </c>
      <c r="BA44" s="34">
        <f t="shared" si="15"/>
        <v>52.17</v>
      </c>
      <c r="BB44" s="34">
        <f t="shared" si="16"/>
        <v>52.17</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ht="28.5">
      <c r="A45" s="9"/>
      <c r="B45" s="33"/>
      <c r="C45" s="1274" t="str">
        <f>办公清单!C38</f>
        <v>19层1905号</v>
      </c>
      <c r="D45" s="2951" t="s">
        <v>3295</v>
      </c>
      <c r="E45" s="2983">
        <v>2.74</v>
      </c>
      <c r="F45" s="35"/>
      <c r="G45" s="36">
        <f t="shared" si="7"/>
        <v>52.17</v>
      </c>
      <c r="H45" s="37">
        <f t="shared" si="8"/>
        <v>52.17</v>
      </c>
      <c r="I45" s="2216">
        <f>办公清单!E38</f>
        <v>52.17</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21"/>
      <c r="AV45" s="1797">
        <f t="shared" si="10"/>
        <v>0</v>
      </c>
      <c r="AW45" s="1797">
        <f t="shared" si="11"/>
        <v>0</v>
      </c>
      <c r="AX45" s="1797" t="str">
        <f t="shared" si="12"/>
        <v>19层1905号</v>
      </c>
      <c r="AY45" s="41">
        <f t="shared" si="13"/>
        <v>2.73</v>
      </c>
      <c r="AZ45" s="34">
        <f t="shared" si="14"/>
        <v>52.17</v>
      </c>
      <c r="BA45" s="34">
        <f t="shared" si="15"/>
        <v>52.17</v>
      </c>
      <c r="BB45" s="34">
        <f t="shared" si="16"/>
        <v>52.17</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ht="28.5">
      <c r="A46" s="9"/>
      <c r="B46" s="33"/>
      <c r="C46" s="1274" t="str">
        <f>办公清单!C39</f>
        <v>19层1906号</v>
      </c>
      <c r="D46" s="2951" t="s">
        <v>3295</v>
      </c>
      <c r="E46" s="2983">
        <v>2.74</v>
      </c>
      <c r="F46" s="35"/>
      <c r="G46" s="36">
        <f t="shared" si="7"/>
        <v>52.17</v>
      </c>
      <c r="H46" s="37">
        <f t="shared" si="8"/>
        <v>52.17</v>
      </c>
      <c r="I46" s="2216">
        <f>办公清单!E39</f>
        <v>52.17</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21"/>
      <c r="AV46" s="1797">
        <f t="shared" si="10"/>
        <v>0</v>
      </c>
      <c r="AW46" s="1797">
        <f t="shared" si="11"/>
        <v>0</v>
      </c>
      <c r="AX46" s="1797" t="str">
        <f t="shared" si="12"/>
        <v>19层1906号</v>
      </c>
      <c r="AY46" s="41">
        <f t="shared" si="13"/>
        <v>2.73</v>
      </c>
      <c r="AZ46" s="34">
        <f t="shared" si="14"/>
        <v>52.17</v>
      </c>
      <c r="BA46" s="34">
        <f t="shared" si="15"/>
        <v>52.17</v>
      </c>
      <c r="BB46" s="34">
        <f t="shared" si="16"/>
        <v>52.17</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ht="28.5">
      <c r="A47" s="9"/>
      <c r="B47" s="33"/>
      <c r="C47" s="1274" t="str">
        <f>办公清单!C40</f>
        <v>19层1907号</v>
      </c>
      <c r="D47" s="2951" t="s">
        <v>3295</v>
      </c>
      <c r="E47" s="2983">
        <v>2.74</v>
      </c>
      <c r="F47" s="35"/>
      <c r="G47" s="36">
        <f t="shared" si="7"/>
        <v>52.17</v>
      </c>
      <c r="H47" s="37">
        <f t="shared" si="8"/>
        <v>52.17</v>
      </c>
      <c r="I47" s="2216">
        <f>办公清单!E40</f>
        <v>52.17</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21"/>
      <c r="AV47" s="1797">
        <f t="shared" si="10"/>
        <v>0</v>
      </c>
      <c r="AW47" s="1797">
        <f t="shared" si="11"/>
        <v>0</v>
      </c>
      <c r="AX47" s="1797" t="str">
        <f t="shared" si="12"/>
        <v>19层1907号</v>
      </c>
      <c r="AY47" s="41">
        <f t="shared" si="13"/>
        <v>2.73</v>
      </c>
      <c r="AZ47" s="34">
        <f t="shared" si="14"/>
        <v>52.17</v>
      </c>
      <c r="BA47" s="34">
        <f t="shared" si="15"/>
        <v>52.17</v>
      </c>
      <c r="BB47" s="34">
        <f t="shared" si="16"/>
        <v>52.17</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ht="28.5">
      <c r="A48" s="9"/>
      <c r="B48" s="33"/>
      <c r="C48" s="1274" t="str">
        <f>办公清单!C41</f>
        <v>19层1908号</v>
      </c>
      <c r="D48" s="2951" t="s">
        <v>3295</v>
      </c>
      <c r="E48" s="2983">
        <v>2.74</v>
      </c>
      <c r="F48" s="35"/>
      <c r="G48" s="36">
        <f t="shared" si="7"/>
        <v>52.17</v>
      </c>
      <c r="H48" s="37">
        <f t="shared" si="8"/>
        <v>52.17</v>
      </c>
      <c r="I48" s="2216">
        <f>办公清单!E41</f>
        <v>52.17</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21"/>
      <c r="AV48" s="1797">
        <f t="shared" si="10"/>
        <v>0</v>
      </c>
      <c r="AW48" s="1797">
        <f t="shared" si="11"/>
        <v>0</v>
      </c>
      <c r="AX48" s="1797" t="str">
        <f t="shared" si="12"/>
        <v>19层1908号</v>
      </c>
      <c r="AY48" s="41">
        <f t="shared" si="13"/>
        <v>2.73</v>
      </c>
      <c r="AZ48" s="34">
        <f t="shared" si="14"/>
        <v>52.17</v>
      </c>
      <c r="BA48" s="34">
        <f t="shared" si="15"/>
        <v>52.17</v>
      </c>
      <c r="BB48" s="34">
        <f t="shared" si="16"/>
        <v>52.17</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ht="28.5">
      <c r="A49" s="9"/>
      <c r="B49" s="33"/>
      <c r="C49" s="1274" t="str">
        <f>办公清单!C42</f>
        <v>19层1909号</v>
      </c>
      <c r="D49" s="2951" t="s">
        <v>3295</v>
      </c>
      <c r="E49" s="2983">
        <v>2.74</v>
      </c>
      <c r="F49" s="35"/>
      <c r="G49" s="36">
        <f t="shared" si="7"/>
        <v>52.17</v>
      </c>
      <c r="H49" s="37">
        <f t="shared" si="8"/>
        <v>52.17</v>
      </c>
      <c r="I49" s="2216">
        <f>办公清单!E42</f>
        <v>52.17</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21"/>
      <c r="AV49" s="1797">
        <f t="shared" si="10"/>
        <v>0</v>
      </c>
      <c r="AW49" s="1797">
        <f t="shared" si="11"/>
        <v>0</v>
      </c>
      <c r="AX49" s="1797" t="str">
        <f t="shared" si="12"/>
        <v>19层1909号</v>
      </c>
      <c r="AY49" s="41">
        <f t="shared" si="13"/>
        <v>2.73</v>
      </c>
      <c r="AZ49" s="34">
        <f t="shared" si="14"/>
        <v>52.17</v>
      </c>
      <c r="BA49" s="34">
        <f t="shared" si="15"/>
        <v>52.17</v>
      </c>
      <c r="BB49" s="34">
        <f t="shared" si="16"/>
        <v>52.17</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ht="28.5">
      <c r="A50" s="9"/>
      <c r="B50" s="33"/>
      <c r="C50" s="1274" t="str">
        <f>办公清单!C43</f>
        <v>19层1910号</v>
      </c>
      <c r="D50" s="2951" t="s">
        <v>3295</v>
      </c>
      <c r="E50" s="2983">
        <v>2.74</v>
      </c>
      <c r="F50" s="35"/>
      <c r="G50" s="36">
        <f t="shared" si="7"/>
        <v>52.17</v>
      </c>
      <c r="H50" s="37">
        <f t="shared" si="8"/>
        <v>52.17</v>
      </c>
      <c r="I50" s="2216">
        <f>办公清单!E43</f>
        <v>52.17</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21"/>
      <c r="AV50" s="1797">
        <f t="shared" si="10"/>
        <v>0</v>
      </c>
      <c r="AW50" s="1797">
        <f t="shared" si="11"/>
        <v>0</v>
      </c>
      <c r="AX50" s="1797" t="str">
        <f t="shared" si="12"/>
        <v>19层1910号</v>
      </c>
      <c r="AY50" s="41">
        <f t="shared" si="13"/>
        <v>2.73</v>
      </c>
      <c r="AZ50" s="34">
        <f t="shared" si="14"/>
        <v>52.17</v>
      </c>
      <c r="BA50" s="34">
        <f t="shared" si="15"/>
        <v>52.17</v>
      </c>
      <c r="BB50" s="34">
        <f t="shared" si="16"/>
        <v>52.17</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ht="28.5">
      <c r="A51" s="9"/>
      <c r="B51" s="33"/>
      <c r="C51" s="1274" t="str">
        <f>办公清单!C44</f>
        <v>19层1911号</v>
      </c>
      <c r="D51" s="2951" t="s">
        <v>3295</v>
      </c>
      <c r="E51" s="2983">
        <v>2.74</v>
      </c>
      <c r="F51" s="35"/>
      <c r="G51" s="36">
        <f t="shared" si="7"/>
        <v>52.17</v>
      </c>
      <c r="H51" s="37">
        <f t="shared" si="8"/>
        <v>52.17</v>
      </c>
      <c r="I51" s="2216">
        <f>办公清单!E44</f>
        <v>52.17</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21"/>
      <c r="AV51" s="1797">
        <f t="shared" si="10"/>
        <v>0</v>
      </c>
      <c r="AW51" s="1797">
        <f t="shared" si="11"/>
        <v>0</v>
      </c>
      <c r="AX51" s="1797" t="str">
        <f t="shared" si="12"/>
        <v>19层1911号</v>
      </c>
      <c r="AY51" s="41">
        <f t="shared" si="13"/>
        <v>2.73</v>
      </c>
      <c r="AZ51" s="34">
        <f t="shared" si="14"/>
        <v>52.17</v>
      </c>
      <c r="BA51" s="34">
        <f t="shared" si="15"/>
        <v>52.17</v>
      </c>
      <c r="BB51" s="34">
        <f t="shared" si="16"/>
        <v>52.17</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ht="28.5">
      <c r="A52" s="9"/>
      <c r="B52" s="33"/>
      <c r="C52" s="1274" t="str">
        <f>办公清单!C45</f>
        <v>19层1912号</v>
      </c>
      <c r="D52" s="2951" t="s">
        <v>3295</v>
      </c>
      <c r="E52" s="2983">
        <v>4.24</v>
      </c>
      <c r="F52" s="35"/>
      <c r="G52" s="36">
        <f t="shared" si="7"/>
        <v>80.73</v>
      </c>
      <c r="H52" s="37">
        <f t="shared" si="8"/>
        <v>80.73</v>
      </c>
      <c r="I52" s="2216">
        <f>办公清单!E45</f>
        <v>80.73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21"/>
      <c r="AV52" s="1797">
        <f t="shared" si="10"/>
        <v>0</v>
      </c>
      <c r="AW52" s="1797">
        <f t="shared" si="11"/>
        <v>0</v>
      </c>
      <c r="AX52" s="1797" t="str">
        <f t="shared" si="12"/>
        <v>19层1912号</v>
      </c>
      <c r="AY52" s="41">
        <f t="shared" si="13"/>
        <v>4.2300000000000004</v>
      </c>
      <c r="AZ52" s="34">
        <f t="shared" si="14"/>
        <v>80.73</v>
      </c>
      <c r="BA52" s="34">
        <f t="shared" si="15"/>
        <v>80.73</v>
      </c>
      <c r="BB52" s="34">
        <f t="shared" si="16"/>
        <v>80.73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ht="28.5">
      <c r="A53" s="9"/>
      <c r="B53" s="33"/>
      <c r="C53" s="1274" t="str">
        <f>办公清单!C46</f>
        <v>19层1913号</v>
      </c>
      <c r="D53" s="2951" t="s">
        <v>3295</v>
      </c>
      <c r="E53" s="2983">
        <v>3.47</v>
      </c>
      <c r="F53" s="35"/>
      <c r="G53" s="36">
        <f t="shared" si="7"/>
        <v>66.040000000000006</v>
      </c>
      <c r="H53" s="37">
        <f t="shared" si="8"/>
        <v>66.040000000000006</v>
      </c>
      <c r="I53" s="2216">
        <f>办公清单!E46</f>
        <v>66.040000000000006</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21"/>
      <c r="AV53" s="1797">
        <f t="shared" si="10"/>
        <v>0</v>
      </c>
      <c r="AW53" s="1797">
        <f t="shared" si="11"/>
        <v>0</v>
      </c>
      <c r="AX53" s="1797" t="str">
        <f t="shared" si="12"/>
        <v>19层1913号</v>
      </c>
      <c r="AY53" s="41">
        <f t="shared" si="13"/>
        <v>3.46</v>
      </c>
      <c r="AZ53" s="34">
        <f t="shared" si="14"/>
        <v>66.040000000000006</v>
      </c>
      <c r="BA53" s="34">
        <f t="shared" si="15"/>
        <v>66.040000000000006</v>
      </c>
      <c r="BB53" s="34">
        <f t="shared" si="16"/>
        <v>66.040000000000006</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ht="28.5">
      <c r="A54" s="9"/>
      <c r="B54" s="33"/>
      <c r="C54" s="1274" t="str">
        <f>办公清单!C47</f>
        <v>19层1914号</v>
      </c>
      <c r="D54" s="2951" t="s">
        <v>3295</v>
      </c>
      <c r="E54" s="2983">
        <v>3.47</v>
      </c>
      <c r="F54" s="35"/>
      <c r="G54" s="36">
        <f t="shared" si="7"/>
        <v>66.040000000000006</v>
      </c>
      <c r="H54" s="37">
        <f t="shared" si="8"/>
        <v>66.040000000000006</v>
      </c>
      <c r="I54" s="2216">
        <f>办公清单!E47</f>
        <v>66.040000000000006</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21"/>
      <c r="AV54" s="1797">
        <f t="shared" si="10"/>
        <v>0</v>
      </c>
      <c r="AW54" s="1797">
        <f t="shared" si="11"/>
        <v>0</v>
      </c>
      <c r="AX54" s="1797" t="str">
        <f t="shared" si="12"/>
        <v>19层1914号</v>
      </c>
      <c r="AY54" s="41">
        <f t="shared" si="13"/>
        <v>3.46</v>
      </c>
      <c r="AZ54" s="34">
        <f t="shared" si="14"/>
        <v>66.040000000000006</v>
      </c>
      <c r="BA54" s="34">
        <f t="shared" si="15"/>
        <v>66.040000000000006</v>
      </c>
      <c r="BB54" s="34">
        <f t="shared" si="16"/>
        <v>66.040000000000006</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ht="28.5">
      <c r="A55" s="9"/>
      <c r="B55" s="33"/>
      <c r="C55" s="1274" t="str">
        <f>办公清单!C48</f>
        <v>19层1915号</v>
      </c>
      <c r="D55" s="2951" t="s">
        <v>3295</v>
      </c>
      <c r="E55" s="2983">
        <v>4.24</v>
      </c>
      <c r="F55" s="35"/>
      <c r="G55" s="36">
        <f t="shared" si="7"/>
        <v>80.73</v>
      </c>
      <c r="H55" s="37">
        <f t="shared" si="8"/>
        <v>80.73</v>
      </c>
      <c r="I55" s="2216">
        <f>办公清单!E48</f>
        <v>80.73</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21"/>
      <c r="AV55" s="1797">
        <f t="shared" si="10"/>
        <v>0</v>
      </c>
      <c r="AW55" s="1797">
        <f t="shared" si="11"/>
        <v>0</v>
      </c>
      <c r="AX55" s="1797" t="str">
        <f t="shared" si="12"/>
        <v>19层1915号</v>
      </c>
      <c r="AY55" s="41">
        <f t="shared" si="13"/>
        <v>4.2300000000000004</v>
      </c>
      <c r="AZ55" s="34">
        <f t="shared" si="14"/>
        <v>80.73</v>
      </c>
      <c r="BA55" s="34">
        <f t="shared" si="15"/>
        <v>80.73</v>
      </c>
      <c r="BB55" s="34">
        <f t="shared" si="16"/>
        <v>80.73</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ht="28.5">
      <c r="A56" s="9"/>
      <c r="B56" s="33"/>
      <c r="C56" s="1274" t="str">
        <f>办公清单!C49</f>
        <v>19层1916号</v>
      </c>
      <c r="D56" s="2951" t="s">
        <v>3295</v>
      </c>
      <c r="E56" s="2983">
        <v>2.74</v>
      </c>
      <c r="F56" s="35"/>
      <c r="G56" s="36">
        <f t="shared" si="7"/>
        <v>52.17</v>
      </c>
      <c r="H56" s="37">
        <f t="shared" si="8"/>
        <v>52.17</v>
      </c>
      <c r="I56" s="2216">
        <f>办公清单!E49</f>
        <v>52.17</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21"/>
      <c r="AV56" s="1797">
        <f t="shared" si="10"/>
        <v>0</v>
      </c>
      <c r="AW56" s="1797">
        <f t="shared" si="11"/>
        <v>0</v>
      </c>
      <c r="AX56" s="1797" t="str">
        <f t="shared" si="12"/>
        <v>19层1916号</v>
      </c>
      <c r="AY56" s="41">
        <f t="shared" si="13"/>
        <v>2.73</v>
      </c>
      <c r="AZ56" s="34">
        <f t="shared" si="14"/>
        <v>52.17</v>
      </c>
      <c r="BA56" s="34">
        <f t="shared" si="15"/>
        <v>52.17</v>
      </c>
      <c r="BB56" s="34">
        <f t="shared" si="16"/>
        <v>52.17</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ht="28.5">
      <c r="A57" s="9"/>
      <c r="B57" s="33"/>
      <c r="C57" s="1274" t="str">
        <f>办公清单!C50</f>
        <v>19层1917号</v>
      </c>
      <c r="D57" s="2951" t="s">
        <v>3295</v>
      </c>
      <c r="E57" s="2983">
        <v>2.74</v>
      </c>
      <c r="F57" s="35"/>
      <c r="G57" s="36">
        <f t="shared" si="7"/>
        <v>52.17</v>
      </c>
      <c r="H57" s="37">
        <f t="shared" si="8"/>
        <v>52.17</v>
      </c>
      <c r="I57" s="2216">
        <f>办公清单!E50</f>
        <v>52.17</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21"/>
      <c r="AV57" s="1797">
        <f t="shared" si="10"/>
        <v>0</v>
      </c>
      <c r="AW57" s="1797">
        <f t="shared" si="11"/>
        <v>0</v>
      </c>
      <c r="AX57" s="1797" t="str">
        <f t="shared" si="12"/>
        <v>19层1917号</v>
      </c>
      <c r="AY57" s="41">
        <f t="shared" si="13"/>
        <v>2.73</v>
      </c>
      <c r="AZ57" s="34">
        <f t="shared" si="14"/>
        <v>52.17</v>
      </c>
      <c r="BA57" s="34">
        <f t="shared" si="15"/>
        <v>52.17</v>
      </c>
      <c r="BB57" s="34">
        <f t="shared" si="16"/>
        <v>52.17</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ht="28.5">
      <c r="A58" s="9"/>
      <c r="B58" s="33"/>
      <c r="C58" s="1274" t="str">
        <f>办公清单!C51</f>
        <v>19层1918号</v>
      </c>
      <c r="D58" s="2951" t="s">
        <v>3295</v>
      </c>
      <c r="E58" s="2983">
        <v>2.74</v>
      </c>
      <c r="F58" s="35"/>
      <c r="G58" s="36">
        <f t="shared" si="7"/>
        <v>52.17</v>
      </c>
      <c r="H58" s="37">
        <f t="shared" si="8"/>
        <v>52.17</v>
      </c>
      <c r="I58" s="2216">
        <f>办公清单!E51</f>
        <v>52.17</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21"/>
      <c r="AV58" s="1797">
        <f t="shared" si="10"/>
        <v>0</v>
      </c>
      <c r="AW58" s="1797">
        <f t="shared" si="11"/>
        <v>0</v>
      </c>
      <c r="AX58" s="1797" t="str">
        <f t="shared" si="12"/>
        <v>19层1918号</v>
      </c>
      <c r="AY58" s="41">
        <f t="shared" si="13"/>
        <v>2.73</v>
      </c>
      <c r="AZ58" s="34">
        <f t="shared" si="14"/>
        <v>52.17</v>
      </c>
      <c r="BA58" s="34">
        <f t="shared" si="15"/>
        <v>52.17</v>
      </c>
      <c r="BB58" s="34">
        <f t="shared" si="16"/>
        <v>52.17</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ht="28.5">
      <c r="A59" s="9"/>
      <c r="B59" s="33"/>
      <c r="C59" s="1274" t="str">
        <f>办公清单!C52</f>
        <v>19层1919号</v>
      </c>
      <c r="D59" s="2951" t="s">
        <v>3295</v>
      </c>
      <c r="E59" s="2983">
        <v>2.74</v>
      </c>
      <c r="F59" s="35"/>
      <c r="G59" s="36">
        <f t="shared" si="7"/>
        <v>52.17</v>
      </c>
      <c r="H59" s="37">
        <f t="shared" si="8"/>
        <v>52.17</v>
      </c>
      <c r="I59" s="2216">
        <f>办公清单!E52</f>
        <v>52.17</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21"/>
      <c r="AV59" s="1797">
        <f t="shared" si="10"/>
        <v>0</v>
      </c>
      <c r="AW59" s="1797">
        <f t="shared" si="11"/>
        <v>0</v>
      </c>
      <c r="AX59" s="1797" t="str">
        <f t="shared" si="12"/>
        <v>19层1919号</v>
      </c>
      <c r="AY59" s="41">
        <f t="shared" si="13"/>
        <v>2.73</v>
      </c>
      <c r="AZ59" s="34">
        <f t="shared" si="14"/>
        <v>52.17</v>
      </c>
      <c r="BA59" s="34">
        <f t="shared" si="15"/>
        <v>52.17</v>
      </c>
      <c r="BB59" s="34">
        <f t="shared" si="16"/>
        <v>52.17</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ht="28.5">
      <c r="A60" s="9"/>
      <c r="B60" s="33"/>
      <c r="C60" s="1274" t="str">
        <f>办公清单!C53</f>
        <v>19层1920号</v>
      </c>
      <c r="D60" s="2951" t="s">
        <v>3295</v>
      </c>
      <c r="E60" s="2983">
        <v>2.74</v>
      </c>
      <c r="F60" s="35"/>
      <c r="G60" s="36">
        <f t="shared" si="7"/>
        <v>52.17</v>
      </c>
      <c r="H60" s="37">
        <f t="shared" si="8"/>
        <v>52.17</v>
      </c>
      <c r="I60" s="2216">
        <f>办公清单!E53</f>
        <v>52.17</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21"/>
      <c r="AV60" s="1797">
        <f t="shared" si="10"/>
        <v>0</v>
      </c>
      <c r="AW60" s="1797">
        <f t="shared" si="11"/>
        <v>0</v>
      </c>
      <c r="AX60" s="1797" t="str">
        <f t="shared" si="12"/>
        <v>19层1920号</v>
      </c>
      <c r="AY60" s="41">
        <f t="shared" si="13"/>
        <v>2.73</v>
      </c>
      <c r="AZ60" s="34">
        <f t="shared" si="14"/>
        <v>52.17</v>
      </c>
      <c r="BA60" s="34">
        <f t="shared" si="15"/>
        <v>52.17</v>
      </c>
      <c r="BB60" s="34">
        <f t="shared" si="16"/>
        <v>52.17</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ht="28.5">
      <c r="A61" s="9"/>
      <c r="B61" s="33"/>
      <c r="C61" s="1274" t="str">
        <f>办公清单!C54</f>
        <v>19层1921号</v>
      </c>
      <c r="D61" s="2951" t="s">
        <v>3295</v>
      </c>
      <c r="E61" s="2983">
        <v>2.74</v>
      </c>
      <c r="F61" s="35"/>
      <c r="G61" s="36">
        <f t="shared" si="7"/>
        <v>52.17</v>
      </c>
      <c r="H61" s="37">
        <f t="shared" si="8"/>
        <v>52.17</v>
      </c>
      <c r="I61" s="2216">
        <f>办公清单!E54</f>
        <v>52.17</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21"/>
      <c r="AV61" s="1797">
        <f t="shared" si="10"/>
        <v>0</v>
      </c>
      <c r="AW61" s="1797">
        <f t="shared" si="11"/>
        <v>0</v>
      </c>
      <c r="AX61" s="1797" t="str">
        <f t="shared" si="12"/>
        <v>19层1921号</v>
      </c>
      <c r="AY61" s="41">
        <f t="shared" si="13"/>
        <v>2.73</v>
      </c>
      <c r="AZ61" s="34">
        <f t="shared" si="14"/>
        <v>52.17</v>
      </c>
      <c r="BA61" s="34">
        <f t="shared" si="15"/>
        <v>52.17</v>
      </c>
      <c r="BB61" s="34">
        <f t="shared" si="16"/>
        <v>52.17</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ht="28.5">
      <c r="A62" s="9"/>
      <c r="B62" s="33"/>
      <c r="C62" s="1274" t="str">
        <f>办公清单!C55</f>
        <v>19层1922号</v>
      </c>
      <c r="D62" s="2951" t="s">
        <v>3295</v>
      </c>
      <c r="E62" s="2983">
        <v>2.74</v>
      </c>
      <c r="F62" s="35"/>
      <c r="G62" s="36">
        <f t="shared" si="7"/>
        <v>52.17</v>
      </c>
      <c r="H62" s="37">
        <f t="shared" si="8"/>
        <v>52.17</v>
      </c>
      <c r="I62" s="2216">
        <f>办公清单!E55</f>
        <v>52.17</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21"/>
      <c r="AV62" s="1797">
        <f t="shared" si="10"/>
        <v>0</v>
      </c>
      <c r="AW62" s="1797">
        <f t="shared" si="11"/>
        <v>0</v>
      </c>
      <c r="AX62" s="1797" t="str">
        <f t="shared" si="12"/>
        <v>19层1922号</v>
      </c>
      <c r="AY62" s="41">
        <f t="shared" si="13"/>
        <v>2.73</v>
      </c>
      <c r="AZ62" s="34">
        <f t="shared" si="14"/>
        <v>52.17</v>
      </c>
      <c r="BA62" s="34">
        <f t="shared" si="15"/>
        <v>52.17</v>
      </c>
      <c r="BB62" s="34">
        <f t="shared" si="16"/>
        <v>52.17</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ht="28.5">
      <c r="A63" s="9"/>
      <c r="B63" s="33"/>
      <c r="C63" s="1274" t="str">
        <f>办公清单!C56</f>
        <v>19层1923号</v>
      </c>
      <c r="D63" s="2951" t="s">
        <v>3295</v>
      </c>
      <c r="E63" s="2983">
        <v>2.74</v>
      </c>
      <c r="F63" s="35"/>
      <c r="G63" s="36">
        <f t="shared" si="7"/>
        <v>52.17</v>
      </c>
      <c r="H63" s="37">
        <f t="shared" si="8"/>
        <v>52.17</v>
      </c>
      <c r="I63" s="2216">
        <f>办公清单!E56</f>
        <v>52.17</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21"/>
      <c r="AV63" s="1797">
        <f t="shared" si="10"/>
        <v>0</v>
      </c>
      <c r="AW63" s="1797">
        <f t="shared" si="11"/>
        <v>0</v>
      </c>
      <c r="AX63" s="1797" t="str">
        <f t="shared" si="12"/>
        <v>19层1923号</v>
      </c>
      <c r="AY63" s="41">
        <f t="shared" si="13"/>
        <v>2.73</v>
      </c>
      <c r="AZ63" s="34">
        <f t="shared" si="14"/>
        <v>52.17</v>
      </c>
      <c r="BA63" s="34">
        <f t="shared" si="15"/>
        <v>52.17</v>
      </c>
      <c r="BB63" s="34">
        <f t="shared" si="16"/>
        <v>52.17</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ht="28.5">
      <c r="A64" s="9"/>
      <c r="B64" s="33"/>
      <c r="C64" s="1274" t="str">
        <f>办公清单!C57</f>
        <v>19层1924号</v>
      </c>
      <c r="D64" s="2951" t="s">
        <v>3295</v>
      </c>
      <c r="E64" s="2983">
        <v>2.74</v>
      </c>
      <c r="F64" s="35"/>
      <c r="G64" s="36">
        <f t="shared" si="7"/>
        <v>52.17</v>
      </c>
      <c r="H64" s="37">
        <f t="shared" si="8"/>
        <v>52.17</v>
      </c>
      <c r="I64" s="2216">
        <f>办公清单!E57</f>
        <v>52.17</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21"/>
      <c r="AV64" s="1797">
        <f t="shared" si="10"/>
        <v>0</v>
      </c>
      <c r="AW64" s="1797">
        <f t="shared" si="11"/>
        <v>0</v>
      </c>
      <c r="AX64" s="1797" t="str">
        <f t="shared" si="12"/>
        <v>19层1924号</v>
      </c>
      <c r="AY64" s="41">
        <f t="shared" si="13"/>
        <v>2.73</v>
      </c>
      <c r="AZ64" s="34">
        <f t="shared" si="14"/>
        <v>52.17</v>
      </c>
      <c r="BA64" s="34">
        <f t="shared" si="15"/>
        <v>52.17</v>
      </c>
      <c r="BB64" s="34">
        <f t="shared" si="16"/>
        <v>52.17</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ht="28.5">
      <c r="A65" s="9"/>
      <c r="B65" s="33"/>
      <c r="C65" s="1274" t="str">
        <f>办公清单!C58</f>
        <v>19层1925号</v>
      </c>
      <c r="D65" s="2951" t="s">
        <v>3295</v>
      </c>
      <c r="E65" s="2983">
        <v>2.74</v>
      </c>
      <c r="F65" s="35"/>
      <c r="G65" s="36">
        <f t="shared" si="7"/>
        <v>52.17</v>
      </c>
      <c r="H65" s="37">
        <f t="shared" si="8"/>
        <v>52.17</v>
      </c>
      <c r="I65" s="2216">
        <f>办公清单!E58</f>
        <v>52.17</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21"/>
      <c r="AV65" s="1797">
        <f t="shared" si="10"/>
        <v>0</v>
      </c>
      <c r="AW65" s="1797">
        <f t="shared" si="11"/>
        <v>0</v>
      </c>
      <c r="AX65" s="1797" t="str">
        <f t="shared" si="12"/>
        <v>19层1925号</v>
      </c>
      <c r="AY65" s="41">
        <f t="shared" si="13"/>
        <v>2.73</v>
      </c>
      <c r="AZ65" s="34">
        <f t="shared" si="14"/>
        <v>52.17</v>
      </c>
      <c r="BA65" s="34">
        <f t="shared" si="15"/>
        <v>52.17</v>
      </c>
      <c r="BB65" s="34">
        <f t="shared" si="16"/>
        <v>52.17</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ht="28.5">
      <c r="A66" s="9"/>
      <c r="B66" s="33"/>
      <c r="C66" s="1274" t="str">
        <f>办公清单!C59</f>
        <v>19层1926号</v>
      </c>
      <c r="D66" s="2951" t="s">
        <v>3295</v>
      </c>
      <c r="E66" s="2983">
        <v>4.24</v>
      </c>
      <c r="F66" s="35"/>
      <c r="G66" s="36">
        <f t="shared" si="7"/>
        <v>80.73</v>
      </c>
      <c r="H66" s="37">
        <f t="shared" si="8"/>
        <v>80.73</v>
      </c>
      <c r="I66" s="2216">
        <f>办公清单!E59</f>
        <v>80.73</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21"/>
      <c r="AV66" s="1797">
        <f t="shared" si="10"/>
        <v>0</v>
      </c>
      <c r="AW66" s="1797">
        <f t="shared" si="11"/>
        <v>0</v>
      </c>
      <c r="AX66" s="1797" t="str">
        <f t="shared" si="12"/>
        <v>19层1926号</v>
      </c>
      <c r="AY66" s="41">
        <f t="shared" si="13"/>
        <v>4.2300000000000004</v>
      </c>
      <c r="AZ66" s="34">
        <f t="shared" si="14"/>
        <v>80.73</v>
      </c>
      <c r="BA66" s="34">
        <f t="shared" si="15"/>
        <v>80.73</v>
      </c>
      <c r="BB66" s="34">
        <f t="shared" si="16"/>
        <v>80.73</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ht="28.5">
      <c r="A67" s="9"/>
      <c r="B67" s="33"/>
      <c r="C67" s="1274" t="str">
        <f>办公清单!C60</f>
        <v>19层1927号</v>
      </c>
      <c r="D67" s="2951" t="s">
        <v>3295</v>
      </c>
      <c r="E67" s="2983">
        <v>4.8899999999999997</v>
      </c>
      <c r="F67" s="35"/>
      <c r="G67" s="36">
        <f t="shared" si="7"/>
        <v>93.08</v>
      </c>
      <c r="H67" s="37">
        <f t="shared" si="8"/>
        <v>93.08</v>
      </c>
      <c r="I67" s="2216">
        <f>办公清单!E60</f>
        <v>93.08</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21"/>
      <c r="AV67" s="1797">
        <f t="shared" si="10"/>
        <v>0</v>
      </c>
      <c r="AW67" s="1797">
        <f t="shared" si="11"/>
        <v>0</v>
      </c>
      <c r="AX67" s="1797" t="str">
        <f t="shared" si="12"/>
        <v>19层1927号</v>
      </c>
      <c r="AY67" s="41">
        <f t="shared" si="13"/>
        <v>4.87</v>
      </c>
      <c r="AZ67" s="34">
        <f t="shared" si="14"/>
        <v>93.08</v>
      </c>
      <c r="BA67" s="34">
        <f t="shared" si="15"/>
        <v>93.08</v>
      </c>
      <c r="BB67" s="34">
        <f t="shared" si="16"/>
        <v>93.08</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ht="28.5">
      <c r="A68" s="9"/>
      <c r="B68" s="33"/>
      <c r="C68" s="1274" t="str">
        <f>办公清单!C61</f>
        <v>19层1928号</v>
      </c>
      <c r="D68" s="2951" t="s">
        <v>3295</v>
      </c>
      <c r="E68" s="2983">
        <v>4.8899999999999997</v>
      </c>
      <c r="F68" s="35"/>
      <c r="G68" s="36">
        <f t="shared" si="7"/>
        <v>93.08</v>
      </c>
      <c r="H68" s="37">
        <f t="shared" si="8"/>
        <v>93.08</v>
      </c>
      <c r="I68" s="2216">
        <f>办公清单!E61</f>
        <v>93.08</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21"/>
      <c r="AV68" s="1797">
        <f t="shared" si="10"/>
        <v>0</v>
      </c>
      <c r="AW68" s="1797">
        <f t="shared" si="11"/>
        <v>0</v>
      </c>
      <c r="AX68" s="1797" t="str">
        <f t="shared" si="12"/>
        <v>19层1928号</v>
      </c>
      <c r="AY68" s="41">
        <f t="shared" si="13"/>
        <v>4.87</v>
      </c>
      <c r="AZ68" s="34">
        <f t="shared" si="14"/>
        <v>93.08</v>
      </c>
      <c r="BA68" s="34">
        <f t="shared" si="15"/>
        <v>93.08</v>
      </c>
      <c r="BB68" s="34">
        <f t="shared" si="16"/>
        <v>93.08</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ht="28.5">
      <c r="A69" s="9"/>
      <c r="B69" s="33"/>
      <c r="C69" s="1274" t="str">
        <f>办公清单!C62</f>
        <v>20层2001号</v>
      </c>
      <c r="D69" s="2951" t="s">
        <v>3295</v>
      </c>
      <c r="E69" s="2983">
        <v>4.24</v>
      </c>
      <c r="F69" s="35"/>
      <c r="G69" s="36">
        <f t="shared" si="7"/>
        <v>80.73</v>
      </c>
      <c r="H69" s="37">
        <f t="shared" si="8"/>
        <v>80.73</v>
      </c>
      <c r="I69" s="2216">
        <f>办公清单!E62</f>
        <v>80.73</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21"/>
      <c r="AV69" s="1797">
        <f t="shared" si="10"/>
        <v>0</v>
      </c>
      <c r="AW69" s="1797">
        <f t="shared" si="11"/>
        <v>0</v>
      </c>
      <c r="AX69" s="1797" t="str">
        <f t="shared" si="12"/>
        <v>20层2001号</v>
      </c>
      <c r="AY69" s="41">
        <f t="shared" si="13"/>
        <v>4.2300000000000004</v>
      </c>
      <c r="AZ69" s="34">
        <f t="shared" si="14"/>
        <v>80.73</v>
      </c>
      <c r="BA69" s="34">
        <f t="shared" si="15"/>
        <v>80.73</v>
      </c>
      <c r="BB69" s="34">
        <f t="shared" si="16"/>
        <v>80.73</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ht="28.5">
      <c r="A70" s="9"/>
      <c r="B70" s="33"/>
      <c r="C70" s="1274" t="str">
        <f>办公清单!C63</f>
        <v>20层2002号</v>
      </c>
      <c r="D70" s="2951" t="s">
        <v>3295</v>
      </c>
      <c r="E70" s="2983">
        <v>2.74</v>
      </c>
      <c r="F70" s="35"/>
      <c r="G70" s="36">
        <f t="shared" si="7"/>
        <v>52.17</v>
      </c>
      <c r="H70" s="37">
        <f t="shared" si="8"/>
        <v>52.17</v>
      </c>
      <c r="I70" s="2216">
        <f>办公清单!E63</f>
        <v>52.17</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21"/>
      <c r="AV70" s="1797">
        <f t="shared" si="10"/>
        <v>0</v>
      </c>
      <c r="AW70" s="1797">
        <f t="shared" si="11"/>
        <v>0</v>
      </c>
      <c r="AX70" s="1797" t="str">
        <f t="shared" si="12"/>
        <v>20层2002号</v>
      </c>
      <c r="AY70" s="41">
        <f t="shared" si="13"/>
        <v>2.73</v>
      </c>
      <c r="AZ70" s="34">
        <f t="shared" si="14"/>
        <v>52.17</v>
      </c>
      <c r="BA70" s="34">
        <f t="shared" si="15"/>
        <v>52.17</v>
      </c>
      <c r="BB70" s="34">
        <f t="shared" si="16"/>
        <v>52.17</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ht="28.5">
      <c r="A71" s="9"/>
      <c r="B71" s="33"/>
      <c r="C71" s="1274" t="str">
        <f>办公清单!C64</f>
        <v>20层2003号</v>
      </c>
      <c r="D71" s="2951" t="s">
        <v>3295</v>
      </c>
      <c r="E71" s="2983">
        <v>2.74</v>
      </c>
      <c r="F71" s="35"/>
      <c r="G71" s="36">
        <f t="shared" si="7"/>
        <v>52.17</v>
      </c>
      <c r="H71" s="37">
        <f t="shared" si="8"/>
        <v>52.17</v>
      </c>
      <c r="I71" s="2216">
        <f>办公清单!E64</f>
        <v>52.17</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21"/>
      <c r="AV71" s="1797">
        <f t="shared" si="10"/>
        <v>0</v>
      </c>
      <c r="AW71" s="1797">
        <f t="shared" si="11"/>
        <v>0</v>
      </c>
      <c r="AX71" s="1797" t="str">
        <f t="shared" si="12"/>
        <v>20层2003号</v>
      </c>
      <c r="AY71" s="41">
        <f t="shared" si="13"/>
        <v>2.73</v>
      </c>
      <c r="AZ71" s="34">
        <f t="shared" si="14"/>
        <v>52.17</v>
      </c>
      <c r="BA71" s="34">
        <f t="shared" si="15"/>
        <v>52.17</v>
      </c>
      <c r="BB71" s="34">
        <f t="shared" si="16"/>
        <v>52.17</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ht="28.5">
      <c r="A72" s="9"/>
      <c r="B72" s="33"/>
      <c r="C72" s="1274" t="str">
        <f>办公清单!C65</f>
        <v>20层2004号</v>
      </c>
      <c r="D72" s="2951" t="s">
        <v>3295</v>
      </c>
      <c r="E72" s="2983">
        <v>2.74</v>
      </c>
      <c r="F72" s="35"/>
      <c r="G72" s="36">
        <f t="shared" si="7"/>
        <v>52.17</v>
      </c>
      <c r="H72" s="37">
        <f t="shared" si="8"/>
        <v>52.17</v>
      </c>
      <c r="I72" s="2216">
        <f>办公清单!E65</f>
        <v>52.17</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21"/>
      <c r="AV72" s="1797">
        <f t="shared" si="10"/>
        <v>0</v>
      </c>
      <c r="AW72" s="1797">
        <f t="shared" si="11"/>
        <v>0</v>
      </c>
      <c r="AX72" s="1797" t="str">
        <f t="shared" si="12"/>
        <v>20层2004号</v>
      </c>
      <c r="AY72" s="41">
        <f t="shared" si="13"/>
        <v>2.73</v>
      </c>
      <c r="AZ72" s="34">
        <f t="shared" si="14"/>
        <v>52.17</v>
      </c>
      <c r="BA72" s="34">
        <f t="shared" si="15"/>
        <v>52.17</v>
      </c>
      <c r="BB72" s="34">
        <f t="shared" si="16"/>
        <v>52.17</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ht="28.5">
      <c r="A73" s="9"/>
      <c r="B73" s="33"/>
      <c r="C73" s="1274" t="str">
        <f>办公清单!C66</f>
        <v>20层2005号</v>
      </c>
      <c r="D73" s="2951" t="s">
        <v>3295</v>
      </c>
      <c r="E73" s="2983">
        <v>2.74</v>
      </c>
      <c r="F73" s="35"/>
      <c r="G73" s="36">
        <f t="shared" si="7"/>
        <v>52.17</v>
      </c>
      <c r="H73" s="37">
        <f t="shared" si="8"/>
        <v>52.17</v>
      </c>
      <c r="I73" s="2216">
        <f>办公清单!E66</f>
        <v>52.17</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21"/>
      <c r="AV73" s="1797">
        <f t="shared" si="10"/>
        <v>0</v>
      </c>
      <c r="AW73" s="1797">
        <f t="shared" si="11"/>
        <v>0</v>
      </c>
      <c r="AX73" s="1797" t="str">
        <f t="shared" si="12"/>
        <v>20层2005号</v>
      </c>
      <c r="AY73" s="41">
        <f t="shared" si="13"/>
        <v>2.73</v>
      </c>
      <c r="AZ73" s="34">
        <f t="shared" si="14"/>
        <v>52.17</v>
      </c>
      <c r="BA73" s="34">
        <f t="shared" si="15"/>
        <v>52.17</v>
      </c>
      <c r="BB73" s="34">
        <f t="shared" si="16"/>
        <v>52.17</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ht="28.5">
      <c r="A74" s="9"/>
      <c r="B74" s="33"/>
      <c r="C74" s="1274" t="str">
        <f>办公清单!C67</f>
        <v>20层2006号</v>
      </c>
      <c r="D74" s="2951" t="s">
        <v>3295</v>
      </c>
      <c r="E74" s="2983">
        <v>2.74</v>
      </c>
      <c r="F74" s="35"/>
      <c r="G74" s="36">
        <f t="shared" si="7"/>
        <v>52.17</v>
      </c>
      <c r="H74" s="37">
        <f t="shared" si="8"/>
        <v>52.17</v>
      </c>
      <c r="I74" s="2216">
        <f>办公清单!E67</f>
        <v>52.17</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21"/>
      <c r="AV74" s="1797">
        <f t="shared" si="10"/>
        <v>0</v>
      </c>
      <c r="AW74" s="1797">
        <f t="shared" si="11"/>
        <v>0</v>
      </c>
      <c r="AX74" s="1797" t="str">
        <f t="shared" si="12"/>
        <v>20层2006号</v>
      </c>
      <c r="AY74" s="41">
        <f t="shared" si="13"/>
        <v>2.73</v>
      </c>
      <c r="AZ74" s="34">
        <f t="shared" si="14"/>
        <v>52.17</v>
      </c>
      <c r="BA74" s="34">
        <f t="shared" si="15"/>
        <v>52.17</v>
      </c>
      <c r="BB74" s="34">
        <f t="shared" si="16"/>
        <v>52.17</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ht="28.5">
      <c r="A75" s="9"/>
      <c r="B75" s="33"/>
      <c r="C75" s="1274" t="str">
        <f>办公清单!C68</f>
        <v>20层2007号</v>
      </c>
      <c r="D75" s="2951" t="s">
        <v>3295</v>
      </c>
      <c r="E75" s="2983">
        <v>2.74</v>
      </c>
      <c r="F75" s="35"/>
      <c r="G75" s="36">
        <f t="shared" si="7"/>
        <v>52.17</v>
      </c>
      <c r="H75" s="37">
        <f t="shared" si="8"/>
        <v>52.17</v>
      </c>
      <c r="I75" s="2216">
        <f>办公清单!E68</f>
        <v>52.17</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21"/>
      <c r="AV75" s="1797">
        <f t="shared" si="10"/>
        <v>0</v>
      </c>
      <c r="AW75" s="1797">
        <f t="shared" si="11"/>
        <v>0</v>
      </c>
      <c r="AX75" s="1797" t="str">
        <f t="shared" si="12"/>
        <v>20层2007号</v>
      </c>
      <c r="AY75" s="41">
        <f t="shared" si="13"/>
        <v>2.73</v>
      </c>
      <c r="AZ75" s="34">
        <f t="shared" si="14"/>
        <v>52.17</v>
      </c>
      <c r="BA75" s="34">
        <f t="shared" si="15"/>
        <v>52.17</v>
      </c>
      <c r="BB75" s="34">
        <f t="shared" si="16"/>
        <v>52.17</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ht="28.5">
      <c r="A76" s="9"/>
      <c r="B76" s="33"/>
      <c r="C76" s="1274" t="str">
        <f>办公清单!C69</f>
        <v>20层2008号</v>
      </c>
      <c r="D76" s="2951" t="s">
        <v>3295</v>
      </c>
      <c r="E76" s="2983">
        <v>2.74</v>
      </c>
      <c r="F76" s="35"/>
      <c r="G76" s="36">
        <f t="shared" si="7"/>
        <v>52.17</v>
      </c>
      <c r="H76" s="37">
        <f t="shared" si="8"/>
        <v>52.17</v>
      </c>
      <c r="I76" s="2216">
        <f>办公清单!E69</f>
        <v>52.17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21"/>
      <c r="AV76" s="1797">
        <f t="shared" si="10"/>
        <v>0</v>
      </c>
      <c r="AW76" s="1797">
        <f t="shared" si="11"/>
        <v>0</v>
      </c>
      <c r="AX76" s="1797" t="str">
        <f t="shared" si="12"/>
        <v>20层2008号</v>
      </c>
      <c r="AY76" s="41">
        <f t="shared" si="13"/>
        <v>2.73</v>
      </c>
      <c r="AZ76" s="34">
        <f t="shared" si="14"/>
        <v>52.17</v>
      </c>
      <c r="BA76" s="34">
        <f t="shared" si="15"/>
        <v>52.17</v>
      </c>
      <c r="BB76" s="34">
        <f t="shared" si="16"/>
        <v>52.17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ht="28.5">
      <c r="A77" s="9"/>
      <c r="B77" s="33"/>
      <c r="C77" s="1274" t="str">
        <f>办公清单!C70</f>
        <v>20层2009号</v>
      </c>
      <c r="D77" s="2951" t="s">
        <v>3295</v>
      </c>
      <c r="E77" s="2983">
        <v>2.74</v>
      </c>
      <c r="F77" s="35"/>
      <c r="G77" s="36">
        <f t="shared" si="7"/>
        <v>52.17</v>
      </c>
      <c r="H77" s="37">
        <f t="shared" si="8"/>
        <v>52.17</v>
      </c>
      <c r="I77" s="2216">
        <f>办公清单!E70</f>
        <v>52.17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21"/>
      <c r="AV77" s="1797">
        <f t="shared" si="10"/>
        <v>0</v>
      </c>
      <c r="AW77" s="1797">
        <f t="shared" si="11"/>
        <v>0</v>
      </c>
      <c r="AX77" s="1797" t="str">
        <f t="shared" si="12"/>
        <v>20层2009号</v>
      </c>
      <c r="AY77" s="41">
        <f t="shared" si="13"/>
        <v>2.73</v>
      </c>
      <c r="AZ77" s="34">
        <f t="shared" si="14"/>
        <v>52.17</v>
      </c>
      <c r="BA77" s="34">
        <f t="shared" si="15"/>
        <v>52.17</v>
      </c>
      <c r="BB77" s="34">
        <f t="shared" si="16"/>
        <v>52.17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ht="28.5">
      <c r="A78" s="9"/>
      <c r="B78" s="33"/>
      <c r="C78" s="1274" t="str">
        <f>办公清单!C71</f>
        <v>20层2010号</v>
      </c>
      <c r="D78" s="2951" t="s">
        <v>3295</v>
      </c>
      <c r="E78" s="2983">
        <v>2.74</v>
      </c>
      <c r="F78" s="35"/>
      <c r="G78" s="36">
        <f t="shared" si="7"/>
        <v>52.17</v>
      </c>
      <c r="H78" s="37">
        <f t="shared" si="8"/>
        <v>52.17</v>
      </c>
      <c r="I78" s="2216">
        <f>办公清单!E71</f>
        <v>52.17</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21"/>
      <c r="AV78" s="1797">
        <f t="shared" si="10"/>
        <v>0</v>
      </c>
      <c r="AW78" s="1797">
        <f t="shared" si="11"/>
        <v>0</v>
      </c>
      <c r="AX78" s="1797" t="str">
        <f t="shared" si="12"/>
        <v>20层2010号</v>
      </c>
      <c r="AY78" s="41">
        <f t="shared" si="13"/>
        <v>2.73</v>
      </c>
      <c r="AZ78" s="34">
        <f t="shared" si="14"/>
        <v>52.17</v>
      </c>
      <c r="BA78" s="34">
        <f t="shared" si="15"/>
        <v>52.17</v>
      </c>
      <c r="BB78" s="34">
        <f t="shared" si="16"/>
        <v>52.17</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ht="28.5">
      <c r="A79" s="9"/>
      <c r="B79" s="33"/>
      <c r="C79" s="1274" t="str">
        <f>办公清单!C72</f>
        <v>20层2011号</v>
      </c>
      <c r="D79" s="2951" t="s">
        <v>3295</v>
      </c>
      <c r="E79" s="2983">
        <v>2.74</v>
      </c>
      <c r="F79" s="35"/>
      <c r="G79" s="36">
        <f t="shared" si="7"/>
        <v>52.17</v>
      </c>
      <c r="H79" s="37">
        <f t="shared" si="8"/>
        <v>52.17</v>
      </c>
      <c r="I79" s="2216">
        <f>办公清单!E72</f>
        <v>52.17</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21"/>
      <c r="AV79" s="1797">
        <f t="shared" si="10"/>
        <v>0</v>
      </c>
      <c r="AW79" s="1797">
        <f t="shared" si="11"/>
        <v>0</v>
      </c>
      <c r="AX79" s="1797" t="str">
        <f t="shared" si="12"/>
        <v>20层2011号</v>
      </c>
      <c r="AY79" s="41">
        <f t="shared" si="13"/>
        <v>2.73</v>
      </c>
      <c r="AZ79" s="34">
        <f t="shared" si="14"/>
        <v>52.17</v>
      </c>
      <c r="BA79" s="34">
        <f t="shared" si="15"/>
        <v>52.17</v>
      </c>
      <c r="BB79" s="34">
        <f t="shared" si="16"/>
        <v>52.17</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ht="28.5">
      <c r="A80" s="9"/>
      <c r="B80" s="33"/>
      <c r="C80" s="1274" t="str">
        <f>办公清单!C73</f>
        <v>20层2012号</v>
      </c>
      <c r="D80" s="2951" t="s">
        <v>3295</v>
      </c>
      <c r="E80" s="2983">
        <v>4.24</v>
      </c>
      <c r="F80" s="35"/>
      <c r="G80" s="36">
        <f t="shared" si="7"/>
        <v>80.73</v>
      </c>
      <c r="H80" s="37">
        <f t="shared" si="8"/>
        <v>80.73</v>
      </c>
      <c r="I80" s="2216">
        <f>办公清单!E73</f>
        <v>80.73</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21"/>
      <c r="AV80" s="1797">
        <f t="shared" si="10"/>
        <v>0</v>
      </c>
      <c r="AW80" s="1797">
        <f t="shared" si="11"/>
        <v>0</v>
      </c>
      <c r="AX80" s="1797" t="str">
        <f t="shared" si="12"/>
        <v>20层2012号</v>
      </c>
      <c r="AY80" s="41">
        <f t="shared" si="13"/>
        <v>4.2300000000000004</v>
      </c>
      <c r="AZ80" s="34">
        <f t="shared" si="14"/>
        <v>80.73</v>
      </c>
      <c r="BA80" s="34">
        <f t="shared" si="15"/>
        <v>80.73</v>
      </c>
      <c r="BB80" s="34">
        <f t="shared" si="16"/>
        <v>80.73</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ht="28.5">
      <c r="A81" s="9"/>
      <c r="B81" s="33"/>
      <c r="C81" s="1274" t="str">
        <f>办公清单!C74</f>
        <v>20层2013号</v>
      </c>
      <c r="D81" s="2951" t="s">
        <v>3295</v>
      </c>
      <c r="E81" s="2983">
        <v>3.47</v>
      </c>
      <c r="F81" s="35"/>
      <c r="G81" s="36">
        <f t="shared" si="7"/>
        <v>66.040000000000006</v>
      </c>
      <c r="H81" s="37">
        <f t="shared" si="8"/>
        <v>66.040000000000006</v>
      </c>
      <c r="I81" s="2216">
        <f>办公清单!E74</f>
        <v>66.040000000000006</v>
      </c>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21"/>
      <c r="AV81" s="1797">
        <f t="shared" si="10"/>
        <v>0</v>
      </c>
      <c r="AW81" s="1797">
        <f t="shared" si="11"/>
        <v>0</v>
      </c>
      <c r="AX81" s="1797" t="str">
        <f t="shared" si="12"/>
        <v>20层2013号</v>
      </c>
      <c r="AY81" s="41">
        <f t="shared" si="13"/>
        <v>3.46</v>
      </c>
      <c r="AZ81" s="34">
        <f t="shared" si="14"/>
        <v>66.040000000000006</v>
      </c>
      <c r="BA81" s="34">
        <f t="shared" si="15"/>
        <v>66.040000000000006</v>
      </c>
      <c r="BB81" s="34">
        <f t="shared" si="16"/>
        <v>66.040000000000006</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ht="28.5">
      <c r="A82" s="9"/>
      <c r="B82" s="33"/>
      <c r="C82" s="1274" t="str">
        <f>办公清单!C75</f>
        <v>20层2014号</v>
      </c>
      <c r="D82" s="2951" t="s">
        <v>3295</v>
      </c>
      <c r="E82" s="2983">
        <v>3.47</v>
      </c>
      <c r="F82" s="35"/>
      <c r="G82" s="36">
        <f t="shared" si="7"/>
        <v>66.040000000000006</v>
      </c>
      <c r="H82" s="37">
        <f t="shared" si="8"/>
        <v>66.040000000000006</v>
      </c>
      <c r="I82" s="2216">
        <f>办公清单!E75</f>
        <v>66.040000000000006</v>
      </c>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21"/>
      <c r="AV82" s="1797">
        <f t="shared" si="10"/>
        <v>0</v>
      </c>
      <c r="AW82" s="1797">
        <f t="shared" si="11"/>
        <v>0</v>
      </c>
      <c r="AX82" s="1797" t="str">
        <f t="shared" si="12"/>
        <v>20层2014号</v>
      </c>
      <c r="AY82" s="41">
        <f t="shared" si="13"/>
        <v>3.46</v>
      </c>
      <c r="AZ82" s="34">
        <f t="shared" si="14"/>
        <v>66.040000000000006</v>
      </c>
      <c r="BA82" s="34">
        <f t="shared" si="15"/>
        <v>66.040000000000006</v>
      </c>
      <c r="BB82" s="34">
        <f t="shared" si="16"/>
        <v>66.040000000000006</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ht="28.5">
      <c r="A83" s="9"/>
      <c r="B83" s="33"/>
      <c r="C83" s="1274" t="str">
        <f>办公清单!C76</f>
        <v>20层2015号</v>
      </c>
      <c r="D83" s="2951" t="s">
        <v>3295</v>
      </c>
      <c r="E83" s="2983">
        <v>4.24</v>
      </c>
      <c r="F83" s="35"/>
      <c r="G83" s="36">
        <f t="shared" si="7"/>
        <v>80.73</v>
      </c>
      <c r="H83" s="37">
        <f t="shared" si="8"/>
        <v>80.73</v>
      </c>
      <c r="I83" s="2216">
        <f>办公清单!E76</f>
        <v>80.73</v>
      </c>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21"/>
      <c r="AV83" s="1797">
        <f t="shared" si="10"/>
        <v>0</v>
      </c>
      <c r="AW83" s="1797">
        <f t="shared" si="11"/>
        <v>0</v>
      </c>
      <c r="AX83" s="1797" t="str">
        <f t="shared" si="12"/>
        <v>20层2015号</v>
      </c>
      <c r="AY83" s="41">
        <f t="shared" si="13"/>
        <v>4.2300000000000004</v>
      </c>
      <c r="AZ83" s="34">
        <f t="shared" si="14"/>
        <v>80.73</v>
      </c>
      <c r="BA83" s="34">
        <f t="shared" si="15"/>
        <v>80.73</v>
      </c>
      <c r="BB83" s="34">
        <f t="shared" si="16"/>
        <v>80.73</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ht="28.5">
      <c r="A84" s="9"/>
      <c r="B84" s="33"/>
      <c r="C84" s="1274" t="str">
        <f>办公清单!C77</f>
        <v>20层2016号</v>
      </c>
      <c r="D84" s="2951" t="s">
        <v>3295</v>
      </c>
      <c r="E84" s="2983">
        <v>2.74</v>
      </c>
      <c r="F84" s="35"/>
      <c r="G84" s="36">
        <f t="shared" si="7"/>
        <v>52.17</v>
      </c>
      <c r="H84" s="37">
        <f t="shared" si="8"/>
        <v>52.17</v>
      </c>
      <c r="I84" s="2216">
        <f>办公清单!E77</f>
        <v>52.17</v>
      </c>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21"/>
      <c r="AV84" s="1797">
        <f t="shared" si="10"/>
        <v>0</v>
      </c>
      <c r="AW84" s="1797">
        <f t="shared" si="11"/>
        <v>0</v>
      </c>
      <c r="AX84" s="1797" t="str">
        <f t="shared" si="12"/>
        <v>20层2016号</v>
      </c>
      <c r="AY84" s="41">
        <f t="shared" si="13"/>
        <v>2.73</v>
      </c>
      <c r="AZ84" s="34">
        <f t="shared" si="14"/>
        <v>52.17</v>
      </c>
      <c r="BA84" s="34">
        <f t="shared" si="15"/>
        <v>52.17</v>
      </c>
      <c r="BB84" s="34">
        <f t="shared" si="16"/>
        <v>52.17</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ht="28.5">
      <c r="A85" s="9"/>
      <c r="B85" s="33"/>
      <c r="C85" s="1274" t="str">
        <f>办公清单!C78</f>
        <v>20层2017号</v>
      </c>
      <c r="D85" s="2951" t="s">
        <v>3295</v>
      </c>
      <c r="E85" s="2983">
        <v>2.74</v>
      </c>
      <c r="F85" s="35"/>
      <c r="G85" s="36">
        <f t="shared" si="7"/>
        <v>52.17</v>
      </c>
      <c r="H85" s="37">
        <f t="shared" si="8"/>
        <v>52.17</v>
      </c>
      <c r="I85" s="2216">
        <f>办公清单!E78</f>
        <v>52.17</v>
      </c>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21"/>
      <c r="AV85" s="1797">
        <f t="shared" si="10"/>
        <v>0</v>
      </c>
      <c r="AW85" s="1797">
        <f t="shared" si="11"/>
        <v>0</v>
      </c>
      <c r="AX85" s="1797" t="str">
        <f t="shared" si="12"/>
        <v>20层2017号</v>
      </c>
      <c r="AY85" s="41">
        <f t="shared" si="13"/>
        <v>2.73</v>
      </c>
      <c r="AZ85" s="34">
        <f t="shared" si="14"/>
        <v>52.17</v>
      </c>
      <c r="BA85" s="34">
        <f t="shared" si="15"/>
        <v>52.17</v>
      </c>
      <c r="BB85" s="34">
        <f t="shared" si="16"/>
        <v>52.17</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ht="28.5">
      <c r="A86" s="9"/>
      <c r="B86" s="33"/>
      <c r="C86" s="1274" t="str">
        <f>办公清单!C79</f>
        <v>20层2018号</v>
      </c>
      <c r="D86" s="2951" t="s">
        <v>3295</v>
      </c>
      <c r="E86" s="2983">
        <v>2.74</v>
      </c>
      <c r="F86" s="35"/>
      <c r="G86" s="36">
        <f t="shared" si="7"/>
        <v>52.17</v>
      </c>
      <c r="H86" s="37">
        <f t="shared" si="8"/>
        <v>52.17</v>
      </c>
      <c r="I86" s="2216">
        <f>办公清单!E79</f>
        <v>52.17</v>
      </c>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21"/>
      <c r="AV86" s="1797">
        <f t="shared" si="10"/>
        <v>0</v>
      </c>
      <c r="AW86" s="1797">
        <f t="shared" si="11"/>
        <v>0</v>
      </c>
      <c r="AX86" s="1797" t="str">
        <f t="shared" si="12"/>
        <v>20层2018号</v>
      </c>
      <c r="AY86" s="41">
        <f t="shared" si="13"/>
        <v>2.73</v>
      </c>
      <c r="AZ86" s="34">
        <f t="shared" si="14"/>
        <v>52.17</v>
      </c>
      <c r="BA86" s="34">
        <f t="shared" si="15"/>
        <v>52.17</v>
      </c>
      <c r="BB86" s="34">
        <f t="shared" si="16"/>
        <v>52.17</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ht="28.5">
      <c r="A87" s="9"/>
      <c r="B87" s="33"/>
      <c r="C87" s="1274" t="str">
        <f>办公清单!C80</f>
        <v>20层2019号</v>
      </c>
      <c r="D87" s="2951" t="s">
        <v>3295</v>
      </c>
      <c r="E87" s="2983">
        <v>2.74</v>
      </c>
      <c r="F87" s="35"/>
      <c r="G87" s="36">
        <f t="shared" si="7"/>
        <v>52.17</v>
      </c>
      <c r="H87" s="37">
        <f t="shared" si="8"/>
        <v>52.17</v>
      </c>
      <c r="I87" s="2216">
        <f>办公清单!E80</f>
        <v>52.17</v>
      </c>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21"/>
      <c r="AV87" s="1797">
        <f t="shared" si="10"/>
        <v>0</v>
      </c>
      <c r="AW87" s="1797">
        <f t="shared" si="11"/>
        <v>0</v>
      </c>
      <c r="AX87" s="1797" t="str">
        <f t="shared" si="12"/>
        <v>20层2019号</v>
      </c>
      <c r="AY87" s="41">
        <f t="shared" si="13"/>
        <v>2.73</v>
      </c>
      <c r="AZ87" s="34">
        <f t="shared" si="14"/>
        <v>52.17</v>
      </c>
      <c r="BA87" s="34">
        <f t="shared" si="15"/>
        <v>52.17</v>
      </c>
      <c r="BB87" s="34">
        <f t="shared" si="16"/>
        <v>52.17</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ht="28.5">
      <c r="A88" s="9"/>
      <c r="B88" s="33"/>
      <c r="C88" s="1274" t="str">
        <f>办公清单!C81</f>
        <v>20层2020号</v>
      </c>
      <c r="D88" s="2951" t="s">
        <v>3295</v>
      </c>
      <c r="E88" s="2983">
        <v>2.74</v>
      </c>
      <c r="F88" s="35"/>
      <c r="G88" s="36">
        <f t="shared" si="7"/>
        <v>52.17</v>
      </c>
      <c r="H88" s="37">
        <f t="shared" si="8"/>
        <v>52.17</v>
      </c>
      <c r="I88" s="2216">
        <f>办公清单!E81</f>
        <v>52.17</v>
      </c>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21"/>
      <c r="AV88" s="1797">
        <f t="shared" si="10"/>
        <v>0</v>
      </c>
      <c r="AW88" s="1797">
        <f t="shared" si="11"/>
        <v>0</v>
      </c>
      <c r="AX88" s="1797" t="str">
        <f t="shared" si="12"/>
        <v>20层2020号</v>
      </c>
      <c r="AY88" s="41">
        <f t="shared" si="13"/>
        <v>2.73</v>
      </c>
      <c r="AZ88" s="34">
        <f t="shared" si="14"/>
        <v>52.17</v>
      </c>
      <c r="BA88" s="34">
        <f t="shared" si="15"/>
        <v>52.17</v>
      </c>
      <c r="BB88" s="34">
        <f t="shared" si="16"/>
        <v>52.17</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ht="28.5">
      <c r="A89" s="9"/>
      <c r="B89" s="33"/>
      <c r="C89" s="1274" t="str">
        <f>办公清单!C82</f>
        <v>20层2021号</v>
      </c>
      <c r="D89" s="2951" t="s">
        <v>3295</v>
      </c>
      <c r="E89" s="2983">
        <v>2.74</v>
      </c>
      <c r="F89" s="35"/>
      <c r="G89" s="36">
        <f t="shared" si="7"/>
        <v>52.17</v>
      </c>
      <c r="H89" s="37">
        <f t="shared" si="8"/>
        <v>52.17</v>
      </c>
      <c r="I89" s="2216">
        <f>办公清单!E82</f>
        <v>52.17</v>
      </c>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21"/>
      <c r="AV89" s="1797">
        <f t="shared" si="10"/>
        <v>0</v>
      </c>
      <c r="AW89" s="1797">
        <f t="shared" si="11"/>
        <v>0</v>
      </c>
      <c r="AX89" s="1797" t="str">
        <f t="shared" si="12"/>
        <v>20层2021号</v>
      </c>
      <c r="AY89" s="41">
        <f t="shared" si="13"/>
        <v>2.73</v>
      </c>
      <c r="AZ89" s="34">
        <f t="shared" si="14"/>
        <v>52.17</v>
      </c>
      <c r="BA89" s="34">
        <f t="shared" si="15"/>
        <v>52.17</v>
      </c>
      <c r="BB89" s="34">
        <f t="shared" si="16"/>
        <v>52.17</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ht="28.5">
      <c r="A90" s="9"/>
      <c r="B90" s="33"/>
      <c r="C90" s="1274" t="str">
        <f>办公清单!C83</f>
        <v>20层2022号</v>
      </c>
      <c r="D90" s="2951" t="s">
        <v>3295</v>
      </c>
      <c r="E90" s="2983">
        <v>2.74</v>
      </c>
      <c r="F90" s="35"/>
      <c r="G90" s="36">
        <f t="shared" si="7"/>
        <v>52.17</v>
      </c>
      <c r="H90" s="37">
        <f t="shared" si="8"/>
        <v>52.17</v>
      </c>
      <c r="I90" s="2216">
        <f>办公清单!E83</f>
        <v>52.17</v>
      </c>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21"/>
      <c r="AV90" s="1797">
        <f t="shared" si="10"/>
        <v>0</v>
      </c>
      <c r="AW90" s="1797">
        <f t="shared" si="11"/>
        <v>0</v>
      </c>
      <c r="AX90" s="1797" t="str">
        <f t="shared" si="12"/>
        <v>20层2022号</v>
      </c>
      <c r="AY90" s="41">
        <f t="shared" si="13"/>
        <v>2.73</v>
      </c>
      <c r="AZ90" s="34">
        <f t="shared" si="14"/>
        <v>52.17</v>
      </c>
      <c r="BA90" s="34">
        <f t="shared" si="15"/>
        <v>52.17</v>
      </c>
      <c r="BB90" s="34">
        <f t="shared" si="16"/>
        <v>52.17</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ht="28.5">
      <c r="A91" s="9"/>
      <c r="B91" s="33"/>
      <c r="C91" s="1274" t="str">
        <f>办公清单!C84</f>
        <v>20层2023号</v>
      </c>
      <c r="D91" s="2951" t="s">
        <v>3295</v>
      </c>
      <c r="E91" s="2983">
        <v>2.74</v>
      </c>
      <c r="F91" s="35"/>
      <c r="G91" s="36">
        <f t="shared" si="7"/>
        <v>52.17</v>
      </c>
      <c r="H91" s="37">
        <f t="shared" si="8"/>
        <v>52.17</v>
      </c>
      <c r="I91" s="2216">
        <f>办公清单!E84</f>
        <v>52.17</v>
      </c>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21"/>
      <c r="AV91" s="1797">
        <f t="shared" si="10"/>
        <v>0</v>
      </c>
      <c r="AW91" s="1797">
        <f t="shared" si="11"/>
        <v>0</v>
      </c>
      <c r="AX91" s="1797" t="str">
        <f t="shared" si="12"/>
        <v>20层2023号</v>
      </c>
      <c r="AY91" s="41">
        <f t="shared" si="13"/>
        <v>2.73</v>
      </c>
      <c r="AZ91" s="34">
        <f t="shared" si="14"/>
        <v>52.17</v>
      </c>
      <c r="BA91" s="34">
        <f t="shared" si="15"/>
        <v>52.17</v>
      </c>
      <c r="BB91" s="34">
        <f t="shared" si="16"/>
        <v>52.17</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ht="28.5">
      <c r="A92" s="9"/>
      <c r="B92" s="33"/>
      <c r="C92" s="1274" t="str">
        <f>办公清单!C85</f>
        <v>20层2024号</v>
      </c>
      <c r="D92" s="2951" t="s">
        <v>3295</v>
      </c>
      <c r="E92" s="2983">
        <v>2.74</v>
      </c>
      <c r="F92" s="35"/>
      <c r="G92" s="36">
        <f t="shared" si="7"/>
        <v>52.17</v>
      </c>
      <c r="H92" s="37">
        <f t="shared" si="8"/>
        <v>52.17</v>
      </c>
      <c r="I92" s="2216">
        <f>办公清单!E85</f>
        <v>52.17</v>
      </c>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21"/>
      <c r="AV92" s="1797">
        <f t="shared" si="10"/>
        <v>0</v>
      </c>
      <c r="AW92" s="1797">
        <f t="shared" si="11"/>
        <v>0</v>
      </c>
      <c r="AX92" s="1797" t="str">
        <f t="shared" si="12"/>
        <v>20层2024号</v>
      </c>
      <c r="AY92" s="41">
        <f t="shared" si="13"/>
        <v>2.73</v>
      </c>
      <c r="AZ92" s="34">
        <f t="shared" si="14"/>
        <v>52.17</v>
      </c>
      <c r="BA92" s="34">
        <f t="shared" si="15"/>
        <v>52.17</v>
      </c>
      <c r="BB92" s="34">
        <f t="shared" si="16"/>
        <v>52.17</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ht="28.5">
      <c r="A93" s="9"/>
      <c r="B93" s="33"/>
      <c r="C93" s="1274" t="str">
        <f>办公清单!C86</f>
        <v>20层2025号</v>
      </c>
      <c r="D93" s="2951" t="s">
        <v>3295</v>
      </c>
      <c r="E93" s="2983">
        <v>2.74</v>
      </c>
      <c r="F93" s="35"/>
      <c r="G93" s="36">
        <f t="shared" si="7"/>
        <v>52.17</v>
      </c>
      <c r="H93" s="37">
        <f t="shared" si="8"/>
        <v>52.17</v>
      </c>
      <c r="I93" s="2216">
        <f>办公清单!E86</f>
        <v>52.17</v>
      </c>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21"/>
      <c r="AV93" s="1797">
        <f t="shared" si="10"/>
        <v>0</v>
      </c>
      <c r="AW93" s="1797">
        <f t="shared" si="11"/>
        <v>0</v>
      </c>
      <c r="AX93" s="1797" t="str">
        <f t="shared" si="12"/>
        <v>20层2025号</v>
      </c>
      <c r="AY93" s="41">
        <f t="shared" si="13"/>
        <v>2.73</v>
      </c>
      <c r="AZ93" s="34">
        <f t="shared" si="14"/>
        <v>52.17</v>
      </c>
      <c r="BA93" s="34">
        <f t="shared" si="15"/>
        <v>52.17</v>
      </c>
      <c r="BB93" s="34">
        <f t="shared" si="16"/>
        <v>52.17</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ht="28.5">
      <c r="A94" s="9"/>
      <c r="B94" s="33"/>
      <c r="C94" s="1274" t="str">
        <f>办公清单!C87</f>
        <v>20层2026号</v>
      </c>
      <c r="D94" s="2951" t="s">
        <v>3295</v>
      </c>
      <c r="E94" s="2983">
        <v>4.24</v>
      </c>
      <c r="F94" s="35"/>
      <c r="G94" s="36">
        <f t="shared" si="7"/>
        <v>80.73</v>
      </c>
      <c r="H94" s="37">
        <f t="shared" si="8"/>
        <v>80.73</v>
      </c>
      <c r="I94" s="2216">
        <f>办公清单!E87</f>
        <v>80.73</v>
      </c>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21"/>
      <c r="AV94" s="1797">
        <f t="shared" si="10"/>
        <v>0</v>
      </c>
      <c r="AW94" s="1797">
        <f t="shared" si="11"/>
        <v>0</v>
      </c>
      <c r="AX94" s="1797" t="str">
        <f t="shared" si="12"/>
        <v>20层2026号</v>
      </c>
      <c r="AY94" s="41">
        <f t="shared" si="13"/>
        <v>4.2300000000000004</v>
      </c>
      <c r="AZ94" s="34">
        <f t="shared" si="14"/>
        <v>80.73</v>
      </c>
      <c r="BA94" s="34">
        <f t="shared" si="15"/>
        <v>80.73</v>
      </c>
      <c r="BB94" s="34">
        <f t="shared" si="16"/>
        <v>80.73</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ht="28.5">
      <c r="A95" s="9"/>
      <c r="B95" s="33"/>
      <c r="C95" s="1274" t="str">
        <f>办公清单!C88</f>
        <v>20层2027号</v>
      </c>
      <c r="D95" s="2951" t="s">
        <v>3295</v>
      </c>
      <c r="E95" s="2983">
        <v>4.8899999999999997</v>
      </c>
      <c r="F95" s="35"/>
      <c r="G95" s="36">
        <f t="shared" si="7"/>
        <v>93.08</v>
      </c>
      <c r="H95" s="37">
        <f t="shared" si="8"/>
        <v>93.08</v>
      </c>
      <c r="I95" s="2216">
        <f>办公清单!E88</f>
        <v>93.08</v>
      </c>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21"/>
      <c r="AV95" s="1797">
        <f t="shared" si="10"/>
        <v>0</v>
      </c>
      <c r="AW95" s="1797">
        <f t="shared" si="11"/>
        <v>0</v>
      </c>
      <c r="AX95" s="1797" t="str">
        <f t="shared" si="12"/>
        <v>20层2027号</v>
      </c>
      <c r="AY95" s="41">
        <f t="shared" si="13"/>
        <v>4.87</v>
      </c>
      <c r="AZ95" s="34">
        <f t="shared" si="14"/>
        <v>93.08</v>
      </c>
      <c r="BA95" s="34">
        <f t="shared" si="15"/>
        <v>93.08</v>
      </c>
      <c r="BB95" s="34">
        <f t="shared" si="16"/>
        <v>93.08</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ht="28.5">
      <c r="A96" s="9"/>
      <c r="B96" s="33"/>
      <c r="C96" s="1274" t="str">
        <f>办公清单!C89</f>
        <v>20层2028号</v>
      </c>
      <c r="D96" s="2951" t="s">
        <v>3295</v>
      </c>
      <c r="E96" s="2983">
        <v>4.8899999999999997</v>
      </c>
      <c r="F96" s="35"/>
      <c r="G96" s="36">
        <f t="shared" si="7"/>
        <v>93.08</v>
      </c>
      <c r="H96" s="37">
        <f t="shared" si="8"/>
        <v>93.08</v>
      </c>
      <c r="I96" s="2216">
        <f>办公清单!E89</f>
        <v>93.08</v>
      </c>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21"/>
      <c r="AV96" s="1797">
        <f t="shared" si="10"/>
        <v>0</v>
      </c>
      <c r="AW96" s="1797">
        <f t="shared" si="11"/>
        <v>0</v>
      </c>
      <c r="AX96" s="1797" t="str">
        <f t="shared" si="12"/>
        <v>20层2028号</v>
      </c>
      <c r="AY96" s="41">
        <f t="shared" si="13"/>
        <v>4.87</v>
      </c>
      <c r="AZ96" s="34">
        <f t="shared" si="14"/>
        <v>93.08</v>
      </c>
      <c r="BA96" s="34">
        <f t="shared" si="15"/>
        <v>93.08</v>
      </c>
      <c r="BB96" s="34">
        <f t="shared" si="16"/>
        <v>93.08</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ht="28.5">
      <c r="A97" s="9"/>
      <c r="B97" s="33"/>
      <c r="C97" s="1274" t="str">
        <f>办公清单!C90</f>
        <v>21层2101号</v>
      </c>
      <c r="D97" s="2951" t="s">
        <v>3295</v>
      </c>
      <c r="E97" s="2983">
        <v>4.24</v>
      </c>
      <c r="F97" s="35"/>
      <c r="G97" s="36">
        <f t="shared" si="7"/>
        <v>80.73</v>
      </c>
      <c r="H97" s="37">
        <f t="shared" si="8"/>
        <v>80.73</v>
      </c>
      <c r="I97" s="2216">
        <f>办公清单!E90</f>
        <v>80.73</v>
      </c>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21"/>
      <c r="AV97" s="1797">
        <f t="shared" si="10"/>
        <v>0</v>
      </c>
      <c r="AW97" s="1797">
        <f t="shared" si="11"/>
        <v>0</v>
      </c>
      <c r="AX97" s="1797" t="str">
        <f t="shared" si="12"/>
        <v>21层2101号</v>
      </c>
      <c r="AY97" s="41">
        <f t="shared" si="13"/>
        <v>4.2300000000000004</v>
      </c>
      <c r="AZ97" s="34">
        <f t="shared" si="14"/>
        <v>80.73</v>
      </c>
      <c r="BA97" s="34">
        <f t="shared" si="15"/>
        <v>80.73</v>
      </c>
      <c r="BB97" s="34">
        <f t="shared" si="16"/>
        <v>80.73</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ht="28.5">
      <c r="A98" s="9"/>
      <c r="B98" s="33"/>
      <c r="C98" s="1274" t="str">
        <f>办公清单!C91</f>
        <v>21层2102号</v>
      </c>
      <c r="D98" s="2951" t="s">
        <v>3295</v>
      </c>
      <c r="E98" s="2983">
        <v>2.74</v>
      </c>
      <c r="F98" s="35"/>
      <c r="G98" s="36">
        <f t="shared" si="7"/>
        <v>52.17</v>
      </c>
      <c r="H98" s="37">
        <f t="shared" si="8"/>
        <v>52.17</v>
      </c>
      <c r="I98" s="2216">
        <f>办公清单!E91</f>
        <v>52.17</v>
      </c>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21"/>
      <c r="AV98" s="1797">
        <f t="shared" si="10"/>
        <v>0</v>
      </c>
      <c r="AW98" s="1797">
        <f t="shared" si="11"/>
        <v>0</v>
      </c>
      <c r="AX98" s="1797" t="str">
        <f t="shared" si="12"/>
        <v>21层2102号</v>
      </c>
      <c r="AY98" s="41">
        <f t="shared" si="13"/>
        <v>2.73</v>
      </c>
      <c r="AZ98" s="34">
        <f t="shared" si="14"/>
        <v>52.17</v>
      </c>
      <c r="BA98" s="34">
        <f t="shared" si="15"/>
        <v>52.17</v>
      </c>
      <c r="BB98" s="34">
        <f t="shared" si="16"/>
        <v>52.17</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ht="28.5">
      <c r="A99" s="9"/>
      <c r="B99" s="33"/>
      <c r="C99" s="1274" t="str">
        <f>办公清单!C92</f>
        <v>21层2103号</v>
      </c>
      <c r="D99" s="2951" t="s">
        <v>3295</v>
      </c>
      <c r="E99" s="2983">
        <v>2.74</v>
      </c>
      <c r="F99" s="35"/>
      <c r="G99" s="36">
        <f t="shared" si="7"/>
        <v>52.17</v>
      </c>
      <c r="H99" s="37">
        <f t="shared" si="8"/>
        <v>52.17</v>
      </c>
      <c r="I99" s="2216">
        <f>办公清单!E92</f>
        <v>52.17</v>
      </c>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21"/>
      <c r="AV99" s="1797">
        <f t="shared" si="10"/>
        <v>0</v>
      </c>
      <c r="AW99" s="1797">
        <f t="shared" si="11"/>
        <v>0</v>
      </c>
      <c r="AX99" s="1797" t="str">
        <f t="shared" si="12"/>
        <v>21层2103号</v>
      </c>
      <c r="AY99" s="41">
        <f t="shared" si="13"/>
        <v>2.73</v>
      </c>
      <c r="AZ99" s="34">
        <f t="shared" si="14"/>
        <v>52.17</v>
      </c>
      <c r="BA99" s="34">
        <f t="shared" si="15"/>
        <v>52.17</v>
      </c>
      <c r="BB99" s="34">
        <f t="shared" si="16"/>
        <v>52.17</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ht="28.5">
      <c r="A100" s="9"/>
      <c r="B100" s="33"/>
      <c r="C100" s="1274" t="str">
        <f>办公清单!C93</f>
        <v>21层2104号</v>
      </c>
      <c r="D100" s="2951" t="s">
        <v>3295</v>
      </c>
      <c r="E100" s="2983">
        <v>2.74</v>
      </c>
      <c r="F100" s="35"/>
      <c r="G100" s="36">
        <f t="shared" si="7"/>
        <v>52.17</v>
      </c>
      <c r="H100" s="37">
        <f t="shared" si="8"/>
        <v>52.17</v>
      </c>
      <c r="I100" s="2216">
        <f>办公清单!E93</f>
        <v>52.17</v>
      </c>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21"/>
      <c r="AV100" s="1797">
        <f t="shared" si="10"/>
        <v>0</v>
      </c>
      <c r="AW100" s="1797">
        <f t="shared" si="11"/>
        <v>0</v>
      </c>
      <c r="AX100" s="1797" t="str">
        <f t="shared" si="12"/>
        <v>21层2104号</v>
      </c>
      <c r="AY100" s="41">
        <f t="shared" si="13"/>
        <v>2.73</v>
      </c>
      <c r="AZ100" s="34">
        <f t="shared" si="14"/>
        <v>52.17</v>
      </c>
      <c r="BA100" s="34">
        <f t="shared" si="15"/>
        <v>52.17</v>
      </c>
      <c r="BB100" s="34">
        <f t="shared" si="16"/>
        <v>52.17</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ht="28.5">
      <c r="A101" s="9"/>
      <c r="B101" s="33"/>
      <c r="C101" s="1274" t="str">
        <f>办公清单!C94</f>
        <v>21层2105号</v>
      </c>
      <c r="D101" s="2951" t="s">
        <v>3295</v>
      </c>
      <c r="E101" s="2983">
        <v>2.74</v>
      </c>
      <c r="F101" s="35"/>
      <c r="G101" s="36">
        <f t="shared" si="7"/>
        <v>52.17</v>
      </c>
      <c r="H101" s="37">
        <f t="shared" si="8"/>
        <v>52.17</v>
      </c>
      <c r="I101" s="2216">
        <f>办公清单!E94</f>
        <v>52.17</v>
      </c>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21"/>
      <c r="AV101" s="1797">
        <f t="shared" si="10"/>
        <v>0</v>
      </c>
      <c r="AW101" s="1797">
        <f t="shared" si="11"/>
        <v>0</v>
      </c>
      <c r="AX101" s="1797" t="str">
        <f t="shared" si="12"/>
        <v>21层2105号</v>
      </c>
      <c r="AY101" s="41">
        <f t="shared" si="13"/>
        <v>2.73</v>
      </c>
      <c r="AZ101" s="34">
        <f t="shared" si="14"/>
        <v>52.17</v>
      </c>
      <c r="BA101" s="34">
        <f t="shared" si="15"/>
        <v>52.17</v>
      </c>
      <c r="BB101" s="34">
        <f t="shared" si="16"/>
        <v>52.17</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ht="28.5">
      <c r="A102" s="9"/>
      <c r="B102" s="33"/>
      <c r="C102" s="1274" t="str">
        <f>办公清单!C95</f>
        <v>21层2106号</v>
      </c>
      <c r="D102" s="2951" t="s">
        <v>3295</v>
      </c>
      <c r="E102" s="2983">
        <v>2.74</v>
      </c>
      <c r="F102" s="35"/>
      <c r="G102" s="36">
        <f t="shared" si="7"/>
        <v>52.17</v>
      </c>
      <c r="H102" s="37">
        <f t="shared" si="8"/>
        <v>52.17</v>
      </c>
      <c r="I102" s="2216">
        <f>办公清单!E95</f>
        <v>52.17</v>
      </c>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21"/>
      <c r="AV102" s="1797">
        <f t="shared" si="10"/>
        <v>0</v>
      </c>
      <c r="AW102" s="1797">
        <f t="shared" si="11"/>
        <v>0</v>
      </c>
      <c r="AX102" s="1797" t="str">
        <f t="shared" si="12"/>
        <v>21层2106号</v>
      </c>
      <c r="AY102" s="41">
        <f t="shared" si="13"/>
        <v>2.73</v>
      </c>
      <c r="AZ102" s="34">
        <f t="shared" si="14"/>
        <v>52.17</v>
      </c>
      <c r="BA102" s="34">
        <f t="shared" si="15"/>
        <v>52.17</v>
      </c>
      <c r="BB102" s="34">
        <f t="shared" si="16"/>
        <v>52.17</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ht="28.5">
      <c r="A103" s="9"/>
      <c r="B103" s="33"/>
      <c r="C103" s="1274" t="str">
        <f>办公清单!C96</f>
        <v>21层2107号</v>
      </c>
      <c r="D103" s="2951" t="s">
        <v>3295</v>
      </c>
      <c r="E103" s="2983">
        <v>2.74</v>
      </c>
      <c r="F103" s="35"/>
      <c r="G103" s="36">
        <f t="shared" si="7"/>
        <v>52.17</v>
      </c>
      <c r="H103" s="37">
        <f t="shared" si="8"/>
        <v>52.17</v>
      </c>
      <c r="I103" s="2216">
        <f>办公清单!E96</f>
        <v>52.17</v>
      </c>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21"/>
      <c r="AV103" s="1797">
        <f t="shared" si="10"/>
        <v>0</v>
      </c>
      <c r="AW103" s="1797">
        <f t="shared" si="11"/>
        <v>0</v>
      </c>
      <c r="AX103" s="1797" t="str">
        <f t="shared" si="12"/>
        <v>21层2107号</v>
      </c>
      <c r="AY103" s="41">
        <f t="shared" si="13"/>
        <v>2.73</v>
      </c>
      <c r="AZ103" s="34">
        <f t="shared" si="14"/>
        <v>52.17</v>
      </c>
      <c r="BA103" s="34">
        <f t="shared" si="15"/>
        <v>52.17</v>
      </c>
      <c r="BB103" s="34">
        <f t="shared" si="16"/>
        <v>52.17</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ht="28.5">
      <c r="A104" s="9"/>
      <c r="B104" s="33"/>
      <c r="C104" s="1274" t="str">
        <f>办公清单!C97</f>
        <v>21层2108号</v>
      </c>
      <c r="D104" s="2951" t="s">
        <v>3295</v>
      </c>
      <c r="E104" s="2983">
        <v>2.74</v>
      </c>
      <c r="F104" s="35"/>
      <c r="G104" s="36">
        <f t="shared" si="7"/>
        <v>52.17</v>
      </c>
      <c r="H104" s="37">
        <f t="shared" si="8"/>
        <v>52.17</v>
      </c>
      <c r="I104" s="2216">
        <f>办公清单!E97</f>
        <v>52.17</v>
      </c>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21"/>
      <c r="AV104" s="1797">
        <f t="shared" si="10"/>
        <v>0</v>
      </c>
      <c r="AW104" s="1797">
        <f t="shared" si="11"/>
        <v>0</v>
      </c>
      <c r="AX104" s="1797" t="str">
        <f t="shared" si="12"/>
        <v>21层2108号</v>
      </c>
      <c r="AY104" s="41">
        <f t="shared" si="13"/>
        <v>2.73</v>
      </c>
      <c r="AZ104" s="34">
        <f t="shared" si="14"/>
        <v>52.17</v>
      </c>
      <c r="BA104" s="34">
        <f t="shared" si="15"/>
        <v>52.17</v>
      </c>
      <c r="BB104" s="34">
        <f t="shared" si="16"/>
        <v>52.17</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ht="28.5">
      <c r="A105" s="9"/>
      <c r="B105" s="33"/>
      <c r="C105" s="1274" t="str">
        <f>办公清单!C98</f>
        <v>21层2109号</v>
      </c>
      <c r="D105" s="2951" t="s">
        <v>3295</v>
      </c>
      <c r="E105" s="2983">
        <v>2.74</v>
      </c>
      <c r="F105" s="35"/>
      <c r="G105" s="36">
        <f t="shared" si="7"/>
        <v>52.17</v>
      </c>
      <c r="H105" s="37">
        <f t="shared" si="8"/>
        <v>52.17</v>
      </c>
      <c r="I105" s="2216">
        <f>办公清单!E98</f>
        <v>52.17</v>
      </c>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21"/>
      <c r="AV105" s="1797">
        <f t="shared" si="10"/>
        <v>0</v>
      </c>
      <c r="AW105" s="1797">
        <f t="shared" si="11"/>
        <v>0</v>
      </c>
      <c r="AX105" s="1797" t="str">
        <f t="shared" si="12"/>
        <v>21层2109号</v>
      </c>
      <c r="AY105" s="41">
        <f t="shared" si="13"/>
        <v>2.73</v>
      </c>
      <c r="AZ105" s="34">
        <f t="shared" si="14"/>
        <v>52.17</v>
      </c>
      <c r="BA105" s="34">
        <f t="shared" si="15"/>
        <v>52.17</v>
      </c>
      <c r="BB105" s="34">
        <f t="shared" si="16"/>
        <v>52.17</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ht="28.5">
      <c r="A106" s="9"/>
      <c r="B106" s="33"/>
      <c r="C106" s="1274" t="str">
        <f>办公清单!C99</f>
        <v>21层2110号</v>
      </c>
      <c r="D106" s="2951" t="s">
        <v>3295</v>
      </c>
      <c r="E106" s="2983">
        <v>2.74</v>
      </c>
      <c r="F106" s="35"/>
      <c r="G106" s="36">
        <f t="shared" si="7"/>
        <v>52.17</v>
      </c>
      <c r="H106" s="37">
        <f t="shared" si="8"/>
        <v>52.17</v>
      </c>
      <c r="I106" s="2216">
        <f>办公清单!E99</f>
        <v>52.17</v>
      </c>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21"/>
      <c r="AV106" s="1797">
        <f t="shared" si="10"/>
        <v>0</v>
      </c>
      <c r="AW106" s="1797">
        <f t="shared" si="11"/>
        <v>0</v>
      </c>
      <c r="AX106" s="1797" t="str">
        <f t="shared" si="12"/>
        <v>21层2110号</v>
      </c>
      <c r="AY106" s="41">
        <f t="shared" si="13"/>
        <v>2.73</v>
      </c>
      <c r="AZ106" s="34">
        <f t="shared" si="14"/>
        <v>52.17</v>
      </c>
      <c r="BA106" s="34">
        <f t="shared" si="15"/>
        <v>52.17</v>
      </c>
      <c r="BB106" s="34">
        <f t="shared" si="16"/>
        <v>52.17</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ht="28.5">
      <c r="A107" s="9"/>
      <c r="B107" s="33"/>
      <c r="C107" s="1274" t="str">
        <f>办公清单!C100</f>
        <v>21层2111号</v>
      </c>
      <c r="D107" s="2951" t="s">
        <v>3295</v>
      </c>
      <c r="E107" s="2983">
        <v>2.74</v>
      </c>
      <c r="F107" s="35"/>
      <c r="G107" s="36">
        <f t="shared" si="7"/>
        <v>52.17</v>
      </c>
      <c r="H107" s="37">
        <f t="shared" si="8"/>
        <v>52.17</v>
      </c>
      <c r="I107" s="2216">
        <f>办公清单!E100</f>
        <v>52.17</v>
      </c>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21"/>
      <c r="AV107" s="1797">
        <f t="shared" si="10"/>
        <v>0</v>
      </c>
      <c r="AW107" s="1797">
        <f t="shared" si="11"/>
        <v>0</v>
      </c>
      <c r="AX107" s="1797" t="str">
        <f t="shared" si="12"/>
        <v>21层2111号</v>
      </c>
      <c r="AY107" s="41">
        <f t="shared" si="13"/>
        <v>2.73</v>
      </c>
      <c r="AZ107" s="34">
        <f t="shared" si="14"/>
        <v>52.17</v>
      </c>
      <c r="BA107" s="34">
        <f t="shared" si="15"/>
        <v>52.17</v>
      </c>
      <c r="BB107" s="34">
        <f t="shared" si="16"/>
        <v>52.17</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ht="28.5">
      <c r="A108" s="9"/>
      <c r="B108" s="33"/>
      <c r="C108" s="1274" t="str">
        <f>办公清单!C101</f>
        <v>21层2112号</v>
      </c>
      <c r="D108" s="2951" t="s">
        <v>3295</v>
      </c>
      <c r="E108" s="2983">
        <v>4.24</v>
      </c>
      <c r="F108" s="35"/>
      <c r="G108" s="36">
        <f t="shared" si="7"/>
        <v>80.73</v>
      </c>
      <c r="H108" s="37">
        <f t="shared" si="8"/>
        <v>80.73</v>
      </c>
      <c r="I108" s="2216">
        <f>办公清单!E101</f>
        <v>80.73</v>
      </c>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21"/>
      <c r="AV108" s="1797">
        <f t="shared" si="10"/>
        <v>0</v>
      </c>
      <c r="AW108" s="1797">
        <f t="shared" si="11"/>
        <v>0</v>
      </c>
      <c r="AX108" s="1797" t="str">
        <f t="shared" si="12"/>
        <v>21层2112号</v>
      </c>
      <c r="AY108" s="41">
        <f t="shared" si="13"/>
        <v>4.2300000000000004</v>
      </c>
      <c r="AZ108" s="34">
        <f t="shared" si="14"/>
        <v>80.73</v>
      </c>
      <c r="BA108" s="34">
        <f t="shared" si="15"/>
        <v>80.73</v>
      </c>
      <c r="BB108" s="34">
        <f t="shared" si="16"/>
        <v>80.73</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ht="28.5">
      <c r="A109" s="9"/>
      <c r="B109" s="33"/>
      <c r="C109" s="1274" t="str">
        <f>办公清单!C102</f>
        <v>21层2113号</v>
      </c>
      <c r="D109" s="2951" t="s">
        <v>3295</v>
      </c>
      <c r="E109" s="2983">
        <v>3.47</v>
      </c>
      <c r="F109" s="35"/>
      <c r="G109" s="36">
        <f t="shared" si="7"/>
        <v>66.040000000000006</v>
      </c>
      <c r="H109" s="37">
        <f t="shared" si="8"/>
        <v>66.040000000000006</v>
      </c>
      <c r="I109" s="2216">
        <f>办公清单!E102</f>
        <v>66.040000000000006</v>
      </c>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21"/>
      <c r="AV109" s="1797">
        <f t="shared" si="10"/>
        <v>0</v>
      </c>
      <c r="AW109" s="1797">
        <f t="shared" si="11"/>
        <v>0</v>
      </c>
      <c r="AX109" s="1797" t="str">
        <f t="shared" si="12"/>
        <v>21层2113号</v>
      </c>
      <c r="AY109" s="41">
        <f t="shared" si="13"/>
        <v>3.46</v>
      </c>
      <c r="AZ109" s="34">
        <f t="shared" si="14"/>
        <v>66.040000000000006</v>
      </c>
      <c r="BA109" s="34">
        <f t="shared" si="15"/>
        <v>66.040000000000006</v>
      </c>
      <c r="BB109" s="34">
        <f t="shared" si="16"/>
        <v>66.040000000000006</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ht="28.5">
      <c r="A110" s="9"/>
      <c r="B110" s="9"/>
      <c r="C110" s="1274" t="str">
        <f>办公清单!C103</f>
        <v>21层2114号</v>
      </c>
      <c r="D110" s="2951" t="s">
        <v>3295</v>
      </c>
      <c r="E110" s="2983">
        <v>3.47</v>
      </c>
      <c r="F110" s="43"/>
      <c r="G110" s="36">
        <f t="shared" ref="G110:G141" si="35">H110+AC110+AT110</f>
        <v>66.040000000000006</v>
      </c>
      <c r="H110" s="37">
        <f t="shared" ref="H110:H141" si="36">SUMIF(I$12:AB$12,"总值",I110:AB110)</f>
        <v>66.040000000000006</v>
      </c>
      <c r="I110" s="2216">
        <f>办公清单!E103</f>
        <v>66.040000000000006</v>
      </c>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0"/>
        <v>0</v>
      </c>
      <c r="AW110" s="1797">
        <f t="shared" si="11"/>
        <v>0</v>
      </c>
      <c r="AX110" s="1797" t="str">
        <f t="shared" si="12"/>
        <v>21层2114号</v>
      </c>
      <c r="AY110" s="41">
        <f t="shared" ref="AY110:AY141" si="38">ROUND($AY$6*AZ110/$AZ$5,2)</f>
        <v>3.46</v>
      </c>
      <c r="AZ110" s="34">
        <f t="shared" ref="AZ110:AZ141" si="39">BA110+BL110</f>
        <v>66.040000000000006</v>
      </c>
      <c r="BA110" s="34">
        <f t="shared" ref="BA110:BA141" si="40">SUM(BB110:BK110)</f>
        <v>66.040000000000006</v>
      </c>
      <c r="BB110" s="34">
        <f t="shared" ref="BB110:BB141" si="41">IF($D110="是",I110-J110,0)</f>
        <v>66.040000000000006</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ht="28.5">
      <c r="A111" s="9"/>
      <c r="B111" s="9"/>
      <c r="C111" s="1274" t="str">
        <f>办公清单!C104</f>
        <v>21层2115号</v>
      </c>
      <c r="D111" s="2951" t="s">
        <v>3295</v>
      </c>
      <c r="E111" s="2983">
        <v>4.24</v>
      </c>
      <c r="F111" s="43"/>
      <c r="G111" s="36">
        <f t="shared" si="35"/>
        <v>80.73</v>
      </c>
      <c r="H111" s="37">
        <f t="shared" si="36"/>
        <v>80.73</v>
      </c>
      <c r="I111" s="2216">
        <f>办公清单!E104</f>
        <v>80.73</v>
      </c>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7"/>
      <c r="AV111" s="1797">
        <f t="shared" si="10"/>
        <v>0</v>
      </c>
      <c r="AW111" s="1797">
        <f t="shared" si="11"/>
        <v>0</v>
      </c>
      <c r="AX111" s="1797" t="str">
        <f t="shared" si="12"/>
        <v>21层2115号</v>
      </c>
      <c r="AY111" s="41">
        <f t="shared" si="38"/>
        <v>4.2300000000000004</v>
      </c>
      <c r="AZ111" s="34">
        <f t="shared" si="39"/>
        <v>80.73</v>
      </c>
      <c r="BA111" s="34">
        <f t="shared" si="40"/>
        <v>80.73</v>
      </c>
      <c r="BB111" s="34">
        <f t="shared" si="41"/>
        <v>80.73</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ht="28.5">
      <c r="A112" s="9"/>
      <c r="B112" s="9"/>
      <c r="C112" s="1274" t="str">
        <f>办公清单!C105</f>
        <v>21层2116号</v>
      </c>
      <c r="D112" s="2951" t="s">
        <v>3295</v>
      </c>
      <c r="E112" s="2983">
        <v>2.74</v>
      </c>
      <c r="F112" s="43"/>
      <c r="G112" s="36">
        <f t="shared" si="35"/>
        <v>52.17</v>
      </c>
      <c r="H112" s="37">
        <f t="shared" si="36"/>
        <v>52.17</v>
      </c>
      <c r="I112" s="2216">
        <f>办公清单!E105</f>
        <v>52.17</v>
      </c>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7"/>
      <c r="AV112" s="1797">
        <f t="shared" si="10"/>
        <v>0</v>
      </c>
      <c r="AW112" s="1797">
        <f t="shared" si="11"/>
        <v>0</v>
      </c>
      <c r="AX112" s="1797" t="str">
        <f t="shared" si="12"/>
        <v>21层2116号</v>
      </c>
      <c r="AY112" s="41">
        <f t="shared" si="38"/>
        <v>2.73</v>
      </c>
      <c r="AZ112" s="34">
        <f t="shared" si="39"/>
        <v>52.17</v>
      </c>
      <c r="BA112" s="34">
        <f t="shared" si="40"/>
        <v>52.17</v>
      </c>
      <c r="BB112" s="34">
        <f t="shared" si="41"/>
        <v>52.17</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ht="28.5">
      <c r="A113" s="9"/>
      <c r="B113" s="33"/>
      <c r="C113" s="1274" t="str">
        <f>办公清单!C106</f>
        <v>21层2117号</v>
      </c>
      <c r="D113" s="2951" t="s">
        <v>3295</v>
      </c>
      <c r="E113" s="2983">
        <v>2.74</v>
      </c>
      <c r="F113" s="35"/>
      <c r="G113" s="36">
        <f t="shared" si="35"/>
        <v>52.17</v>
      </c>
      <c r="H113" s="37">
        <f t="shared" si="36"/>
        <v>52.17</v>
      </c>
      <c r="I113" s="2216">
        <f>办公清单!E106</f>
        <v>52.17</v>
      </c>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21"/>
      <c r="AV113" s="1797">
        <f t="shared" ref="AV113:AV144" si="60">A113</f>
        <v>0</v>
      </c>
      <c r="AW113" s="1797">
        <f t="shared" ref="AW113:AW144" si="61">B113</f>
        <v>0</v>
      </c>
      <c r="AX113" s="1797" t="str">
        <f t="shared" ref="AX113:AX144" si="62">C113</f>
        <v>21层2117号</v>
      </c>
      <c r="AY113" s="41">
        <f t="shared" si="38"/>
        <v>2.73</v>
      </c>
      <c r="AZ113" s="34">
        <f t="shared" si="39"/>
        <v>52.17</v>
      </c>
      <c r="BA113" s="34">
        <f t="shared" si="40"/>
        <v>52.17</v>
      </c>
      <c r="BB113" s="34">
        <f t="shared" si="41"/>
        <v>52.17</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ht="28.5">
      <c r="A114" s="9"/>
      <c r="B114" s="33"/>
      <c r="C114" s="1274" t="str">
        <f>办公清单!C107</f>
        <v>21层2118号</v>
      </c>
      <c r="D114" s="2951" t="s">
        <v>3295</v>
      </c>
      <c r="E114" s="2983">
        <v>2.74</v>
      </c>
      <c r="F114" s="35"/>
      <c r="G114" s="36">
        <f t="shared" si="35"/>
        <v>52.17</v>
      </c>
      <c r="H114" s="37">
        <f t="shared" si="36"/>
        <v>52.17</v>
      </c>
      <c r="I114" s="2216">
        <f>办公清单!E107</f>
        <v>52.17</v>
      </c>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21"/>
      <c r="AV114" s="1797">
        <f t="shared" si="60"/>
        <v>0</v>
      </c>
      <c r="AW114" s="1797">
        <f t="shared" si="61"/>
        <v>0</v>
      </c>
      <c r="AX114" s="1797" t="str">
        <f t="shared" si="62"/>
        <v>21层2118号</v>
      </c>
      <c r="AY114" s="41">
        <f t="shared" si="38"/>
        <v>2.73</v>
      </c>
      <c r="AZ114" s="34">
        <f t="shared" si="39"/>
        <v>52.17</v>
      </c>
      <c r="BA114" s="34">
        <f t="shared" si="40"/>
        <v>52.17</v>
      </c>
      <c r="BB114" s="34">
        <f t="shared" si="41"/>
        <v>52.17</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ht="28.5">
      <c r="A115" s="9"/>
      <c r="B115" s="33"/>
      <c r="C115" s="1274" t="str">
        <f>办公清单!C108</f>
        <v>21层2119号</v>
      </c>
      <c r="D115" s="2951" t="s">
        <v>3295</v>
      </c>
      <c r="E115" s="2983">
        <v>2.74</v>
      </c>
      <c r="F115" s="35"/>
      <c r="G115" s="36">
        <f t="shared" si="35"/>
        <v>52.17</v>
      </c>
      <c r="H115" s="37">
        <f t="shared" si="36"/>
        <v>52.17</v>
      </c>
      <c r="I115" s="2216">
        <f>办公清单!E108</f>
        <v>52.17</v>
      </c>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21"/>
      <c r="AV115" s="1797">
        <f t="shared" si="60"/>
        <v>0</v>
      </c>
      <c r="AW115" s="1797">
        <f t="shared" si="61"/>
        <v>0</v>
      </c>
      <c r="AX115" s="1797" t="str">
        <f t="shared" si="62"/>
        <v>21层2119号</v>
      </c>
      <c r="AY115" s="41">
        <f t="shared" si="38"/>
        <v>2.73</v>
      </c>
      <c r="AZ115" s="34">
        <f t="shared" si="39"/>
        <v>52.17</v>
      </c>
      <c r="BA115" s="34">
        <f t="shared" si="40"/>
        <v>52.17</v>
      </c>
      <c r="BB115" s="34">
        <f t="shared" si="41"/>
        <v>52.17</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ht="28.5">
      <c r="A116" s="9"/>
      <c r="B116" s="33"/>
      <c r="C116" s="1274" t="str">
        <f>办公清单!C109</f>
        <v>21层2120号</v>
      </c>
      <c r="D116" s="2951" t="s">
        <v>3295</v>
      </c>
      <c r="E116" s="2983">
        <v>2.74</v>
      </c>
      <c r="F116" s="35"/>
      <c r="G116" s="36">
        <f t="shared" si="35"/>
        <v>52.17</v>
      </c>
      <c r="H116" s="37">
        <f t="shared" si="36"/>
        <v>52.17</v>
      </c>
      <c r="I116" s="2216">
        <f>办公清单!E109</f>
        <v>52.17</v>
      </c>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21"/>
      <c r="AV116" s="1797">
        <f t="shared" si="60"/>
        <v>0</v>
      </c>
      <c r="AW116" s="1797">
        <f t="shared" si="61"/>
        <v>0</v>
      </c>
      <c r="AX116" s="1797" t="str">
        <f t="shared" si="62"/>
        <v>21层2120号</v>
      </c>
      <c r="AY116" s="41">
        <f t="shared" si="38"/>
        <v>2.73</v>
      </c>
      <c r="AZ116" s="34">
        <f t="shared" si="39"/>
        <v>52.17</v>
      </c>
      <c r="BA116" s="34">
        <f t="shared" si="40"/>
        <v>52.17</v>
      </c>
      <c r="BB116" s="34">
        <f t="shared" si="41"/>
        <v>52.17</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ht="28.5">
      <c r="A117" s="9"/>
      <c r="B117" s="33"/>
      <c r="C117" s="1274" t="str">
        <f>办公清单!C110</f>
        <v>21层2121号</v>
      </c>
      <c r="D117" s="2951" t="s">
        <v>3295</v>
      </c>
      <c r="E117" s="2983">
        <v>2.74</v>
      </c>
      <c r="F117" s="35"/>
      <c r="G117" s="36">
        <f t="shared" si="35"/>
        <v>52.17</v>
      </c>
      <c r="H117" s="37">
        <f t="shared" si="36"/>
        <v>52.17</v>
      </c>
      <c r="I117" s="2216">
        <f>办公清单!E110</f>
        <v>52.17</v>
      </c>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21"/>
      <c r="AV117" s="1797">
        <f t="shared" si="60"/>
        <v>0</v>
      </c>
      <c r="AW117" s="1797">
        <f t="shared" si="61"/>
        <v>0</v>
      </c>
      <c r="AX117" s="1797" t="str">
        <f t="shared" si="62"/>
        <v>21层2121号</v>
      </c>
      <c r="AY117" s="41">
        <f t="shared" si="38"/>
        <v>2.73</v>
      </c>
      <c r="AZ117" s="34">
        <f t="shared" si="39"/>
        <v>52.17</v>
      </c>
      <c r="BA117" s="34">
        <f t="shared" si="40"/>
        <v>52.17</v>
      </c>
      <c r="BB117" s="34">
        <f t="shared" si="41"/>
        <v>52.17</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ht="28.5">
      <c r="A118" s="9"/>
      <c r="B118" s="33"/>
      <c r="C118" s="1274" t="str">
        <f>办公清单!C111</f>
        <v>21层2122号</v>
      </c>
      <c r="D118" s="2951" t="s">
        <v>3295</v>
      </c>
      <c r="E118" s="2983">
        <v>2.74</v>
      </c>
      <c r="F118" s="35"/>
      <c r="G118" s="36">
        <f t="shared" si="35"/>
        <v>52.17</v>
      </c>
      <c r="H118" s="37">
        <f t="shared" si="36"/>
        <v>52.17</v>
      </c>
      <c r="I118" s="2216">
        <f>办公清单!E111</f>
        <v>52.17</v>
      </c>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21"/>
      <c r="AV118" s="1797">
        <f t="shared" si="60"/>
        <v>0</v>
      </c>
      <c r="AW118" s="1797">
        <f t="shared" si="61"/>
        <v>0</v>
      </c>
      <c r="AX118" s="1797" t="str">
        <f t="shared" si="62"/>
        <v>21层2122号</v>
      </c>
      <c r="AY118" s="41">
        <f t="shared" si="38"/>
        <v>2.73</v>
      </c>
      <c r="AZ118" s="34">
        <f t="shared" si="39"/>
        <v>52.17</v>
      </c>
      <c r="BA118" s="34">
        <f t="shared" si="40"/>
        <v>52.17</v>
      </c>
      <c r="BB118" s="34">
        <f t="shared" si="41"/>
        <v>52.17</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ht="28.5">
      <c r="A119" s="9"/>
      <c r="B119" s="33"/>
      <c r="C119" s="1274" t="str">
        <f>办公清单!C112</f>
        <v>21层2123号</v>
      </c>
      <c r="D119" s="2951" t="s">
        <v>3295</v>
      </c>
      <c r="E119" s="2983">
        <v>2.74</v>
      </c>
      <c r="F119" s="35"/>
      <c r="G119" s="36">
        <f t="shared" si="35"/>
        <v>52.17</v>
      </c>
      <c r="H119" s="37">
        <f t="shared" si="36"/>
        <v>52.17</v>
      </c>
      <c r="I119" s="2216">
        <f>办公清单!E112</f>
        <v>52.17</v>
      </c>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21"/>
      <c r="AV119" s="1797">
        <f t="shared" si="60"/>
        <v>0</v>
      </c>
      <c r="AW119" s="1797">
        <f t="shared" si="61"/>
        <v>0</v>
      </c>
      <c r="AX119" s="1797" t="str">
        <f t="shared" si="62"/>
        <v>21层2123号</v>
      </c>
      <c r="AY119" s="41">
        <f t="shared" si="38"/>
        <v>2.73</v>
      </c>
      <c r="AZ119" s="34">
        <f t="shared" si="39"/>
        <v>52.17</v>
      </c>
      <c r="BA119" s="34">
        <f t="shared" si="40"/>
        <v>52.17</v>
      </c>
      <c r="BB119" s="34">
        <f t="shared" si="41"/>
        <v>52.17</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ht="28.5">
      <c r="A120" s="9"/>
      <c r="B120" s="33"/>
      <c r="C120" s="1274" t="str">
        <f>办公清单!C113</f>
        <v>21层2124号</v>
      </c>
      <c r="D120" s="2951" t="s">
        <v>3295</v>
      </c>
      <c r="E120" s="2983">
        <v>2.74</v>
      </c>
      <c r="F120" s="35"/>
      <c r="G120" s="36">
        <f t="shared" si="35"/>
        <v>52.17</v>
      </c>
      <c r="H120" s="37">
        <f t="shared" si="36"/>
        <v>52.17</v>
      </c>
      <c r="I120" s="2216">
        <f>办公清单!E113</f>
        <v>52.17</v>
      </c>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21"/>
      <c r="AV120" s="1797">
        <f t="shared" si="60"/>
        <v>0</v>
      </c>
      <c r="AW120" s="1797">
        <f t="shared" si="61"/>
        <v>0</v>
      </c>
      <c r="AX120" s="1797" t="str">
        <f t="shared" si="62"/>
        <v>21层2124号</v>
      </c>
      <c r="AY120" s="41">
        <f t="shared" si="38"/>
        <v>2.73</v>
      </c>
      <c r="AZ120" s="34">
        <f t="shared" si="39"/>
        <v>52.17</v>
      </c>
      <c r="BA120" s="34">
        <f t="shared" si="40"/>
        <v>52.17</v>
      </c>
      <c r="BB120" s="34">
        <f t="shared" si="41"/>
        <v>52.17</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ht="28.5">
      <c r="A121" s="9"/>
      <c r="B121" s="33"/>
      <c r="C121" s="1274" t="str">
        <f>办公清单!C114</f>
        <v>21层2125号</v>
      </c>
      <c r="D121" s="2951" t="s">
        <v>3295</v>
      </c>
      <c r="E121" s="2983">
        <v>2.74</v>
      </c>
      <c r="F121" s="35"/>
      <c r="G121" s="36">
        <f t="shared" si="35"/>
        <v>52.17</v>
      </c>
      <c r="H121" s="37">
        <f t="shared" si="36"/>
        <v>52.17</v>
      </c>
      <c r="I121" s="2216">
        <f>办公清单!E114</f>
        <v>52.17</v>
      </c>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21"/>
      <c r="AV121" s="1797">
        <f t="shared" si="60"/>
        <v>0</v>
      </c>
      <c r="AW121" s="1797">
        <f t="shared" si="61"/>
        <v>0</v>
      </c>
      <c r="AX121" s="1797" t="str">
        <f t="shared" si="62"/>
        <v>21层2125号</v>
      </c>
      <c r="AY121" s="41">
        <f t="shared" si="38"/>
        <v>2.73</v>
      </c>
      <c r="AZ121" s="34">
        <f t="shared" si="39"/>
        <v>52.17</v>
      </c>
      <c r="BA121" s="34">
        <f t="shared" si="40"/>
        <v>52.17</v>
      </c>
      <c r="BB121" s="34">
        <f t="shared" si="41"/>
        <v>52.17</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ht="28.5">
      <c r="A122" s="9"/>
      <c r="B122" s="33"/>
      <c r="C122" s="1274" t="str">
        <f>办公清单!C115</f>
        <v>21层2126号</v>
      </c>
      <c r="D122" s="2951" t="s">
        <v>3295</v>
      </c>
      <c r="E122" s="2983">
        <v>4.24</v>
      </c>
      <c r="F122" s="35"/>
      <c r="G122" s="36">
        <f t="shared" si="35"/>
        <v>80.73</v>
      </c>
      <c r="H122" s="37">
        <f t="shared" si="36"/>
        <v>80.73</v>
      </c>
      <c r="I122" s="2216">
        <f>办公清单!E115</f>
        <v>80.73</v>
      </c>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21"/>
      <c r="AV122" s="1797">
        <f t="shared" si="60"/>
        <v>0</v>
      </c>
      <c r="AW122" s="1797">
        <f t="shared" si="61"/>
        <v>0</v>
      </c>
      <c r="AX122" s="1797" t="str">
        <f t="shared" si="62"/>
        <v>21层2126号</v>
      </c>
      <c r="AY122" s="41">
        <f t="shared" si="38"/>
        <v>4.2300000000000004</v>
      </c>
      <c r="AZ122" s="34">
        <f t="shared" si="39"/>
        <v>80.73</v>
      </c>
      <c r="BA122" s="34">
        <f t="shared" si="40"/>
        <v>80.73</v>
      </c>
      <c r="BB122" s="34">
        <f t="shared" si="41"/>
        <v>80.73</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ht="28.5">
      <c r="A123" s="9"/>
      <c r="B123" s="33"/>
      <c r="C123" s="1274" t="str">
        <f>办公清单!C116</f>
        <v>21层2127号</v>
      </c>
      <c r="D123" s="2951" t="s">
        <v>3295</v>
      </c>
      <c r="E123" s="2983">
        <v>4.8899999999999997</v>
      </c>
      <c r="F123" s="35"/>
      <c r="G123" s="36">
        <f t="shared" si="35"/>
        <v>93.08</v>
      </c>
      <c r="H123" s="37">
        <f t="shared" si="36"/>
        <v>93.08</v>
      </c>
      <c r="I123" s="2216">
        <f>办公清单!E116</f>
        <v>93.08</v>
      </c>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21"/>
      <c r="AV123" s="1797">
        <f t="shared" si="60"/>
        <v>0</v>
      </c>
      <c r="AW123" s="1797">
        <f t="shared" si="61"/>
        <v>0</v>
      </c>
      <c r="AX123" s="1797" t="str">
        <f t="shared" si="62"/>
        <v>21层2127号</v>
      </c>
      <c r="AY123" s="41">
        <f t="shared" si="38"/>
        <v>4.87</v>
      </c>
      <c r="AZ123" s="34">
        <f t="shared" si="39"/>
        <v>93.08</v>
      </c>
      <c r="BA123" s="34">
        <f t="shared" si="40"/>
        <v>93.08</v>
      </c>
      <c r="BB123" s="34">
        <f t="shared" si="41"/>
        <v>93.08</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ht="28.5">
      <c r="A124" s="9"/>
      <c r="B124" s="33"/>
      <c r="C124" s="1274" t="str">
        <f>办公清单!C117</f>
        <v>21层2128号</v>
      </c>
      <c r="D124" s="2951" t="s">
        <v>3295</v>
      </c>
      <c r="E124" s="2983">
        <v>4.8899999999999997</v>
      </c>
      <c r="F124" s="35"/>
      <c r="G124" s="36">
        <f t="shared" si="35"/>
        <v>93.08</v>
      </c>
      <c r="H124" s="37">
        <f t="shared" si="36"/>
        <v>93.08</v>
      </c>
      <c r="I124" s="2216">
        <f>办公清单!E117</f>
        <v>93.08</v>
      </c>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21"/>
      <c r="AV124" s="1797">
        <f t="shared" si="60"/>
        <v>0</v>
      </c>
      <c r="AW124" s="1797">
        <f t="shared" si="61"/>
        <v>0</v>
      </c>
      <c r="AX124" s="1797" t="str">
        <f t="shared" si="62"/>
        <v>21层2128号</v>
      </c>
      <c r="AY124" s="41">
        <f t="shared" si="38"/>
        <v>4.87</v>
      </c>
      <c r="AZ124" s="34">
        <f t="shared" si="39"/>
        <v>93.08</v>
      </c>
      <c r="BA124" s="34">
        <f t="shared" si="40"/>
        <v>93.08</v>
      </c>
      <c r="BB124" s="34">
        <f t="shared" si="41"/>
        <v>93.08</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ht="28.5">
      <c r="A125" s="9"/>
      <c r="B125" s="33"/>
      <c r="C125" s="1274" t="str">
        <f>办公清单!C118</f>
        <v>22层2201号</v>
      </c>
      <c r="D125" s="2951" t="s">
        <v>3295</v>
      </c>
      <c r="E125" s="2983">
        <v>4.24</v>
      </c>
      <c r="F125" s="35"/>
      <c r="G125" s="36">
        <f t="shared" si="35"/>
        <v>80.73</v>
      </c>
      <c r="H125" s="37">
        <f t="shared" si="36"/>
        <v>80.73</v>
      </c>
      <c r="I125" s="2216">
        <f>办公清单!E118</f>
        <v>80.73</v>
      </c>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21"/>
      <c r="AV125" s="1797">
        <f t="shared" si="60"/>
        <v>0</v>
      </c>
      <c r="AW125" s="1797">
        <f t="shared" si="61"/>
        <v>0</v>
      </c>
      <c r="AX125" s="1797" t="str">
        <f t="shared" si="62"/>
        <v>22层2201号</v>
      </c>
      <c r="AY125" s="41">
        <f t="shared" si="38"/>
        <v>4.2300000000000004</v>
      </c>
      <c r="AZ125" s="34">
        <f t="shared" si="39"/>
        <v>80.73</v>
      </c>
      <c r="BA125" s="34">
        <f t="shared" si="40"/>
        <v>80.73</v>
      </c>
      <c r="BB125" s="34">
        <f t="shared" si="41"/>
        <v>80.73</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ht="28.5">
      <c r="A126" s="9"/>
      <c r="B126" s="33"/>
      <c r="C126" s="1274" t="str">
        <f>办公清单!C119</f>
        <v>22层2202号</v>
      </c>
      <c r="D126" s="2951" t="s">
        <v>3295</v>
      </c>
      <c r="E126" s="2983">
        <v>2.74</v>
      </c>
      <c r="F126" s="35"/>
      <c r="G126" s="36">
        <f t="shared" si="35"/>
        <v>52.17</v>
      </c>
      <c r="H126" s="37">
        <f t="shared" si="36"/>
        <v>52.17</v>
      </c>
      <c r="I126" s="2216">
        <f>办公清单!E119</f>
        <v>52.17</v>
      </c>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21"/>
      <c r="AV126" s="1797">
        <f t="shared" si="60"/>
        <v>0</v>
      </c>
      <c r="AW126" s="1797">
        <f t="shared" si="61"/>
        <v>0</v>
      </c>
      <c r="AX126" s="1797" t="str">
        <f t="shared" si="62"/>
        <v>22层2202号</v>
      </c>
      <c r="AY126" s="41">
        <f t="shared" si="38"/>
        <v>2.73</v>
      </c>
      <c r="AZ126" s="34">
        <f t="shared" si="39"/>
        <v>52.17</v>
      </c>
      <c r="BA126" s="34">
        <f t="shared" si="40"/>
        <v>52.17</v>
      </c>
      <c r="BB126" s="34">
        <f t="shared" si="41"/>
        <v>52.17</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ht="28.5">
      <c r="A127" s="9"/>
      <c r="B127" s="33"/>
      <c r="C127" s="1274" t="str">
        <f>办公清单!C120</f>
        <v>22层2203号</v>
      </c>
      <c r="D127" s="2951" t="s">
        <v>3295</v>
      </c>
      <c r="E127" s="2983">
        <v>2.74</v>
      </c>
      <c r="F127" s="35"/>
      <c r="G127" s="36">
        <f t="shared" si="35"/>
        <v>52.17</v>
      </c>
      <c r="H127" s="37">
        <f t="shared" si="36"/>
        <v>52.17</v>
      </c>
      <c r="I127" s="2216">
        <f>办公清单!E120</f>
        <v>52.17</v>
      </c>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21"/>
      <c r="AV127" s="1797">
        <f t="shared" si="60"/>
        <v>0</v>
      </c>
      <c r="AW127" s="1797">
        <f t="shared" si="61"/>
        <v>0</v>
      </c>
      <c r="AX127" s="1797" t="str">
        <f t="shared" si="62"/>
        <v>22层2203号</v>
      </c>
      <c r="AY127" s="41">
        <f t="shared" si="38"/>
        <v>2.73</v>
      </c>
      <c r="AZ127" s="34">
        <f t="shared" si="39"/>
        <v>52.17</v>
      </c>
      <c r="BA127" s="34">
        <f t="shared" si="40"/>
        <v>52.17</v>
      </c>
      <c r="BB127" s="34">
        <f t="shared" si="41"/>
        <v>52.17</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ht="28.5">
      <c r="A128" s="9"/>
      <c r="B128" s="33"/>
      <c r="C128" s="1274" t="str">
        <f>办公清单!C121</f>
        <v>22层2204号</v>
      </c>
      <c r="D128" s="2951" t="s">
        <v>3295</v>
      </c>
      <c r="E128" s="2983">
        <v>2.74</v>
      </c>
      <c r="F128" s="35"/>
      <c r="G128" s="36">
        <f t="shared" si="35"/>
        <v>52.17</v>
      </c>
      <c r="H128" s="37">
        <f t="shared" si="36"/>
        <v>52.17</v>
      </c>
      <c r="I128" s="2216">
        <f>办公清单!E121</f>
        <v>52.17</v>
      </c>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21"/>
      <c r="AV128" s="1797">
        <f t="shared" si="60"/>
        <v>0</v>
      </c>
      <c r="AW128" s="1797">
        <f t="shared" si="61"/>
        <v>0</v>
      </c>
      <c r="AX128" s="1797" t="str">
        <f t="shared" si="62"/>
        <v>22层2204号</v>
      </c>
      <c r="AY128" s="41">
        <f t="shared" si="38"/>
        <v>2.73</v>
      </c>
      <c r="AZ128" s="34">
        <f t="shared" si="39"/>
        <v>52.17</v>
      </c>
      <c r="BA128" s="34">
        <f t="shared" si="40"/>
        <v>52.17</v>
      </c>
      <c r="BB128" s="34">
        <f t="shared" si="41"/>
        <v>52.17</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ht="28.5">
      <c r="A129" s="9"/>
      <c r="B129" s="33"/>
      <c r="C129" s="1274" t="str">
        <f>办公清单!C122</f>
        <v>22层2205号</v>
      </c>
      <c r="D129" s="2951" t="s">
        <v>3295</v>
      </c>
      <c r="E129" s="2983">
        <v>2.74</v>
      </c>
      <c r="F129" s="35"/>
      <c r="G129" s="36">
        <f t="shared" si="35"/>
        <v>52.17</v>
      </c>
      <c r="H129" s="37">
        <f t="shared" si="36"/>
        <v>52.17</v>
      </c>
      <c r="I129" s="2216">
        <f>办公清单!E122</f>
        <v>52.17</v>
      </c>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21"/>
      <c r="AV129" s="1797">
        <f t="shared" si="60"/>
        <v>0</v>
      </c>
      <c r="AW129" s="1797">
        <f t="shared" si="61"/>
        <v>0</v>
      </c>
      <c r="AX129" s="1797" t="str">
        <f t="shared" si="62"/>
        <v>22层2205号</v>
      </c>
      <c r="AY129" s="41">
        <f t="shared" si="38"/>
        <v>2.73</v>
      </c>
      <c r="AZ129" s="34">
        <f t="shared" si="39"/>
        <v>52.17</v>
      </c>
      <c r="BA129" s="34">
        <f t="shared" si="40"/>
        <v>52.17</v>
      </c>
      <c r="BB129" s="34">
        <f t="shared" si="41"/>
        <v>52.17</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ht="28.5">
      <c r="A130" s="9"/>
      <c r="B130" s="33"/>
      <c r="C130" s="1274" t="str">
        <f>办公清单!C123</f>
        <v>22层2206号</v>
      </c>
      <c r="D130" s="2951" t="s">
        <v>3295</v>
      </c>
      <c r="E130" s="2983">
        <v>2.74</v>
      </c>
      <c r="F130" s="35"/>
      <c r="G130" s="36">
        <f t="shared" si="35"/>
        <v>52.17</v>
      </c>
      <c r="H130" s="37">
        <f t="shared" si="36"/>
        <v>52.17</v>
      </c>
      <c r="I130" s="2216">
        <f>办公清单!E123</f>
        <v>52.17</v>
      </c>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21"/>
      <c r="AV130" s="1797">
        <f t="shared" si="60"/>
        <v>0</v>
      </c>
      <c r="AW130" s="1797">
        <f t="shared" si="61"/>
        <v>0</v>
      </c>
      <c r="AX130" s="1797" t="str">
        <f t="shared" si="62"/>
        <v>22层2206号</v>
      </c>
      <c r="AY130" s="41">
        <f t="shared" si="38"/>
        <v>2.73</v>
      </c>
      <c r="AZ130" s="34">
        <f t="shared" si="39"/>
        <v>52.17</v>
      </c>
      <c r="BA130" s="34">
        <f t="shared" si="40"/>
        <v>52.17</v>
      </c>
      <c r="BB130" s="34">
        <f t="shared" si="41"/>
        <v>52.17</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ht="28.5">
      <c r="A131" s="9"/>
      <c r="B131" s="33"/>
      <c r="C131" s="1274" t="str">
        <f>办公清单!C124</f>
        <v>22层2207号</v>
      </c>
      <c r="D131" s="2951" t="s">
        <v>3295</v>
      </c>
      <c r="E131" s="2983">
        <v>2.74</v>
      </c>
      <c r="F131" s="35"/>
      <c r="G131" s="36">
        <f t="shared" si="35"/>
        <v>52.17</v>
      </c>
      <c r="H131" s="37">
        <f t="shared" si="36"/>
        <v>52.17</v>
      </c>
      <c r="I131" s="2216">
        <f>办公清单!E124</f>
        <v>52.17</v>
      </c>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21"/>
      <c r="AV131" s="1797">
        <f t="shared" si="60"/>
        <v>0</v>
      </c>
      <c r="AW131" s="1797">
        <f t="shared" si="61"/>
        <v>0</v>
      </c>
      <c r="AX131" s="1797" t="str">
        <f t="shared" si="62"/>
        <v>22层2207号</v>
      </c>
      <c r="AY131" s="41">
        <f t="shared" si="38"/>
        <v>2.73</v>
      </c>
      <c r="AZ131" s="34">
        <f t="shared" si="39"/>
        <v>52.17</v>
      </c>
      <c r="BA131" s="34">
        <f t="shared" si="40"/>
        <v>52.17</v>
      </c>
      <c r="BB131" s="34">
        <f t="shared" si="41"/>
        <v>52.17</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ht="28.5">
      <c r="A132" s="9"/>
      <c r="B132" s="33"/>
      <c r="C132" s="1274" t="str">
        <f>办公清单!C125</f>
        <v>22层2208号</v>
      </c>
      <c r="D132" s="2951" t="s">
        <v>3295</v>
      </c>
      <c r="E132" s="2983">
        <v>2.74</v>
      </c>
      <c r="F132" s="35"/>
      <c r="G132" s="36">
        <f t="shared" si="35"/>
        <v>52.17</v>
      </c>
      <c r="H132" s="37">
        <f t="shared" si="36"/>
        <v>52.17</v>
      </c>
      <c r="I132" s="2216">
        <f>办公清单!E125</f>
        <v>52.17</v>
      </c>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21"/>
      <c r="AV132" s="1797">
        <f t="shared" si="60"/>
        <v>0</v>
      </c>
      <c r="AW132" s="1797">
        <f t="shared" si="61"/>
        <v>0</v>
      </c>
      <c r="AX132" s="1797" t="str">
        <f t="shared" si="62"/>
        <v>22层2208号</v>
      </c>
      <c r="AY132" s="41">
        <f t="shared" si="38"/>
        <v>2.73</v>
      </c>
      <c r="AZ132" s="34">
        <f t="shared" si="39"/>
        <v>52.17</v>
      </c>
      <c r="BA132" s="34">
        <f t="shared" si="40"/>
        <v>52.17</v>
      </c>
      <c r="BB132" s="34">
        <f t="shared" si="41"/>
        <v>52.17</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ht="28.5">
      <c r="A133" s="9"/>
      <c r="B133" s="33"/>
      <c r="C133" s="1274" t="str">
        <f>办公清单!C126</f>
        <v>22层2209号</v>
      </c>
      <c r="D133" s="2951" t="s">
        <v>3295</v>
      </c>
      <c r="E133" s="2983">
        <v>2.74</v>
      </c>
      <c r="F133" s="35"/>
      <c r="G133" s="36">
        <f t="shared" si="35"/>
        <v>52.17</v>
      </c>
      <c r="H133" s="37">
        <f t="shared" si="36"/>
        <v>52.17</v>
      </c>
      <c r="I133" s="2216">
        <f>办公清单!E126</f>
        <v>52.17</v>
      </c>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21"/>
      <c r="AV133" s="1797">
        <f t="shared" si="60"/>
        <v>0</v>
      </c>
      <c r="AW133" s="1797">
        <f t="shared" si="61"/>
        <v>0</v>
      </c>
      <c r="AX133" s="1797" t="str">
        <f t="shared" si="62"/>
        <v>22层2209号</v>
      </c>
      <c r="AY133" s="41">
        <f t="shared" si="38"/>
        <v>2.73</v>
      </c>
      <c r="AZ133" s="34">
        <f t="shared" si="39"/>
        <v>52.17</v>
      </c>
      <c r="BA133" s="34">
        <f t="shared" si="40"/>
        <v>52.17</v>
      </c>
      <c r="BB133" s="34">
        <f t="shared" si="41"/>
        <v>52.17</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ht="28.5">
      <c r="A134" s="9"/>
      <c r="B134" s="33"/>
      <c r="C134" s="1274" t="str">
        <f>办公清单!C127</f>
        <v>22层2210号</v>
      </c>
      <c r="D134" s="2951" t="s">
        <v>3295</v>
      </c>
      <c r="E134" s="2983">
        <v>2.74</v>
      </c>
      <c r="F134" s="35"/>
      <c r="G134" s="36">
        <f t="shared" si="35"/>
        <v>52.17</v>
      </c>
      <c r="H134" s="37">
        <f t="shared" si="36"/>
        <v>52.17</v>
      </c>
      <c r="I134" s="2216">
        <f>办公清单!E127</f>
        <v>52.17</v>
      </c>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21"/>
      <c r="AV134" s="1797">
        <f t="shared" si="60"/>
        <v>0</v>
      </c>
      <c r="AW134" s="1797">
        <f t="shared" si="61"/>
        <v>0</v>
      </c>
      <c r="AX134" s="1797" t="str">
        <f t="shared" si="62"/>
        <v>22层2210号</v>
      </c>
      <c r="AY134" s="41">
        <f t="shared" si="38"/>
        <v>2.73</v>
      </c>
      <c r="AZ134" s="34">
        <f t="shared" si="39"/>
        <v>52.17</v>
      </c>
      <c r="BA134" s="34">
        <f t="shared" si="40"/>
        <v>52.17</v>
      </c>
      <c r="BB134" s="34">
        <f t="shared" si="41"/>
        <v>52.17</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ht="28.5">
      <c r="A135" s="9"/>
      <c r="B135" s="33"/>
      <c r="C135" s="1274" t="str">
        <f>办公清单!C128</f>
        <v>22层2211号</v>
      </c>
      <c r="D135" s="2951" t="s">
        <v>3295</v>
      </c>
      <c r="E135" s="2983">
        <v>2.74</v>
      </c>
      <c r="F135" s="35"/>
      <c r="G135" s="36">
        <f t="shared" si="35"/>
        <v>52.17</v>
      </c>
      <c r="H135" s="37">
        <f t="shared" si="36"/>
        <v>52.17</v>
      </c>
      <c r="I135" s="2216">
        <f>办公清单!E128</f>
        <v>52.17</v>
      </c>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21"/>
      <c r="AV135" s="1797">
        <f t="shared" si="60"/>
        <v>0</v>
      </c>
      <c r="AW135" s="1797">
        <f t="shared" si="61"/>
        <v>0</v>
      </c>
      <c r="AX135" s="1797" t="str">
        <f t="shared" si="62"/>
        <v>22层2211号</v>
      </c>
      <c r="AY135" s="41">
        <f t="shared" si="38"/>
        <v>2.73</v>
      </c>
      <c r="AZ135" s="34">
        <f t="shared" si="39"/>
        <v>52.17</v>
      </c>
      <c r="BA135" s="34">
        <f t="shared" si="40"/>
        <v>52.17</v>
      </c>
      <c r="BB135" s="34">
        <f t="shared" si="41"/>
        <v>52.17</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ht="28.5">
      <c r="A136" s="9"/>
      <c r="B136" s="33"/>
      <c r="C136" s="1274" t="str">
        <f>办公清单!C129</f>
        <v>22层2212号</v>
      </c>
      <c r="D136" s="2951" t="s">
        <v>3295</v>
      </c>
      <c r="E136" s="2983">
        <v>4.24</v>
      </c>
      <c r="F136" s="35"/>
      <c r="G136" s="36">
        <f t="shared" si="35"/>
        <v>80.73</v>
      </c>
      <c r="H136" s="37">
        <f t="shared" si="36"/>
        <v>80.73</v>
      </c>
      <c r="I136" s="2216">
        <f>办公清单!E129</f>
        <v>80.73</v>
      </c>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21"/>
      <c r="AV136" s="1797">
        <f t="shared" si="60"/>
        <v>0</v>
      </c>
      <c r="AW136" s="1797">
        <f t="shared" si="61"/>
        <v>0</v>
      </c>
      <c r="AX136" s="1797" t="str">
        <f t="shared" si="62"/>
        <v>22层2212号</v>
      </c>
      <c r="AY136" s="41">
        <f t="shared" si="38"/>
        <v>4.2300000000000004</v>
      </c>
      <c r="AZ136" s="34">
        <f t="shared" si="39"/>
        <v>80.73</v>
      </c>
      <c r="BA136" s="34">
        <f t="shared" si="40"/>
        <v>80.73</v>
      </c>
      <c r="BB136" s="34">
        <f t="shared" si="41"/>
        <v>80.73</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ht="28.5">
      <c r="A137" s="9"/>
      <c r="B137" s="33"/>
      <c r="C137" s="1274" t="str">
        <f>办公清单!C130</f>
        <v>22层2213号</v>
      </c>
      <c r="D137" s="2951" t="s">
        <v>3295</v>
      </c>
      <c r="E137" s="2983">
        <v>3.54</v>
      </c>
      <c r="F137" s="35"/>
      <c r="G137" s="36">
        <f t="shared" si="35"/>
        <v>67.36</v>
      </c>
      <c r="H137" s="37">
        <f t="shared" si="36"/>
        <v>67.36</v>
      </c>
      <c r="I137" s="2216">
        <f>办公清单!E130</f>
        <v>67.36</v>
      </c>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21"/>
      <c r="AV137" s="1797">
        <f t="shared" si="60"/>
        <v>0</v>
      </c>
      <c r="AW137" s="1797">
        <f t="shared" si="61"/>
        <v>0</v>
      </c>
      <c r="AX137" s="1797" t="str">
        <f t="shared" si="62"/>
        <v>22层2213号</v>
      </c>
      <c r="AY137" s="41">
        <f t="shared" si="38"/>
        <v>3.53</v>
      </c>
      <c r="AZ137" s="34">
        <f t="shared" si="39"/>
        <v>67.36</v>
      </c>
      <c r="BA137" s="34">
        <f t="shared" si="40"/>
        <v>67.36</v>
      </c>
      <c r="BB137" s="34">
        <f t="shared" si="41"/>
        <v>67.36</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ht="28.5">
      <c r="A138" s="9"/>
      <c r="B138" s="33"/>
      <c r="C138" s="1274" t="str">
        <f>办公清单!C131</f>
        <v>22层2214号</v>
      </c>
      <c r="D138" s="2951" t="s">
        <v>3295</v>
      </c>
      <c r="E138" s="2983">
        <v>3.54</v>
      </c>
      <c r="F138" s="35"/>
      <c r="G138" s="36">
        <f t="shared" si="35"/>
        <v>67.36</v>
      </c>
      <c r="H138" s="37">
        <f t="shared" si="36"/>
        <v>67.36</v>
      </c>
      <c r="I138" s="2216">
        <f>办公清单!E131</f>
        <v>67.36</v>
      </c>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21"/>
      <c r="AV138" s="1797">
        <f t="shared" si="60"/>
        <v>0</v>
      </c>
      <c r="AW138" s="1797">
        <f t="shared" si="61"/>
        <v>0</v>
      </c>
      <c r="AX138" s="1797" t="str">
        <f t="shared" si="62"/>
        <v>22层2214号</v>
      </c>
      <c r="AY138" s="41">
        <f t="shared" si="38"/>
        <v>3.53</v>
      </c>
      <c r="AZ138" s="34">
        <f t="shared" si="39"/>
        <v>67.36</v>
      </c>
      <c r="BA138" s="34">
        <f t="shared" si="40"/>
        <v>67.36</v>
      </c>
      <c r="BB138" s="34">
        <f t="shared" si="41"/>
        <v>67.36</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ht="28.5">
      <c r="A139" s="9"/>
      <c r="B139" s="33"/>
      <c r="C139" s="1274" t="str">
        <f>办公清单!C132</f>
        <v>22层2215号</v>
      </c>
      <c r="D139" s="2951" t="s">
        <v>3295</v>
      </c>
      <c r="E139" s="2983">
        <v>4.24</v>
      </c>
      <c r="F139" s="35"/>
      <c r="G139" s="36">
        <f t="shared" si="35"/>
        <v>80.73</v>
      </c>
      <c r="H139" s="37">
        <f t="shared" si="36"/>
        <v>80.73</v>
      </c>
      <c r="I139" s="2216">
        <f>办公清单!E132</f>
        <v>80.73</v>
      </c>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21"/>
      <c r="AV139" s="1797">
        <f t="shared" si="60"/>
        <v>0</v>
      </c>
      <c r="AW139" s="1797">
        <f t="shared" si="61"/>
        <v>0</v>
      </c>
      <c r="AX139" s="1797" t="str">
        <f t="shared" si="62"/>
        <v>22层2215号</v>
      </c>
      <c r="AY139" s="41">
        <f t="shared" si="38"/>
        <v>4.2300000000000004</v>
      </c>
      <c r="AZ139" s="34">
        <f t="shared" si="39"/>
        <v>80.73</v>
      </c>
      <c r="BA139" s="34">
        <f t="shared" si="40"/>
        <v>80.73</v>
      </c>
      <c r="BB139" s="34">
        <f t="shared" si="41"/>
        <v>80.73</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ht="28.5">
      <c r="A140" s="9"/>
      <c r="B140" s="33"/>
      <c r="C140" s="1274" t="str">
        <f>办公清单!C133</f>
        <v>22层2216号</v>
      </c>
      <c r="D140" s="2951" t="s">
        <v>3295</v>
      </c>
      <c r="E140" s="2983">
        <v>2.74</v>
      </c>
      <c r="F140" s="35"/>
      <c r="G140" s="36">
        <f t="shared" si="35"/>
        <v>52.17</v>
      </c>
      <c r="H140" s="37">
        <f t="shared" si="36"/>
        <v>52.17</v>
      </c>
      <c r="I140" s="2216">
        <f>办公清单!E133</f>
        <v>52.17</v>
      </c>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21"/>
      <c r="AV140" s="1797">
        <f t="shared" si="60"/>
        <v>0</v>
      </c>
      <c r="AW140" s="1797">
        <f t="shared" si="61"/>
        <v>0</v>
      </c>
      <c r="AX140" s="1797" t="str">
        <f t="shared" si="62"/>
        <v>22层2216号</v>
      </c>
      <c r="AY140" s="41">
        <f t="shared" si="38"/>
        <v>2.73</v>
      </c>
      <c r="AZ140" s="34">
        <f t="shared" si="39"/>
        <v>52.17</v>
      </c>
      <c r="BA140" s="34">
        <f t="shared" si="40"/>
        <v>52.17</v>
      </c>
      <c r="BB140" s="34">
        <f t="shared" si="41"/>
        <v>52.17</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ht="28.5">
      <c r="A141" s="9"/>
      <c r="B141" s="33"/>
      <c r="C141" s="1274" t="str">
        <f>办公清单!C134</f>
        <v>22层2218号</v>
      </c>
      <c r="D141" s="2951" t="s">
        <v>3295</v>
      </c>
      <c r="E141" s="2983">
        <v>2.74</v>
      </c>
      <c r="F141" s="35"/>
      <c r="G141" s="36">
        <f t="shared" si="35"/>
        <v>52.17</v>
      </c>
      <c r="H141" s="37">
        <f t="shared" si="36"/>
        <v>52.17</v>
      </c>
      <c r="I141" s="2216">
        <f>办公清单!E134</f>
        <v>52.17</v>
      </c>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21"/>
      <c r="AV141" s="1797">
        <f t="shared" si="60"/>
        <v>0</v>
      </c>
      <c r="AW141" s="1797">
        <f t="shared" si="61"/>
        <v>0</v>
      </c>
      <c r="AX141" s="1797" t="str">
        <f t="shared" si="62"/>
        <v>22层2218号</v>
      </c>
      <c r="AY141" s="41">
        <f t="shared" si="38"/>
        <v>2.73</v>
      </c>
      <c r="AZ141" s="34">
        <f t="shared" si="39"/>
        <v>52.17</v>
      </c>
      <c r="BA141" s="34">
        <f t="shared" si="40"/>
        <v>52.17</v>
      </c>
      <c r="BB141" s="34">
        <f t="shared" si="41"/>
        <v>52.17</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ht="28.5">
      <c r="A142" s="9"/>
      <c r="B142" s="33"/>
      <c r="C142" s="1274" t="str">
        <f>办公清单!C135</f>
        <v>22层2219号</v>
      </c>
      <c r="D142" s="2951" t="s">
        <v>3295</v>
      </c>
      <c r="E142" s="2983">
        <v>2.74</v>
      </c>
      <c r="F142" s="35"/>
      <c r="G142" s="36">
        <f t="shared" ref="G142:G173" si="63">H142+AC142+AT142</f>
        <v>52.17</v>
      </c>
      <c r="H142" s="37">
        <f t="shared" ref="H142:H173" si="64">SUMIF(I$12:AB$12,"总值",I142:AB142)</f>
        <v>52.17</v>
      </c>
      <c r="I142" s="2216">
        <f>办公清单!E135</f>
        <v>52.17</v>
      </c>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21"/>
      <c r="AV142" s="1797">
        <f t="shared" si="60"/>
        <v>0</v>
      </c>
      <c r="AW142" s="1797">
        <f t="shared" si="61"/>
        <v>0</v>
      </c>
      <c r="AX142" s="1797" t="str">
        <f t="shared" si="62"/>
        <v>22层2219号</v>
      </c>
      <c r="AY142" s="41">
        <f t="shared" ref="AY142:AY173" si="66">ROUND($AY$6*AZ142/$AZ$5,2)</f>
        <v>2.73</v>
      </c>
      <c r="AZ142" s="34">
        <f t="shared" ref="AZ142:AZ173" si="67">BA142+BL142</f>
        <v>52.17</v>
      </c>
      <c r="BA142" s="34">
        <f t="shared" ref="BA142:BA173" si="68">SUM(BB142:BK142)</f>
        <v>52.17</v>
      </c>
      <c r="BB142" s="34">
        <f t="shared" ref="BB142:BB173" si="69">IF($D142="是",I142-J142,0)</f>
        <v>52.17</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ht="28.5">
      <c r="A143" s="9"/>
      <c r="B143" s="33"/>
      <c r="C143" s="1274" t="str">
        <f>办公清单!C136</f>
        <v>22层2220号</v>
      </c>
      <c r="D143" s="2951" t="s">
        <v>3295</v>
      </c>
      <c r="E143" s="2983">
        <v>2.74</v>
      </c>
      <c r="F143" s="35"/>
      <c r="G143" s="36">
        <f t="shared" si="63"/>
        <v>52.17</v>
      </c>
      <c r="H143" s="37">
        <f t="shared" si="64"/>
        <v>52.17</v>
      </c>
      <c r="I143" s="2216">
        <f>办公清单!E136</f>
        <v>52.17</v>
      </c>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21"/>
      <c r="AV143" s="1797">
        <f t="shared" si="60"/>
        <v>0</v>
      </c>
      <c r="AW143" s="1797">
        <f t="shared" si="61"/>
        <v>0</v>
      </c>
      <c r="AX143" s="1797" t="str">
        <f t="shared" si="62"/>
        <v>22层2220号</v>
      </c>
      <c r="AY143" s="41">
        <f t="shared" si="66"/>
        <v>2.73</v>
      </c>
      <c r="AZ143" s="34">
        <f t="shared" si="67"/>
        <v>52.17</v>
      </c>
      <c r="BA143" s="34">
        <f t="shared" si="68"/>
        <v>52.17</v>
      </c>
      <c r="BB143" s="34">
        <f t="shared" si="69"/>
        <v>52.17</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ht="28.5">
      <c r="A144" s="9"/>
      <c r="B144" s="33"/>
      <c r="C144" s="1274" t="str">
        <f>办公清单!C137</f>
        <v>22层2221号</v>
      </c>
      <c r="D144" s="2951" t="s">
        <v>3295</v>
      </c>
      <c r="E144" s="2983">
        <v>2.74</v>
      </c>
      <c r="F144" s="35"/>
      <c r="G144" s="36">
        <f t="shared" si="63"/>
        <v>52.17</v>
      </c>
      <c r="H144" s="37">
        <f t="shared" si="64"/>
        <v>52.17</v>
      </c>
      <c r="I144" s="2216">
        <f>办公清单!E137</f>
        <v>52.17</v>
      </c>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21"/>
      <c r="AV144" s="1797">
        <f t="shared" si="60"/>
        <v>0</v>
      </c>
      <c r="AW144" s="1797">
        <f t="shared" si="61"/>
        <v>0</v>
      </c>
      <c r="AX144" s="1797" t="str">
        <f t="shared" si="62"/>
        <v>22层2221号</v>
      </c>
      <c r="AY144" s="41">
        <f t="shared" si="66"/>
        <v>2.73</v>
      </c>
      <c r="AZ144" s="34">
        <f t="shared" si="67"/>
        <v>52.17</v>
      </c>
      <c r="BA144" s="34">
        <f t="shared" si="68"/>
        <v>52.17</v>
      </c>
      <c r="BB144" s="34">
        <f t="shared" si="69"/>
        <v>52.17</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ht="28.5">
      <c r="A145" s="9"/>
      <c r="B145" s="33"/>
      <c r="C145" s="1274" t="str">
        <f>办公清单!C138</f>
        <v>22层2222号</v>
      </c>
      <c r="D145" s="2951" t="s">
        <v>3295</v>
      </c>
      <c r="E145" s="2983">
        <v>2.74</v>
      </c>
      <c r="F145" s="35"/>
      <c r="G145" s="36">
        <f t="shared" si="63"/>
        <v>52.17</v>
      </c>
      <c r="H145" s="37">
        <f t="shared" si="64"/>
        <v>52.17</v>
      </c>
      <c r="I145" s="2216">
        <f>办公清单!E138</f>
        <v>52.17</v>
      </c>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21"/>
      <c r="AV145" s="1797">
        <f t="shared" ref="AV145:AV176" si="88">A145</f>
        <v>0</v>
      </c>
      <c r="AW145" s="1797">
        <f t="shared" ref="AW145:AW176" si="89">B145</f>
        <v>0</v>
      </c>
      <c r="AX145" s="1797" t="str">
        <f t="shared" ref="AX145:AX176" si="90">C145</f>
        <v>22层2222号</v>
      </c>
      <c r="AY145" s="41">
        <f t="shared" si="66"/>
        <v>2.73</v>
      </c>
      <c r="AZ145" s="34">
        <f t="shared" si="67"/>
        <v>52.17</v>
      </c>
      <c r="BA145" s="34">
        <f t="shared" si="68"/>
        <v>52.17</v>
      </c>
      <c r="BB145" s="34">
        <f t="shared" si="69"/>
        <v>52.17</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ht="28.5">
      <c r="A146" s="9"/>
      <c r="B146" s="33"/>
      <c r="C146" s="1274" t="str">
        <f>办公清单!C139</f>
        <v>22层2223号</v>
      </c>
      <c r="D146" s="2951" t="s">
        <v>3295</v>
      </c>
      <c r="E146" s="2983">
        <v>2.74</v>
      </c>
      <c r="F146" s="35"/>
      <c r="G146" s="36">
        <f t="shared" si="63"/>
        <v>52.17</v>
      </c>
      <c r="H146" s="37">
        <f t="shared" si="64"/>
        <v>52.17</v>
      </c>
      <c r="I146" s="2216">
        <f>办公清单!E139</f>
        <v>52.17</v>
      </c>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21"/>
      <c r="AV146" s="1797">
        <f t="shared" si="88"/>
        <v>0</v>
      </c>
      <c r="AW146" s="1797">
        <f t="shared" si="89"/>
        <v>0</v>
      </c>
      <c r="AX146" s="1797" t="str">
        <f t="shared" si="90"/>
        <v>22层2223号</v>
      </c>
      <c r="AY146" s="41">
        <f t="shared" si="66"/>
        <v>2.73</v>
      </c>
      <c r="AZ146" s="34">
        <f t="shared" si="67"/>
        <v>52.17</v>
      </c>
      <c r="BA146" s="34">
        <f t="shared" si="68"/>
        <v>52.17</v>
      </c>
      <c r="BB146" s="34">
        <f t="shared" si="69"/>
        <v>52.17</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ht="28.5">
      <c r="A147" s="9"/>
      <c r="B147" s="33"/>
      <c r="C147" s="1274" t="str">
        <f>办公清单!C140</f>
        <v>22层2224号</v>
      </c>
      <c r="D147" s="2951" t="s">
        <v>3295</v>
      </c>
      <c r="E147" s="2983">
        <v>2.74</v>
      </c>
      <c r="F147" s="35"/>
      <c r="G147" s="36">
        <f t="shared" si="63"/>
        <v>52.17</v>
      </c>
      <c r="H147" s="37">
        <f t="shared" si="64"/>
        <v>52.17</v>
      </c>
      <c r="I147" s="2216">
        <f>办公清单!E140</f>
        <v>52.17</v>
      </c>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21"/>
      <c r="AV147" s="1797">
        <f t="shared" si="88"/>
        <v>0</v>
      </c>
      <c r="AW147" s="1797">
        <f t="shared" si="89"/>
        <v>0</v>
      </c>
      <c r="AX147" s="1797" t="str">
        <f t="shared" si="90"/>
        <v>22层2224号</v>
      </c>
      <c r="AY147" s="41">
        <f t="shared" si="66"/>
        <v>2.73</v>
      </c>
      <c r="AZ147" s="34">
        <f t="shared" si="67"/>
        <v>52.17</v>
      </c>
      <c r="BA147" s="34">
        <f t="shared" si="68"/>
        <v>52.17</v>
      </c>
      <c r="BB147" s="34">
        <f t="shared" si="69"/>
        <v>52.17</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ht="28.5">
      <c r="A148" s="9"/>
      <c r="B148" s="33"/>
      <c r="C148" s="1274" t="str">
        <f>办公清单!C141</f>
        <v>22层2225号</v>
      </c>
      <c r="D148" s="2951" t="s">
        <v>3295</v>
      </c>
      <c r="E148" s="2983">
        <v>2.74</v>
      </c>
      <c r="F148" s="35"/>
      <c r="G148" s="36">
        <f t="shared" si="63"/>
        <v>52.17</v>
      </c>
      <c r="H148" s="37">
        <f t="shared" si="64"/>
        <v>52.17</v>
      </c>
      <c r="I148" s="2216">
        <f>办公清单!E141</f>
        <v>52.17</v>
      </c>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21"/>
      <c r="AV148" s="1797">
        <f t="shared" si="88"/>
        <v>0</v>
      </c>
      <c r="AW148" s="1797">
        <f t="shared" si="89"/>
        <v>0</v>
      </c>
      <c r="AX148" s="1797" t="str">
        <f t="shared" si="90"/>
        <v>22层2225号</v>
      </c>
      <c r="AY148" s="41">
        <f t="shared" si="66"/>
        <v>2.73</v>
      </c>
      <c r="AZ148" s="34">
        <f t="shared" si="67"/>
        <v>52.17</v>
      </c>
      <c r="BA148" s="34">
        <f t="shared" si="68"/>
        <v>52.17</v>
      </c>
      <c r="BB148" s="34">
        <f t="shared" si="69"/>
        <v>52.17</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ht="28.5">
      <c r="A149" s="9"/>
      <c r="B149" s="33"/>
      <c r="C149" s="1274" t="str">
        <f>办公清单!C142</f>
        <v>22层2226号</v>
      </c>
      <c r="D149" s="2951" t="s">
        <v>3295</v>
      </c>
      <c r="E149" s="2983">
        <v>4.24</v>
      </c>
      <c r="F149" s="35"/>
      <c r="G149" s="36">
        <f t="shared" si="63"/>
        <v>80.73</v>
      </c>
      <c r="H149" s="37">
        <f t="shared" si="64"/>
        <v>80.73</v>
      </c>
      <c r="I149" s="2216">
        <f>办公清单!E142</f>
        <v>80.73</v>
      </c>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21"/>
      <c r="AV149" s="1797">
        <f t="shared" si="88"/>
        <v>0</v>
      </c>
      <c r="AW149" s="1797">
        <f t="shared" si="89"/>
        <v>0</v>
      </c>
      <c r="AX149" s="1797" t="str">
        <f t="shared" si="90"/>
        <v>22层2226号</v>
      </c>
      <c r="AY149" s="41">
        <f t="shared" si="66"/>
        <v>4.2300000000000004</v>
      </c>
      <c r="AZ149" s="34">
        <f t="shared" si="67"/>
        <v>80.73</v>
      </c>
      <c r="BA149" s="34">
        <f t="shared" si="68"/>
        <v>80.73</v>
      </c>
      <c r="BB149" s="34">
        <f t="shared" si="69"/>
        <v>80.73</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ht="28.5">
      <c r="A150" s="9"/>
      <c r="B150" s="33"/>
      <c r="C150" s="1274" t="str">
        <f>办公清单!C143</f>
        <v>22层2227号</v>
      </c>
      <c r="D150" s="2951" t="s">
        <v>3295</v>
      </c>
      <c r="E150" s="2983">
        <v>4.8899999999999997</v>
      </c>
      <c r="F150" s="35"/>
      <c r="G150" s="36">
        <f t="shared" si="63"/>
        <v>93.08</v>
      </c>
      <c r="H150" s="37">
        <f t="shared" si="64"/>
        <v>93.08</v>
      </c>
      <c r="I150" s="2216">
        <f>办公清单!E143</f>
        <v>93.08</v>
      </c>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21"/>
      <c r="AV150" s="1797">
        <f t="shared" si="88"/>
        <v>0</v>
      </c>
      <c r="AW150" s="1797">
        <f t="shared" si="89"/>
        <v>0</v>
      </c>
      <c r="AX150" s="1797" t="str">
        <f t="shared" si="90"/>
        <v>22层2227号</v>
      </c>
      <c r="AY150" s="41">
        <f t="shared" si="66"/>
        <v>4.87</v>
      </c>
      <c r="AZ150" s="34">
        <f t="shared" si="67"/>
        <v>93.08</v>
      </c>
      <c r="BA150" s="34">
        <f t="shared" si="68"/>
        <v>93.08</v>
      </c>
      <c r="BB150" s="34">
        <f t="shared" si="69"/>
        <v>93.08</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ht="28.5">
      <c r="A151" s="9"/>
      <c r="B151" s="33"/>
      <c r="C151" s="1274" t="str">
        <f>办公清单!C144</f>
        <v>22层2228号</v>
      </c>
      <c r="D151" s="2951" t="s">
        <v>3295</v>
      </c>
      <c r="E151" s="2983">
        <v>4.8899999999999997</v>
      </c>
      <c r="F151" s="35"/>
      <c r="G151" s="36">
        <f t="shared" si="63"/>
        <v>93.08</v>
      </c>
      <c r="H151" s="37">
        <f t="shared" si="64"/>
        <v>93.08</v>
      </c>
      <c r="I151" s="2216">
        <f>办公清单!E144</f>
        <v>93.08</v>
      </c>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21"/>
      <c r="AV151" s="1797">
        <f t="shared" si="88"/>
        <v>0</v>
      </c>
      <c r="AW151" s="1797">
        <f t="shared" si="89"/>
        <v>0</v>
      </c>
      <c r="AX151" s="1797" t="str">
        <f t="shared" si="90"/>
        <v>22层2228号</v>
      </c>
      <c r="AY151" s="41">
        <f t="shared" si="66"/>
        <v>4.87</v>
      </c>
      <c r="AZ151" s="34">
        <f t="shared" si="67"/>
        <v>93.08</v>
      </c>
      <c r="BA151" s="34">
        <f t="shared" si="68"/>
        <v>93.08</v>
      </c>
      <c r="BB151" s="34">
        <f t="shared" si="69"/>
        <v>93.08</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ht="28.5">
      <c r="A152" s="9"/>
      <c r="B152" s="33"/>
      <c r="C152" s="1274" t="str">
        <f>办公清单!C145</f>
        <v>23层2301号</v>
      </c>
      <c r="D152" s="2951" t="s">
        <v>3295</v>
      </c>
      <c r="E152" s="2983">
        <v>4.24</v>
      </c>
      <c r="F152" s="35"/>
      <c r="G152" s="36">
        <f t="shared" si="63"/>
        <v>80.73</v>
      </c>
      <c r="H152" s="37">
        <f t="shared" si="64"/>
        <v>80.73</v>
      </c>
      <c r="I152" s="2216">
        <f>办公清单!E145</f>
        <v>80.73</v>
      </c>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21"/>
      <c r="AV152" s="1797">
        <f t="shared" si="88"/>
        <v>0</v>
      </c>
      <c r="AW152" s="1797">
        <f t="shared" si="89"/>
        <v>0</v>
      </c>
      <c r="AX152" s="1797" t="str">
        <f t="shared" si="90"/>
        <v>23层2301号</v>
      </c>
      <c r="AY152" s="41">
        <f t="shared" si="66"/>
        <v>4.2300000000000004</v>
      </c>
      <c r="AZ152" s="34">
        <f t="shared" si="67"/>
        <v>80.73</v>
      </c>
      <c r="BA152" s="34">
        <f t="shared" si="68"/>
        <v>80.73</v>
      </c>
      <c r="BB152" s="34">
        <f t="shared" si="69"/>
        <v>80.73</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ht="28.5">
      <c r="A153" s="9"/>
      <c r="B153" s="33"/>
      <c r="C153" s="1274" t="str">
        <f>办公清单!C146</f>
        <v>23层2302号</v>
      </c>
      <c r="D153" s="2951" t="s">
        <v>3295</v>
      </c>
      <c r="E153" s="2983">
        <v>2.74</v>
      </c>
      <c r="F153" s="35"/>
      <c r="G153" s="36">
        <f t="shared" si="63"/>
        <v>52.17</v>
      </c>
      <c r="H153" s="37">
        <f t="shared" si="64"/>
        <v>52.17</v>
      </c>
      <c r="I153" s="2216">
        <f>办公清单!E146</f>
        <v>52.17</v>
      </c>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21"/>
      <c r="AV153" s="1797">
        <f t="shared" si="88"/>
        <v>0</v>
      </c>
      <c r="AW153" s="1797">
        <f t="shared" si="89"/>
        <v>0</v>
      </c>
      <c r="AX153" s="1797" t="str">
        <f t="shared" si="90"/>
        <v>23层2302号</v>
      </c>
      <c r="AY153" s="41">
        <f t="shared" si="66"/>
        <v>2.73</v>
      </c>
      <c r="AZ153" s="34">
        <f t="shared" si="67"/>
        <v>52.17</v>
      </c>
      <c r="BA153" s="34">
        <f t="shared" si="68"/>
        <v>52.17</v>
      </c>
      <c r="BB153" s="34">
        <f t="shared" si="69"/>
        <v>52.17</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ht="28.5">
      <c r="A154" s="9"/>
      <c r="B154" s="33"/>
      <c r="C154" s="1274" t="str">
        <f>办公清单!C147</f>
        <v>23层2303号</v>
      </c>
      <c r="D154" s="2951" t="s">
        <v>3295</v>
      </c>
      <c r="E154" s="2983">
        <v>2.74</v>
      </c>
      <c r="F154" s="35"/>
      <c r="G154" s="36">
        <f t="shared" si="63"/>
        <v>52.17</v>
      </c>
      <c r="H154" s="37">
        <f t="shared" si="64"/>
        <v>52.17</v>
      </c>
      <c r="I154" s="2216">
        <f>办公清单!E147</f>
        <v>52.17</v>
      </c>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21"/>
      <c r="AV154" s="1797">
        <f t="shared" si="88"/>
        <v>0</v>
      </c>
      <c r="AW154" s="1797">
        <f t="shared" si="89"/>
        <v>0</v>
      </c>
      <c r="AX154" s="1797" t="str">
        <f t="shared" si="90"/>
        <v>23层2303号</v>
      </c>
      <c r="AY154" s="41">
        <f t="shared" si="66"/>
        <v>2.73</v>
      </c>
      <c r="AZ154" s="34">
        <f t="shared" si="67"/>
        <v>52.17</v>
      </c>
      <c r="BA154" s="34">
        <f t="shared" si="68"/>
        <v>52.17</v>
      </c>
      <c r="BB154" s="34">
        <f t="shared" si="69"/>
        <v>52.17</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ht="28.5">
      <c r="A155" s="9"/>
      <c r="B155" s="33"/>
      <c r="C155" s="1274" t="str">
        <f>办公清单!C148</f>
        <v>23层2304号</v>
      </c>
      <c r="D155" s="2951" t="s">
        <v>3295</v>
      </c>
      <c r="E155" s="2983">
        <v>2.74</v>
      </c>
      <c r="F155" s="35"/>
      <c r="G155" s="36">
        <f t="shared" si="63"/>
        <v>52.17</v>
      </c>
      <c r="H155" s="37">
        <f t="shared" si="64"/>
        <v>52.17</v>
      </c>
      <c r="I155" s="2216">
        <f>办公清单!E148</f>
        <v>52.17</v>
      </c>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21"/>
      <c r="AV155" s="1797">
        <f t="shared" si="88"/>
        <v>0</v>
      </c>
      <c r="AW155" s="1797">
        <f t="shared" si="89"/>
        <v>0</v>
      </c>
      <c r="AX155" s="1797" t="str">
        <f t="shared" si="90"/>
        <v>23层2304号</v>
      </c>
      <c r="AY155" s="41">
        <f t="shared" si="66"/>
        <v>2.73</v>
      </c>
      <c r="AZ155" s="34">
        <f t="shared" si="67"/>
        <v>52.17</v>
      </c>
      <c r="BA155" s="34">
        <f t="shared" si="68"/>
        <v>52.17</v>
      </c>
      <c r="BB155" s="34">
        <f t="shared" si="69"/>
        <v>52.17</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ht="28.5">
      <c r="A156" s="9"/>
      <c r="B156" s="33"/>
      <c r="C156" s="1274" t="str">
        <f>办公清单!C149</f>
        <v>23层2305号</v>
      </c>
      <c r="D156" s="2951" t="s">
        <v>3295</v>
      </c>
      <c r="E156" s="2983">
        <v>2.74</v>
      </c>
      <c r="F156" s="35"/>
      <c r="G156" s="36">
        <f t="shared" si="63"/>
        <v>52.17</v>
      </c>
      <c r="H156" s="37">
        <f t="shared" si="64"/>
        <v>52.17</v>
      </c>
      <c r="I156" s="2216">
        <f>办公清单!E149</f>
        <v>52.17</v>
      </c>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21"/>
      <c r="AV156" s="1797">
        <f t="shared" si="88"/>
        <v>0</v>
      </c>
      <c r="AW156" s="1797">
        <f t="shared" si="89"/>
        <v>0</v>
      </c>
      <c r="AX156" s="1797" t="str">
        <f t="shared" si="90"/>
        <v>23层2305号</v>
      </c>
      <c r="AY156" s="41">
        <f t="shared" si="66"/>
        <v>2.73</v>
      </c>
      <c r="AZ156" s="34">
        <f t="shared" si="67"/>
        <v>52.17</v>
      </c>
      <c r="BA156" s="34">
        <f t="shared" si="68"/>
        <v>52.17</v>
      </c>
      <c r="BB156" s="34">
        <f t="shared" si="69"/>
        <v>52.17</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ht="28.5">
      <c r="A157" s="9"/>
      <c r="B157" s="33"/>
      <c r="C157" s="1274" t="str">
        <f>办公清单!C150</f>
        <v>23层2306号</v>
      </c>
      <c r="D157" s="2951" t="s">
        <v>3295</v>
      </c>
      <c r="E157" s="2983">
        <v>2.74</v>
      </c>
      <c r="F157" s="35"/>
      <c r="G157" s="36">
        <f t="shared" si="63"/>
        <v>52.17</v>
      </c>
      <c r="H157" s="37">
        <f t="shared" si="64"/>
        <v>52.17</v>
      </c>
      <c r="I157" s="2216">
        <f>办公清单!E150</f>
        <v>52.17</v>
      </c>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21"/>
      <c r="AV157" s="1797">
        <f t="shared" si="88"/>
        <v>0</v>
      </c>
      <c r="AW157" s="1797">
        <f t="shared" si="89"/>
        <v>0</v>
      </c>
      <c r="AX157" s="1797" t="str">
        <f t="shared" si="90"/>
        <v>23层2306号</v>
      </c>
      <c r="AY157" s="41">
        <f t="shared" si="66"/>
        <v>2.73</v>
      </c>
      <c r="AZ157" s="34">
        <f t="shared" si="67"/>
        <v>52.17</v>
      </c>
      <c r="BA157" s="34">
        <f t="shared" si="68"/>
        <v>52.17</v>
      </c>
      <c r="BB157" s="34">
        <f t="shared" si="69"/>
        <v>52.17</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ht="28.5">
      <c r="A158" s="9"/>
      <c r="B158" s="33"/>
      <c r="C158" s="1274" t="str">
        <f>办公清单!C151</f>
        <v>23层2307号</v>
      </c>
      <c r="D158" s="2951" t="s">
        <v>3295</v>
      </c>
      <c r="E158" s="2983">
        <v>2.74</v>
      </c>
      <c r="F158" s="35"/>
      <c r="G158" s="36">
        <f t="shared" si="63"/>
        <v>52.17</v>
      </c>
      <c r="H158" s="37">
        <f t="shared" si="64"/>
        <v>52.17</v>
      </c>
      <c r="I158" s="2216">
        <f>办公清单!E151</f>
        <v>52.17</v>
      </c>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21"/>
      <c r="AV158" s="1797">
        <f t="shared" si="88"/>
        <v>0</v>
      </c>
      <c r="AW158" s="1797">
        <f t="shared" si="89"/>
        <v>0</v>
      </c>
      <c r="AX158" s="1797" t="str">
        <f t="shared" si="90"/>
        <v>23层2307号</v>
      </c>
      <c r="AY158" s="41">
        <f t="shared" si="66"/>
        <v>2.73</v>
      </c>
      <c r="AZ158" s="34">
        <f t="shared" si="67"/>
        <v>52.17</v>
      </c>
      <c r="BA158" s="34">
        <f t="shared" si="68"/>
        <v>52.17</v>
      </c>
      <c r="BB158" s="34">
        <f t="shared" si="69"/>
        <v>52.17</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ht="28.5">
      <c r="A159" s="9"/>
      <c r="B159" s="33"/>
      <c r="C159" s="1274" t="str">
        <f>办公清单!C152</f>
        <v>23层2308号</v>
      </c>
      <c r="D159" s="2951" t="s">
        <v>3295</v>
      </c>
      <c r="E159" s="2983">
        <v>2.74</v>
      </c>
      <c r="F159" s="35"/>
      <c r="G159" s="36">
        <f t="shared" si="63"/>
        <v>52.17</v>
      </c>
      <c r="H159" s="37">
        <f t="shared" si="64"/>
        <v>52.17</v>
      </c>
      <c r="I159" s="2216">
        <f>办公清单!E152</f>
        <v>52.17</v>
      </c>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21"/>
      <c r="AV159" s="1797">
        <f t="shared" si="88"/>
        <v>0</v>
      </c>
      <c r="AW159" s="1797">
        <f t="shared" si="89"/>
        <v>0</v>
      </c>
      <c r="AX159" s="1797" t="str">
        <f t="shared" si="90"/>
        <v>23层2308号</v>
      </c>
      <c r="AY159" s="41">
        <f t="shared" si="66"/>
        <v>2.73</v>
      </c>
      <c r="AZ159" s="34">
        <f t="shared" si="67"/>
        <v>52.17</v>
      </c>
      <c r="BA159" s="34">
        <f t="shared" si="68"/>
        <v>52.17</v>
      </c>
      <c r="BB159" s="34">
        <f t="shared" si="69"/>
        <v>52.17</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ht="28.5">
      <c r="A160" s="9"/>
      <c r="B160" s="33"/>
      <c r="C160" s="1274" t="str">
        <f>办公清单!C153</f>
        <v>23层2309号</v>
      </c>
      <c r="D160" s="2951" t="s">
        <v>3295</v>
      </c>
      <c r="E160" s="2983">
        <v>2.74</v>
      </c>
      <c r="F160" s="35"/>
      <c r="G160" s="36">
        <f t="shared" si="63"/>
        <v>52.17</v>
      </c>
      <c r="H160" s="37">
        <f t="shared" si="64"/>
        <v>52.17</v>
      </c>
      <c r="I160" s="2216">
        <f>办公清单!E153</f>
        <v>52.17</v>
      </c>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21"/>
      <c r="AV160" s="1797">
        <f t="shared" si="88"/>
        <v>0</v>
      </c>
      <c r="AW160" s="1797">
        <f t="shared" si="89"/>
        <v>0</v>
      </c>
      <c r="AX160" s="1797" t="str">
        <f t="shared" si="90"/>
        <v>23层2309号</v>
      </c>
      <c r="AY160" s="41">
        <f t="shared" si="66"/>
        <v>2.73</v>
      </c>
      <c r="AZ160" s="34">
        <f t="shared" si="67"/>
        <v>52.17</v>
      </c>
      <c r="BA160" s="34">
        <f t="shared" si="68"/>
        <v>52.17</v>
      </c>
      <c r="BB160" s="34">
        <f t="shared" si="69"/>
        <v>52.17</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ht="28.5">
      <c r="A161" s="9"/>
      <c r="B161" s="33"/>
      <c r="C161" s="1274" t="str">
        <f>办公清单!C154</f>
        <v>23层2310号</v>
      </c>
      <c r="D161" s="2951" t="s">
        <v>3295</v>
      </c>
      <c r="E161" s="2983">
        <v>2.74</v>
      </c>
      <c r="F161" s="35"/>
      <c r="G161" s="36">
        <f t="shared" si="63"/>
        <v>52.17</v>
      </c>
      <c r="H161" s="37">
        <f t="shared" si="64"/>
        <v>52.17</v>
      </c>
      <c r="I161" s="2216">
        <f>办公清单!E154</f>
        <v>52.17</v>
      </c>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21"/>
      <c r="AV161" s="1797">
        <f t="shared" si="88"/>
        <v>0</v>
      </c>
      <c r="AW161" s="1797">
        <f t="shared" si="89"/>
        <v>0</v>
      </c>
      <c r="AX161" s="1797" t="str">
        <f t="shared" si="90"/>
        <v>23层2310号</v>
      </c>
      <c r="AY161" s="41">
        <f t="shared" si="66"/>
        <v>2.73</v>
      </c>
      <c r="AZ161" s="34">
        <f t="shared" si="67"/>
        <v>52.17</v>
      </c>
      <c r="BA161" s="34">
        <f t="shared" si="68"/>
        <v>52.17</v>
      </c>
      <c r="BB161" s="34">
        <f t="shared" si="69"/>
        <v>52.17</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ht="28.5">
      <c r="A162" s="9"/>
      <c r="B162" s="33"/>
      <c r="C162" s="1274" t="str">
        <f>办公清单!C155</f>
        <v>23层2311号</v>
      </c>
      <c r="D162" s="2951" t="s">
        <v>3295</v>
      </c>
      <c r="E162" s="2983">
        <v>2.74</v>
      </c>
      <c r="F162" s="35"/>
      <c r="G162" s="36">
        <f t="shared" si="63"/>
        <v>52.17</v>
      </c>
      <c r="H162" s="37">
        <f t="shared" si="64"/>
        <v>52.17</v>
      </c>
      <c r="I162" s="2216">
        <f>办公清单!E155</f>
        <v>52.17</v>
      </c>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21"/>
      <c r="AV162" s="1797">
        <f t="shared" si="88"/>
        <v>0</v>
      </c>
      <c r="AW162" s="1797">
        <f t="shared" si="89"/>
        <v>0</v>
      </c>
      <c r="AX162" s="1797" t="str">
        <f t="shared" si="90"/>
        <v>23层2311号</v>
      </c>
      <c r="AY162" s="41">
        <f t="shared" si="66"/>
        <v>2.73</v>
      </c>
      <c r="AZ162" s="34">
        <f t="shared" si="67"/>
        <v>52.17</v>
      </c>
      <c r="BA162" s="34">
        <f t="shared" si="68"/>
        <v>52.17</v>
      </c>
      <c r="BB162" s="34">
        <f t="shared" si="69"/>
        <v>52.17</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ht="28.5">
      <c r="A163" s="9"/>
      <c r="B163" s="33"/>
      <c r="C163" s="1274" t="str">
        <f>办公清单!C156</f>
        <v>23层2312号</v>
      </c>
      <c r="D163" s="2951" t="s">
        <v>3295</v>
      </c>
      <c r="E163" s="2983">
        <v>4.24</v>
      </c>
      <c r="F163" s="35"/>
      <c r="G163" s="36">
        <f t="shared" si="63"/>
        <v>80.73</v>
      </c>
      <c r="H163" s="37">
        <f t="shared" si="64"/>
        <v>80.73</v>
      </c>
      <c r="I163" s="2216">
        <f>办公清单!E156</f>
        <v>80.73</v>
      </c>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21"/>
      <c r="AV163" s="1797">
        <f t="shared" si="88"/>
        <v>0</v>
      </c>
      <c r="AW163" s="1797">
        <f t="shared" si="89"/>
        <v>0</v>
      </c>
      <c r="AX163" s="1797" t="str">
        <f t="shared" si="90"/>
        <v>23层2312号</v>
      </c>
      <c r="AY163" s="41">
        <f t="shared" si="66"/>
        <v>4.2300000000000004</v>
      </c>
      <c r="AZ163" s="34">
        <f t="shared" si="67"/>
        <v>80.73</v>
      </c>
      <c r="BA163" s="34">
        <f t="shared" si="68"/>
        <v>80.73</v>
      </c>
      <c r="BB163" s="34">
        <f t="shared" si="69"/>
        <v>80.73</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ht="28.5">
      <c r="A164" s="9"/>
      <c r="B164" s="33"/>
      <c r="C164" s="1274" t="str">
        <f>办公清单!C157</f>
        <v>23层2313号</v>
      </c>
      <c r="D164" s="2951" t="s">
        <v>3295</v>
      </c>
      <c r="E164" s="2983">
        <v>3.54</v>
      </c>
      <c r="F164" s="35"/>
      <c r="G164" s="36">
        <f t="shared" si="63"/>
        <v>67.36</v>
      </c>
      <c r="H164" s="37">
        <f t="shared" si="64"/>
        <v>67.36</v>
      </c>
      <c r="I164" s="2216">
        <f>办公清单!E157</f>
        <v>67.36</v>
      </c>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21"/>
      <c r="AV164" s="1797">
        <f t="shared" si="88"/>
        <v>0</v>
      </c>
      <c r="AW164" s="1797">
        <f t="shared" si="89"/>
        <v>0</v>
      </c>
      <c r="AX164" s="1797" t="str">
        <f t="shared" si="90"/>
        <v>23层2313号</v>
      </c>
      <c r="AY164" s="41">
        <f t="shared" si="66"/>
        <v>3.53</v>
      </c>
      <c r="AZ164" s="34">
        <f t="shared" si="67"/>
        <v>67.36</v>
      </c>
      <c r="BA164" s="34">
        <f t="shared" si="68"/>
        <v>67.36</v>
      </c>
      <c r="BB164" s="34">
        <f t="shared" si="69"/>
        <v>67.36</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ht="28.5">
      <c r="A165" s="9"/>
      <c r="B165" s="33"/>
      <c r="C165" s="1274" t="str">
        <f>办公清单!C158</f>
        <v>23层2314号</v>
      </c>
      <c r="D165" s="2951" t="s">
        <v>3295</v>
      </c>
      <c r="E165" s="2983">
        <v>3.54</v>
      </c>
      <c r="F165" s="35"/>
      <c r="G165" s="36">
        <f t="shared" si="63"/>
        <v>67.36</v>
      </c>
      <c r="H165" s="37">
        <f t="shared" si="64"/>
        <v>67.36</v>
      </c>
      <c r="I165" s="2216">
        <f>办公清单!E158</f>
        <v>67.36</v>
      </c>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21"/>
      <c r="AV165" s="1797">
        <f t="shared" si="88"/>
        <v>0</v>
      </c>
      <c r="AW165" s="1797">
        <f t="shared" si="89"/>
        <v>0</v>
      </c>
      <c r="AX165" s="1797" t="str">
        <f t="shared" si="90"/>
        <v>23层2314号</v>
      </c>
      <c r="AY165" s="41">
        <f t="shared" si="66"/>
        <v>3.53</v>
      </c>
      <c r="AZ165" s="34">
        <f t="shared" si="67"/>
        <v>67.36</v>
      </c>
      <c r="BA165" s="34">
        <f t="shared" si="68"/>
        <v>67.36</v>
      </c>
      <c r="BB165" s="34">
        <f t="shared" si="69"/>
        <v>67.36</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ht="28.5">
      <c r="A166" s="9"/>
      <c r="B166" s="33"/>
      <c r="C166" s="1274" t="str">
        <f>办公清单!C159</f>
        <v>23层2315号</v>
      </c>
      <c r="D166" s="2951" t="s">
        <v>3295</v>
      </c>
      <c r="E166" s="2983">
        <v>4.24</v>
      </c>
      <c r="F166" s="35"/>
      <c r="G166" s="36">
        <f t="shared" si="63"/>
        <v>80.73</v>
      </c>
      <c r="H166" s="37">
        <f t="shared" si="64"/>
        <v>80.73</v>
      </c>
      <c r="I166" s="2216">
        <f>办公清单!E159</f>
        <v>80.73</v>
      </c>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21"/>
      <c r="AV166" s="1797">
        <f t="shared" si="88"/>
        <v>0</v>
      </c>
      <c r="AW166" s="1797">
        <f t="shared" si="89"/>
        <v>0</v>
      </c>
      <c r="AX166" s="1797" t="str">
        <f t="shared" si="90"/>
        <v>23层2315号</v>
      </c>
      <c r="AY166" s="41">
        <f t="shared" si="66"/>
        <v>4.2300000000000004</v>
      </c>
      <c r="AZ166" s="34">
        <f t="shared" si="67"/>
        <v>80.73</v>
      </c>
      <c r="BA166" s="34">
        <f t="shared" si="68"/>
        <v>80.73</v>
      </c>
      <c r="BB166" s="34">
        <f t="shared" si="69"/>
        <v>80.73</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ht="28.5">
      <c r="A167" s="9"/>
      <c r="B167" s="33"/>
      <c r="C167" s="1274" t="str">
        <f>办公清单!C160</f>
        <v>23层2316号</v>
      </c>
      <c r="D167" s="2951" t="s">
        <v>3295</v>
      </c>
      <c r="E167" s="2983">
        <v>2.74</v>
      </c>
      <c r="F167" s="35"/>
      <c r="G167" s="36">
        <f t="shared" si="63"/>
        <v>52.17</v>
      </c>
      <c r="H167" s="37">
        <f t="shared" si="64"/>
        <v>52.17</v>
      </c>
      <c r="I167" s="2216">
        <f>办公清单!E160</f>
        <v>52.17</v>
      </c>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21"/>
      <c r="AV167" s="1797">
        <f t="shared" si="88"/>
        <v>0</v>
      </c>
      <c r="AW167" s="1797">
        <f t="shared" si="89"/>
        <v>0</v>
      </c>
      <c r="AX167" s="1797" t="str">
        <f t="shared" si="90"/>
        <v>23层2316号</v>
      </c>
      <c r="AY167" s="41">
        <f t="shared" si="66"/>
        <v>2.73</v>
      </c>
      <c r="AZ167" s="34">
        <f t="shared" si="67"/>
        <v>52.17</v>
      </c>
      <c r="BA167" s="34">
        <f t="shared" si="68"/>
        <v>52.17</v>
      </c>
      <c r="BB167" s="34">
        <f t="shared" si="69"/>
        <v>52.17</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ht="28.5">
      <c r="A168" s="9"/>
      <c r="B168" s="33"/>
      <c r="C168" s="1274" t="str">
        <f>办公清单!C161</f>
        <v>23层2317号</v>
      </c>
      <c r="D168" s="2951" t="s">
        <v>3295</v>
      </c>
      <c r="E168" s="2983">
        <v>2.74</v>
      </c>
      <c r="F168" s="35"/>
      <c r="G168" s="36">
        <f t="shared" si="63"/>
        <v>52.17</v>
      </c>
      <c r="H168" s="37">
        <f t="shared" si="64"/>
        <v>52.17</v>
      </c>
      <c r="I168" s="2216">
        <f>办公清单!E161</f>
        <v>52.17</v>
      </c>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21"/>
      <c r="AV168" s="1797">
        <f t="shared" si="88"/>
        <v>0</v>
      </c>
      <c r="AW168" s="1797">
        <f t="shared" si="89"/>
        <v>0</v>
      </c>
      <c r="AX168" s="1797" t="str">
        <f t="shared" si="90"/>
        <v>23层2317号</v>
      </c>
      <c r="AY168" s="41">
        <f t="shared" si="66"/>
        <v>2.73</v>
      </c>
      <c r="AZ168" s="34">
        <f t="shared" si="67"/>
        <v>52.17</v>
      </c>
      <c r="BA168" s="34">
        <f t="shared" si="68"/>
        <v>52.17</v>
      </c>
      <c r="BB168" s="34">
        <f t="shared" si="69"/>
        <v>52.17</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ht="28.5">
      <c r="A169" s="9"/>
      <c r="B169" s="33"/>
      <c r="C169" s="1274" t="str">
        <f>办公清单!C162</f>
        <v>23层2318号</v>
      </c>
      <c r="D169" s="2951" t="s">
        <v>3295</v>
      </c>
      <c r="E169" s="2983">
        <v>2.74</v>
      </c>
      <c r="F169" s="35"/>
      <c r="G169" s="36">
        <f t="shared" si="63"/>
        <v>52.17</v>
      </c>
      <c r="H169" s="37">
        <f t="shared" si="64"/>
        <v>52.17</v>
      </c>
      <c r="I169" s="2216">
        <f>办公清单!E162</f>
        <v>52.17</v>
      </c>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21"/>
      <c r="AV169" s="1797">
        <f t="shared" si="88"/>
        <v>0</v>
      </c>
      <c r="AW169" s="1797">
        <f t="shared" si="89"/>
        <v>0</v>
      </c>
      <c r="AX169" s="1797" t="str">
        <f t="shared" si="90"/>
        <v>23层2318号</v>
      </c>
      <c r="AY169" s="41">
        <f t="shared" si="66"/>
        <v>2.73</v>
      </c>
      <c r="AZ169" s="34">
        <f t="shared" si="67"/>
        <v>52.17</v>
      </c>
      <c r="BA169" s="34">
        <f t="shared" si="68"/>
        <v>52.17</v>
      </c>
      <c r="BB169" s="34">
        <f t="shared" si="69"/>
        <v>52.17</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ht="28.5">
      <c r="A170" s="9"/>
      <c r="B170" s="33"/>
      <c r="C170" s="1274" t="str">
        <f>办公清单!C163</f>
        <v>23层2319号</v>
      </c>
      <c r="D170" s="2951" t="s">
        <v>3295</v>
      </c>
      <c r="E170" s="2983">
        <v>2.74</v>
      </c>
      <c r="F170" s="35"/>
      <c r="G170" s="36">
        <f t="shared" si="63"/>
        <v>52.17</v>
      </c>
      <c r="H170" s="37">
        <f t="shared" si="64"/>
        <v>52.17</v>
      </c>
      <c r="I170" s="2216">
        <f>办公清单!E163</f>
        <v>52.17</v>
      </c>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21"/>
      <c r="AV170" s="1797">
        <f t="shared" si="88"/>
        <v>0</v>
      </c>
      <c r="AW170" s="1797">
        <f t="shared" si="89"/>
        <v>0</v>
      </c>
      <c r="AX170" s="1797" t="str">
        <f t="shared" si="90"/>
        <v>23层2319号</v>
      </c>
      <c r="AY170" s="41">
        <f t="shared" si="66"/>
        <v>2.73</v>
      </c>
      <c r="AZ170" s="34">
        <f t="shared" si="67"/>
        <v>52.17</v>
      </c>
      <c r="BA170" s="34">
        <f t="shared" si="68"/>
        <v>52.17</v>
      </c>
      <c r="BB170" s="34">
        <f t="shared" si="69"/>
        <v>52.17</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ht="28.5">
      <c r="A171" s="9"/>
      <c r="B171" s="33"/>
      <c r="C171" s="1274" t="str">
        <f>办公清单!C164</f>
        <v>23层2320号</v>
      </c>
      <c r="D171" s="2951" t="s">
        <v>3295</v>
      </c>
      <c r="E171" s="2983">
        <v>2.74</v>
      </c>
      <c r="F171" s="35"/>
      <c r="G171" s="36">
        <f t="shared" si="63"/>
        <v>52.17</v>
      </c>
      <c r="H171" s="37">
        <f t="shared" si="64"/>
        <v>52.17</v>
      </c>
      <c r="I171" s="2216">
        <f>办公清单!E164</f>
        <v>52.17</v>
      </c>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21"/>
      <c r="AV171" s="1797">
        <f t="shared" si="88"/>
        <v>0</v>
      </c>
      <c r="AW171" s="1797">
        <f t="shared" si="89"/>
        <v>0</v>
      </c>
      <c r="AX171" s="1797" t="str">
        <f t="shared" si="90"/>
        <v>23层2320号</v>
      </c>
      <c r="AY171" s="41">
        <f t="shared" si="66"/>
        <v>2.73</v>
      </c>
      <c r="AZ171" s="34">
        <f t="shared" si="67"/>
        <v>52.17</v>
      </c>
      <c r="BA171" s="34">
        <f t="shared" si="68"/>
        <v>52.17</v>
      </c>
      <c r="BB171" s="34">
        <f t="shared" si="69"/>
        <v>52.17</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ht="28.5">
      <c r="A172" s="9"/>
      <c r="B172" s="33"/>
      <c r="C172" s="1274" t="str">
        <f>办公清单!C165</f>
        <v>23层2321号</v>
      </c>
      <c r="D172" s="2951" t="s">
        <v>3295</v>
      </c>
      <c r="E172" s="2983">
        <v>2.74</v>
      </c>
      <c r="F172" s="35"/>
      <c r="G172" s="36">
        <f t="shared" si="63"/>
        <v>52.17</v>
      </c>
      <c r="H172" s="37">
        <f t="shared" si="64"/>
        <v>52.17</v>
      </c>
      <c r="I172" s="2216">
        <f>办公清单!E165</f>
        <v>52.17</v>
      </c>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21"/>
      <c r="AV172" s="1797">
        <f t="shared" si="88"/>
        <v>0</v>
      </c>
      <c r="AW172" s="1797">
        <f t="shared" si="89"/>
        <v>0</v>
      </c>
      <c r="AX172" s="1797" t="str">
        <f t="shared" si="90"/>
        <v>23层2321号</v>
      </c>
      <c r="AY172" s="41">
        <f t="shared" si="66"/>
        <v>2.73</v>
      </c>
      <c r="AZ172" s="34">
        <f t="shared" si="67"/>
        <v>52.17</v>
      </c>
      <c r="BA172" s="34">
        <f t="shared" si="68"/>
        <v>52.17</v>
      </c>
      <c r="BB172" s="34">
        <f t="shared" si="69"/>
        <v>52.17</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ht="28.5">
      <c r="A173" s="9"/>
      <c r="B173" s="33"/>
      <c r="C173" s="1274" t="str">
        <f>办公清单!C166</f>
        <v>23层2322号</v>
      </c>
      <c r="D173" s="2951" t="s">
        <v>3295</v>
      </c>
      <c r="E173" s="2983">
        <v>2.74</v>
      </c>
      <c r="F173" s="35"/>
      <c r="G173" s="36">
        <f t="shared" si="63"/>
        <v>52.17</v>
      </c>
      <c r="H173" s="37">
        <f t="shared" si="64"/>
        <v>52.17</v>
      </c>
      <c r="I173" s="2216">
        <f>办公清单!E166</f>
        <v>52.17</v>
      </c>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21"/>
      <c r="AV173" s="1797">
        <f t="shared" si="88"/>
        <v>0</v>
      </c>
      <c r="AW173" s="1797">
        <f t="shared" si="89"/>
        <v>0</v>
      </c>
      <c r="AX173" s="1797" t="str">
        <f t="shared" si="90"/>
        <v>23层2322号</v>
      </c>
      <c r="AY173" s="41">
        <f t="shared" si="66"/>
        <v>2.73</v>
      </c>
      <c r="AZ173" s="34">
        <f t="shared" si="67"/>
        <v>52.17</v>
      </c>
      <c r="BA173" s="34">
        <f t="shared" si="68"/>
        <v>52.17</v>
      </c>
      <c r="BB173" s="34">
        <f t="shared" si="69"/>
        <v>52.17</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ht="28.5">
      <c r="A174" s="9"/>
      <c r="B174" s="33"/>
      <c r="C174" s="1274" t="str">
        <f>办公清单!C167</f>
        <v>23层2323号</v>
      </c>
      <c r="D174" s="2951" t="s">
        <v>3295</v>
      </c>
      <c r="E174" s="2983">
        <v>2.74</v>
      </c>
      <c r="F174" s="35"/>
      <c r="G174" s="36">
        <f t="shared" ref="G174:G205" si="91">H174+AC174+AT174</f>
        <v>52.17</v>
      </c>
      <c r="H174" s="37">
        <f t="shared" ref="H174:H205" si="92">SUMIF(I$12:AB$12,"总值",I174:AB174)</f>
        <v>52.17</v>
      </c>
      <c r="I174" s="2216">
        <f>办公清单!E167</f>
        <v>52.17</v>
      </c>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21"/>
      <c r="AV174" s="1797">
        <f t="shared" si="88"/>
        <v>0</v>
      </c>
      <c r="AW174" s="1797">
        <f t="shared" si="89"/>
        <v>0</v>
      </c>
      <c r="AX174" s="1797" t="str">
        <f t="shared" si="90"/>
        <v>23层2323号</v>
      </c>
      <c r="AY174" s="41">
        <f t="shared" ref="AY174:AY205" si="94">ROUND($AY$6*AZ174/$AZ$5,2)</f>
        <v>2.73</v>
      </c>
      <c r="AZ174" s="34">
        <f t="shared" ref="AZ174:AZ205" si="95">BA174+BL174</f>
        <v>52.17</v>
      </c>
      <c r="BA174" s="34">
        <f t="shared" ref="BA174:BA205" si="96">SUM(BB174:BK174)</f>
        <v>52.17</v>
      </c>
      <c r="BB174" s="34">
        <f t="shared" ref="BB174:BB207" si="97">IF($D174="是",I174-J174,0)</f>
        <v>52.17</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ht="28.5">
      <c r="A175" s="9"/>
      <c r="B175" s="33"/>
      <c r="C175" s="1274" t="str">
        <f>办公清单!C168</f>
        <v>23层2324号</v>
      </c>
      <c r="D175" s="2951" t="s">
        <v>3295</v>
      </c>
      <c r="E175" s="2983">
        <v>2.74</v>
      </c>
      <c r="F175" s="35"/>
      <c r="G175" s="36">
        <f t="shared" si="91"/>
        <v>52.17</v>
      </c>
      <c r="H175" s="37">
        <f t="shared" si="92"/>
        <v>52.17</v>
      </c>
      <c r="I175" s="2216">
        <f>办公清单!E168</f>
        <v>52.17</v>
      </c>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21"/>
      <c r="AV175" s="1797">
        <f t="shared" si="88"/>
        <v>0</v>
      </c>
      <c r="AW175" s="1797">
        <f t="shared" si="89"/>
        <v>0</v>
      </c>
      <c r="AX175" s="1797" t="str">
        <f t="shared" si="90"/>
        <v>23层2324号</v>
      </c>
      <c r="AY175" s="41">
        <f t="shared" si="94"/>
        <v>2.73</v>
      </c>
      <c r="AZ175" s="34">
        <f t="shared" si="95"/>
        <v>52.17</v>
      </c>
      <c r="BA175" s="34">
        <f t="shared" si="96"/>
        <v>52.17</v>
      </c>
      <c r="BB175" s="34">
        <f t="shared" si="97"/>
        <v>52.17</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ht="28.5">
      <c r="A176" s="9"/>
      <c r="B176" s="33"/>
      <c r="C176" s="1274" t="str">
        <f>办公清单!C169</f>
        <v>23层2325号</v>
      </c>
      <c r="D176" s="2951" t="s">
        <v>3295</v>
      </c>
      <c r="E176" s="2983">
        <v>2.74</v>
      </c>
      <c r="F176" s="35"/>
      <c r="G176" s="36">
        <f t="shared" si="91"/>
        <v>52.17</v>
      </c>
      <c r="H176" s="37">
        <f t="shared" si="92"/>
        <v>52.17</v>
      </c>
      <c r="I176" s="2216">
        <f>办公清单!E169</f>
        <v>52.17</v>
      </c>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21"/>
      <c r="AV176" s="1797">
        <f t="shared" si="88"/>
        <v>0</v>
      </c>
      <c r="AW176" s="1797">
        <f t="shared" si="89"/>
        <v>0</v>
      </c>
      <c r="AX176" s="1797" t="str">
        <f t="shared" si="90"/>
        <v>23层2325号</v>
      </c>
      <c r="AY176" s="41">
        <f t="shared" si="94"/>
        <v>2.73</v>
      </c>
      <c r="AZ176" s="34">
        <f t="shared" si="95"/>
        <v>52.17</v>
      </c>
      <c r="BA176" s="34">
        <f t="shared" si="96"/>
        <v>52.17</v>
      </c>
      <c r="BB176" s="34">
        <f t="shared" si="97"/>
        <v>52.17</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ht="28.5">
      <c r="A177" s="9"/>
      <c r="B177" s="33"/>
      <c r="C177" s="1274" t="str">
        <f>办公清单!C170</f>
        <v>23层2326号</v>
      </c>
      <c r="D177" s="2951" t="s">
        <v>3295</v>
      </c>
      <c r="E177" s="2983">
        <v>4.24</v>
      </c>
      <c r="F177" s="35"/>
      <c r="G177" s="36">
        <f t="shared" si="91"/>
        <v>80.73</v>
      </c>
      <c r="H177" s="37">
        <f t="shared" si="92"/>
        <v>80.73</v>
      </c>
      <c r="I177" s="2216">
        <f>办公清单!E170</f>
        <v>80.73</v>
      </c>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21"/>
      <c r="AV177" s="1797">
        <f t="shared" ref="AV177:AV207" si="116">A177</f>
        <v>0</v>
      </c>
      <c r="AW177" s="1797">
        <f t="shared" ref="AW177:AW207" si="117">B177</f>
        <v>0</v>
      </c>
      <c r="AX177" s="1797" t="str">
        <f t="shared" ref="AX177:AX207" si="118">C177</f>
        <v>23层2326号</v>
      </c>
      <c r="AY177" s="41">
        <f t="shared" si="94"/>
        <v>4.2300000000000004</v>
      </c>
      <c r="AZ177" s="34">
        <f t="shared" si="95"/>
        <v>80.73</v>
      </c>
      <c r="BA177" s="34">
        <f t="shared" si="96"/>
        <v>80.73</v>
      </c>
      <c r="BB177" s="34">
        <f t="shared" si="97"/>
        <v>80.73</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ht="28.5">
      <c r="A178" s="9"/>
      <c r="B178" s="33"/>
      <c r="C178" s="1274" t="str">
        <f>办公清单!C171</f>
        <v>23层2327号</v>
      </c>
      <c r="D178" s="2951" t="s">
        <v>3295</v>
      </c>
      <c r="E178" s="2983">
        <v>4.8899999999999997</v>
      </c>
      <c r="F178" s="35"/>
      <c r="G178" s="36">
        <f t="shared" si="91"/>
        <v>93.08</v>
      </c>
      <c r="H178" s="37">
        <f t="shared" si="92"/>
        <v>93.08</v>
      </c>
      <c r="I178" s="2216">
        <f>办公清单!E171</f>
        <v>93.08</v>
      </c>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21"/>
      <c r="AV178" s="1797">
        <f t="shared" si="116"/>
        <v>0</v>
      </c>
      <c r="AW178" s="1797">
        <f t="shared" si="117"/>
        <v>0</v>
      </c>
      <c r="AX178" s="1797" t="str">
        <f t="shared" si="118"/>
        <v>23层2327号</v>
      </c>
      <c r="AY178" s="41">
        <f t="shared" si="94"/>
        <v>4.87</v>
      </c>
      <c r="AZ178" s="34">
        <f t="shared" si="95"/>
        <v>93.08</v>
      </c>
      <c r="BA178" s="34">
        <f t="shared" si="96"/>
        <v>93.08</v>
      </c>
      <c r="BB178" s="34">
        <f t="shared" si="97"/>
        <v>93.08</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ht="28.5">
      <c r="A179" s="9"/>
      <c r="B179" s="33"/>
      <c r="C179" s="1274" t="str">
        <f>办公清单!C172</f>
        <v>23层2328号</v>
      </c>
      <c r="D179" s="2951" t="s">
        <v>3295</v>
      </c>
      <c r="E179" s="2983">
        <v>4.8899999999999997</v>
      </c>
      <c r="F179" s="35"/>
      <c r="G179" s="36">
        <f t="shared" si="91"/>
        <v>93.08</v>
      </c>
      <c r="H179" s="37">
        <f t="shared" si="92"/>
        <v>93.08</v>
      </c>
      <c r="I179" s="2216">
        <f>办公清单!E172</f>
        <v>93.08</v>
      </c>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21"/>
      <c r="AV179" s="1797">
        <f t="shared" si="116"/>
        <v>0</v>
      </c>
      <c r="AW179" s="1797">
        <f t="shared" si="117"/>
        <v>0</v>
      </c>
      <c r="AX179" s="1797" t="str">
        <f t="shared" si="118"/>
        <v>23层2328号</v>
      </c>
      <c r="AY179" s="41">
        <f t="shared" si="94"/>
        <v>4.87</v>
      </c>
      <c r="AZ179" s="34">
        <f t="shared" si="95"/>
        <v>93.08</v>
      </c>
      <c r="BA179" s="34">
        <f t="shared" si="96"/>
        <v>93.08</v>
      </c>
      <c r="BB179" s="34">
        <f t="shared" si="97"/>
        <v>93.08</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ht="28.5">
      <c r="A180" s="9"/>
      <c r="B180" s="33"/>
      <c r="C180" s="1274" t="str">
        <f>办公清单!C173</f>
        <v>24层2401号</v>
      </c>
      <c r="D180" s="2951" t="s">
        <v>3295</v>
      </c>
      <c r="E180" s="2983">
        <v>4.24</v>
      </c>
      <c r="F180" s="35"/>
      <c r="G180" s="36">
        <f t="shared" si="91"/>
        <v>80.73</v>
      </c>
      <c r="H180" s="37">
        <f t="shared" si="92"/>
        <v>80.73</v>
      </c>
      <c r="I180" s="2216">
        <f>办公清单!E173</f>
        <v>80.73</v>
      </c>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21"/>
      <c r="AV180" s="1797">
        <f t="shared" si="116"/>
        <v>0</v>
      </c>
      <c r="AW180" s="1797">
        <f t="shared" si="117"/>
        <v>0</v>
      </c>
      <c r="AX180" s="1797" t="str">
        <f t="shared" si="118"/>
        <v>24层2401号</v>
      </c>
      <c r="AY180" s="41">
        <f t="shared" si="94"/>
        <v>4.2300000000000004</v>
      </c>
      <c r="AZ180" s="34">
        <f t="shared" si="95"/>
        <v>80.73</v>
      </c>
      <c r="BA180" s="34">
        <f t="shared" si="96"/>
        <v>80.73</v>
      </c>
      <c r="BB180" s="34">
        <f t="shared" si="97"/>
        <v>80.73</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ht="28.5">
      <c r="A181" s="9"/>
      <c r="B181" s="33"/>
      <c r="C181" s="1274" t="str">
        <f>办公清单!C174</f>
        <v>24层2402号</v>
      </c>
      <c r="D181" s="2951" t="s">
        <v>3295</v>
      </c>
      <c r="E181" s="2983">
        <v>2.74</v>
      </c>
      <c r="F181" s="35"/>
      <c r="G181" s="36">
        <f t="shared" si="91"/>
        <v>52.17</v>
      </c>
      <c r="H181" s="37">
        <f t="shared" si="92"/>
        <v>52.17</v>
      </c>
      <c r="I181" s="2216">
        <f>办公清单!E174</f>
        <v>52.17</v>
      </c>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21"/>
      <c r="AV181" s="1797">
        <f t="shared" si="116"/>
        <v>0</v>
      </c>
      <c r="AW181" s="1797">
        <f t="shared" si="117"/>
        <v>0</v>
      </c>
      <c r="AX181" s="1797" t="str">
        <f t="shared" si="118"/>
        <v>24层2402号</v>
      </c>
      <c r="AY181" s="41">
        <f t="shared" si="94"/>
        <v>2.73</v>
      </c>
      <c r="AZ181" s="34">
        <f t="shared" si="95"/>
        <v>52.17</v>
      </c>
      <c r="BA181" s="34">
        <f t="shared" si="96"/>
        <v>52.17</v>
      </c>
      <c r="BB181" s="34">
        <f t="shared" si="97"/>
        <v>52.17</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ht="28.5">
      <c r="A182" s="9"/>
      <c r="B182" s="33"/>
      <c r="C182" s="1274" t="str">
        <f>办公清单!C175</f>
        <v>24层2403号</v>
      </c>
      <c r="D182" s="2951" t="s">
        <v>3295</v>
      </c>
      <c r="E182" s="2983">
        <v>2.74</v>
      </c>
      <c r="F182" s="35"/>
      <c r="G182" s="36">
        <f t="shared" si="91"/>
        <v>52.17</v>
      </c>
      <c r="H182" s="37">
        <f t="shared" si="92"/>
        <v>52.17</v>
      </c>
      <c r="I182" s="2216">
        <f>办公清单!E175</f>
        <v>52.17</v>
      </c>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21"/>
      <c r="AV182" s="1797">
        <f t="shared" si="116"/>
        <v>0</v>
      </c>
      <c r="AW182" s="1797">
        <f t="shared" si="117"/>
        <v>0</v>
      </c>
      <c r="AX182" s="1797" t="str">
        <f t="shared" si="118"/>
        <v>24层2403号</v>
      </c>
      <c r="AY182" s="41">
        <f t="shared" si="94"/>
        <v>2.73</v>
      </c>
      <c r="AZ182" s="34">
        <f t="shared" si="95"/>
        <v>52.17</v>
      </c>
      <c r="BA182" s="34">
        <f t="shared" si="96"/>
        <v>52.17</v>
      </c>
      <c r="BB182" s="34">
        <f t="shared" si="97"/>
        <v>52.17</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ht="28.5">
      <c r="A183" s="9"/>
      <c r="B183" s="33"/>
      <c r="C183" s="1274" t="str">
        <f>办公清单!C176</f>
        <v>24层2404号</v>
      </c>
      <c r="D183" s="2951" t="s">
        <v>3295</v>
      </c>
      <c r="E183" s="2983">
        <v>2.74</v>
      </c>
      <c r="F183" s="35"/>
      <c r="G183" s="36">
        <f t="shared" si="91"/>
        <v>52.17</v>
      </c>
      <c r="H183" s="37">
        <f t="shared" si="92"/>
        <v>52.17</v>
      </c>
      <c r="I183" s="2216">
        <f>办公清单!E176</f>
        <v>52.17</v>
      </c>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21"/>
      <c r="AV183" s="1797">
        <f t="shared" si="116"/>
        <v>0</v>
      </c>
      <c r="AW183" s="1797">
        <f t="shared" si="117"/>
        <v>0</v>
      </c>
      <c r="AX183" s="1797" t="str">
        <f t="shared" si="118"/>
        <v>24层2404号</v>
      </c>
      <c r="AY183" s="41">
        <f t="shared" si="94"/>
        <v>2.73</v>
      </c>
      <c r="AZ183" s="34">
        <f t="shared" si="95"/>
        <v>52.17</v>
      </c>
      <c r="BA183" s="34">
        <f t="shared" si="96"/>
        <v>52.17</v>
      </c>
      <c r="BB183" s="34">
        <f t="shared" si="97"/>
        <v>52.17</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ht="28.5">
      <c r="A184" s="9"/>
      <c r="B184" s="33"/>
      <c r="C184" s="1274" t="str">
        <f>办公清单!C177</f>
        <v>24层2405号</v>
      </c>
      <c r="D184" s="2951" t="s">
        <v>3295</v>
      </c>
      <c r="E184" s="2983">
        <v>2.74</v>
      </c>
      <c r="F184" s="35"/>
      <c r="G184" s="36">
        <f t="shared" si="91"/>
        <v>52.17</v>
      </c>
      <c r="H184" s="37">
        <f t="shared" si="92"/>
        <v>52.17</v>
      </c>
      <c r="I184" s="2216">
        <f>办公清单!E177</f>
        <v>52.17</v>
      </c>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21"/>
      <c r="AV184" s="1797">
        <f t="shared" si="116"/>
        <v>0</v>
      </c>
      <c r="AW184" s="1797">
        <f t="shared" si="117"/>
        <v>0</v>
      </c>
      <c r="AX184" s="1797" t="str">
        <f t="shared" si="118"/>
        <v>24层2405号</v>
      </c>
      <c r="AY184" s="41">
        <f t="shared" si="94"/>
        <v>2.73</v>
      </c>
      <c r="AZ184" s="34">
        <f t="shared" si="95"/>
        <v>52.17</v>
      </c>
      <c r="BA184" s="34">
        <f t="shared" si="96"/>
        <v>52.17</v>
      </c>
      <c r="BB184" s="34">
        <f t="shared" si="97"/>
        <v>52.17</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ht="28.5">
      <c r="A185" s="9"/>
      <c r="B185" s="33"/>
      <c r="C185" s="1274" t="str">
        <f>办公清单!C178</f>
        <v>24层2406号</v>
      </c>
      <c r="D185" s="2951" t="s">
        <v>3295</v>
      </c>
      <c r="E185" s="2983">
        <v>2.74</v>
      </c>
      <c r="F185" s="35"/>
      <c r="G185" s="36">
        <f t="shared" si="91"/>
        <v>52.17</v>
      </c>
      <c r="H185" s="37">
        <f t="shared" si="92"/>
        <v>52.17</v>
      </c>
      <c r="I185" s="2216">
        <f>办公清单!E178</f>
        <v>52.17</v>
      </c>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21"/>
      <c r="AV185" s="1797">
        <f t="shared" si="116"/>
        <v>0</v>
      </c>
      <c r="AW185" s="1797">
        <f t="shared" si="117"/>
        <v>0</v>
      </c>
      <c r="AX185" s="1797" t="str">
        <f t="shared" si="118"/>
        <v>24层2406号</v>
      </c>
      <c r="AY185" s="41">
        <f t="shared" si="94"/>
        <v>2.73</v>
      </c>
      <c r="AZ185" s="34">
        <f t="shared" si="95"/>
        <v>52.17</v>
      </c>
      <c r="BA185" s="34">
        <f t="shared" si="96"/>
        <v>52.17</v>
      </c>
      <c r="BB185" s="34">
        <f t="shared" si="97"/>
        <v>52.17</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ht="28.5">
      <c r="A186" s="9"/>
      <c r="B186" s="33"/>
      <c r="C186" s="1274" t="str">
        <f>办公清单!C179</f>
        <v>24层2407号</v>
      </c>
      <c r="D186" s="2951" t="s">
        <v>3295</v>
      </c>
      <c r="E186" s="2983">
        <v>2.74</v>
      </c>
      <c r="F186" s="35"/>
      <c r="G186" s="36">
        <f t="shared" si="91"/>
        <v>52.17</v>
      </c>
      <c r="H186" s="37">
        <f t="shared" si="92"/>
        <v>52.17</v>
      </c>
      <c r="I186" s="2216">
        <f>办公清单!E179</f>
        <v>52.17</v>
      </c>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21"/>
      <c r="AV186" s="1797">
        <f t="shared" si="116"/>
        <v>0</v>
      </c>
      <c r="AW186" s="1797">
        <f t="shared" si="117"/>
        <v>0</v>
      </c>
      <c r="AX186" s="1797" t="str">
        <f t="shared" si="118"/>
        <v>24层2407号</v>
      </c>
      <c r="AY186" s="41">
        <f t="shared" si="94"/>
        <v>2.73</v>
      </c>
      <c r="AZ186" s="34">
        <f t="shared" si="95"/>
        <v>52.17</v>
      </c>
      <c r="BA186" s="34">
        <f t="shared" si="96"/>
        <v>52.17</v>
      </c>
      <c r="BB186" s="34">
        <f t="shared" si="97"/>
        <v>52.17</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ht="28.5">
      <c r="A187" s="9"/>
      <c r="B187" s="33"/>
      <c r="C187" s="1274" t="str">
        <f>办公清单!C180</f>
        <v>24层2408号</v>
      </c>
      <c r="D187" s="2951" t="s">
        <v>3295</v>
      </c>
      <c r="E187" s="2983">
        <v>2.74</v>
      </c>
      <c r="F187" s="35"/>
      <c r="G187" s="36">
        <f t="shared" si="91"/>
        <v>52.17</v>
      </c>
      <c r="H187" s="37">
        <f t="shared" si="92"/>
        <v>52.17</v>
      </c>
      <c r="I187" s="2216">
        <f>办公清单!E180</f>
        <v>52.17</v>
      </c>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21"/>
      <c r="AV187" s="1797">
        <f t="shared" si="116"/>
        <v>0</v>
      </c>
      <c r="AW187" s="1797">
        <f t="shared" si="117"/>
        <v>0</v>
      </c>
      <c r="AX187" s="1797" t="str">
        <f t="shared" si="118"/>
        <v>24层2408号</v>
      </c>
      <c r="AY187" s="41">
        <f t="shared" si="94"/>
        <v>2.73</v>
      </c>
      <c r="AZ187" s="34">
        <f t="shared" si="95"/>
        <v>52.17</v>
      </c>
      <c r="BA187" s="34">
        <f t="shared" si="96"/>
        <v>52.17</v>
      </c>
      <c r="BB187" s="34">
        <f t="shared" si="97"/>
        <v>52.17</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ht="28.5">
      <c r="A188" s="9"/>
      <c r="B188" s="33"/>
      <c r="C188" s="1274" t="str">
        <f>办公清单!C181</f>
        <v>24层2409号</v>
      </c>
      <c r="D188" s="2951" t="s">
        <v>3295</v>
      </c>
      <c r="E188" s="2983">
        <v>2.74</v>
      </c>
      <c r="F188" s="35"/>
      <c r="G188" s="36">
        <f t="shared" si="91"/>
        <v>52.17</v>
      </c>
      <c r="H188" s="37">
        <f t="shared" si="92"/>
        <v>52.17</v>
      </c>
      <c r="I188" s="2216">
        <f>办公清单!E181</f>
        <v>52.17</v>
      </c>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21"/>
      <c r="AV188" s="1797">
        <f t="shared" si="116"/>
        <v>0</v>
      </c>
      <c r="AW188" s="1797">
        <f t="shared" si="117"/>
        <v>0</v>
      </c>
      <c r="AX188" s="1797" t="str">
        <f t="shared" si="118"/>
        <v>24层2409号</v>
      </c>
      <c r="AY188" s="41">
        <f t="shared" si="94"/>
        <v>2.73</v>
      </c>
      <c r="AZ188" s="34">
        <f t="shared" si="95"/>
        <v>52.17</v>
      </c>
      <c r="BA188" s="34">
        <f t="shared" si="96"/>
        <v>52.17</v>
      </c>
      <c r="BB188" s="34">
        <f t="shared" si="97"/>
        <v>52.17</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ht="28.5">
      <c r="A189" s="9"/>
      <c r="B189" s="33"/>
      <c r="C189" s="1274" t="str">
        <f>办公清单!C182</f>
        <v>24层2410号</v>
      </c>
      <c r="D189" s="2951" t="s">
        <v>3295</v>
      </c>
      <c r="E189" s="2983">
        <v>2.74</v>
      </c>
      <c r="F189" s="35"/>
      <c r="G189" s="36">
        <f t="shared" si="91"/>
        <v>52.17</v>
      </c>
      <c r="H189" s="37">
        <f t="shared" si="92"/>
        <v>52.17</v>
      </c>
      <c r="I189" s="2216">
        <f>办公清单!E182</f>
        <v>52.17</v>
      </c>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21"/>
      <c r="AV189" s="1797">
        <f t="shared" si="116"/>
        <v>0</v>
      </c>
      <c r="AW189" s="1797">
        <f t="shared" si="117"/>
        <v>0</v>
      </c>
      <c r="AX189" s="1797" t="str">
        <f t="shared" si="118"/>
        <v>24层2410号</v>
      </c>
      <c r="AY189" s="41">
        <f t="shared" si="94"/>
        <v>2.73</v>
      </c>
      <c r="AZ189" s="34">
        <f t="shared" si="95"/>
        <v>52.17</v>
      </c>
      <c r="BA189" s="34">
        <f t="shared" si="96"/>
        <v>52.17</v>
      </c>
      <c r="BB189" s="34">
        <f t="shared" si="97"/>
        <v>52.17</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ht="28.5">
      <c r="A190" s="9"/>
      <c r="B190" s="33"/>
      <c r="C190" s="1274" t="str">
        <f>办公清单!C183</f>
        <v>24层2411号</v>
      </c>
      <c r="D190" s="2951" t="s">
        <v>3295</v>
      </c>
      <c r="E190" s="2983">
        <v>2.74</v>
      </c>
      <c r="F190" s="35"/>
      <c r="G190" s="36">
        <f t="shared" si="91"/>
        <v>52.17</v>
      </c>
      <c r="H190" s="37">
        <f t="shared" si="92"/>
        <v>52.17</v>
      </c>
      <c r="I190" s="2216">
        <f>办公清单!E183</f>
        <v>52.17</v>
      </c>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21"/>
      <c r="AV190" s="1797">
        <f t="shared" si="116"/>
        <v>0</v>
      </c>
      <c r="AW190" s="1797">
        <f t="shared" si="117"/>
        <v>0</v>
      </c>
      <c r="AX190" s="1797" t="str">
        <f t="shared" si="118"/>
        <v>24层2411号</v>
      </c>
      <c r="AY190" s="41">
        <f t="shared" si="94"/>
        <v>2.73</v>
      </c>
      <c r="AZ190" s="34">
        <f t="shared" si="95"/>
        <v>52.17</v>
      </c>
      <c r="BA190" s="34">
        <f t="shared" si="96"/>
        <v>52.17</v>
      </c>
      <c r="BB190" s="34">
        <f t="shared" si="97"/>
        <v>52.17</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ht="28.5">
      <c r="A191" s="9"/>
      <c r="B191" s="33"/>
      <c r="C191" s="1274" t="str">
        <f>办公清单!C184</f>
        <v>24层2412号</v>
      </c>
      <c r="D191" s="2951" t="s">
        <v>3295</v>
      </c>
      <c r="E191" s="2983">
        <v>4.24</v>
      </c>
      <c r="F191" s="35"/>
      <c r="G191" s="36">
        <f t="shared" si="91"/>
        <v>80.73</v>
      </c>
      <c r="H191" s="37">
        <f t="shared" si="92"/>
        <v>80.73</v>
      </c>
      <c r="I191" s="2216">
        <f>办公清单!E184</f>
        <v>80.73</v>
      </c>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21"/>
      <c r="AV191" s="1797">
        <f t="shared" si="116"/>
        <v>0</v>
      </c>
      <c r="AW191" s="1797">
        <f t="shared" si="117"/>
        <v>0</v>
      </c>
      <c r="AX191" s="1797" t="str">
        <f t="shared" si="118"/>
        <v>24层2412号</v>
      </c>
      <c r="AY191" s="41">
        <f t="shared" si="94"/>
        <v>4.2300000000000004</v>
      </c>
      <c r="AZ191" s="34">
        <f t="shared" si="95"/>
        <v>80.73</v>
      </c>
      <c r="BA191" s="34">
        <f t="shared" si="96"/>
        <v>80.73</v>
      </c>
      <c r="BB191" s="34">
        <f t="shared" si="97"/>
        <v>80.73</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ht="28.5">
      <c r="A192" s="9"/>
      <c r="B192" s="33"/>
      <c r="C192" s="1274" t="str">
        <f>办公清单!C185</f>
        <v>24层2413号</v>
      </c>
      <c r="D192" s="2951" t="s">
        <v>3295</v>
      </c>
      <c r="E192" s="2983">
        <v>3.54</v>
      </c>
      <c r="F192" s="35"/>
      <c r="G192" s="36">
        <f t="shared" si="91"/>
        <v>67.36</v>
      </c>
      <c r="H192" s="37">
        <f t="shared" si="92"/>
        <v>67.36</v>
      </c>
      <c r="I192" s="2216">
        <f>办公清单!E185</f>
        <v>67.36</v>
      </c>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21"/>
      <c r="AV192" s="1797">
        <f t="shared" si="116"/>
        <v>0</v>
      </c>
      <c r="AW192" s="1797">
        <f t="shared" si="117"/>
        <v>0</v>
      </c>
      <c r="AX192" s="1797" t="str">
        <f t="shared" si="118"/>
        <v>24层2413号</v>
      </c>
      <c r="AY192" s="41">
        <f t="shared" si="94"/>
        <v>3.53</v>
      </c>
      <c r="AZ192" s="34">
        <f t="shared" si="95"/>
        <v>67.36</v>
      </c>
      <c r="BA192" s="34">
        <f t="shared" si="96"/>
        <v>67.36</v>
      </c>
      <c r="BB192" s="34">
        <f t="shared" si="97"/>
        <v>67.36</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ht="28.5">
      <c r="A193" s="9"/>
      <c r="B193" s="33"/>
      <c r="C193" s="1274" t="str">
        <f>办公清单!C186</f>
        <v>24层2414号</v>
      </c>
      <c r="D193" s="2951" t="s">
        <v>3295</v>
      </c>
      <c r="E193" s="2983">
        <v>3.54</v>
      </c>
      <c r="F193" s="35"/>
      <c r="G193" s="36">
        <f t="shared" si="91"/>
        <v>67.36</v>
      </c>
      <c r="H193" s="37">
        <f t="shared" si="92"/>
        <v>67.36</v>
      </c>
      <c r="I193" s="2216">
        <f>办公清单!E186</f>
        <v>67.36</v>
      </c>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21"/>
      <c r="AV193" s="1797">
        <f t="shared" si="116"/>
        <v>0</v>
      </c>
      <c r="AW193" s="1797">
        <f t="shared" si="117"/>
        <v>0</v>
      </c>
      <c r="AX193" s="1797" t="str">
        <f t="shared" si="118"/>
        <v>24层2414号</v>
      </c>
      <c r="AY193" s="41">
        <f t="shared" si="94"/>
        <v>3.53</v>
      </c>
      <c r="AZ193" s="34">
        <f t="shared" si="95"/>
        <v>67.36</v>
      </c>
      <c r="BA193" s="34">
        <f t="shared" si="96"/>
        <v>67.36</v>
      </c>
      <c r="BB193" s="34">
        <f t="shared" si="97"/>
        <v>67.36</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ht="28.5">
      <c r="A194" s="9"/>
      <c r="B194" s="33"/>
      <c r="C194" s="1274" t="str">
        <f>办公清单!C187</f>
        <v>24层2415号</v>
      </c>
      <c r="D194" s="2951" t="s">
        <v>3295</v>
      </c>
      <c r="E194" s="2983">
        <v>4.24</v>
      </c>
      <c r="F194" s="35"/>
      <c r="G194" s="36">
        <f t="shared" si="91"/>
        <v>80.73</v>
      </c>
      <c r="H194" s="37">
        <f t="shared" si="92"/>
        <v>80.73</v>
      </c>
      <c r="I194" s="2216">
        <f>办公清单!E187</f>
        <v>80.73</v>
      </c>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21"/>
      <c r="AV194" s="1797">
        <f t="shared" si="116"/>
        <v>0</v>
      </c>
      <c r="AW194" s="1797">
        <f t="shared" si="117"/>
        <v>0</v>
      </c>
      <c r="AX194" s="1797" t="str">
        <f t="shared" si="118"/>
        <v>24层2415号</v>
      </c>
      <c r="AY194" s="41">
        <f t="shared" si="94"/>
        <v>4.2300000000000004</v>
      </c>
      <c r="AZ194" s="34">
        <f t="shared" si="95"/>
        <v>80.73</v>
      </c>
      <c r="BA194" s="34">
        <f t="shared" si="96"/>
        <v>80.73</v>
      </c>
      <c r="BB194" s="34">
        <f t="shared" si="97"/>
        <v>80.73</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ht="28.5">
      <c r="A195" s="9"/>
      <c r="B195" s="33"/>
      <c r="C195" s="1274" t="str">
        <f>办公清单!C188</f>
        <v>24层2416号</v>
      </c>
      <c r="D195" s="2951" t="s">
        <v>3295</v>
      </c>
      <c r="E195" s="2983">
        <v>2.74</v>
      </c>
      <c r="F195" s="35"/>
      <c r="G195" s="36">
        <f t="shared" si="91"/>
        <v>52.17</v>
      </c>
      <c r="H195" s="37">
        <f t="shared" si="92"/>
        <v>52.17</v>
      </c>
      <c r="I195" s="2216">
        <f>办公清单!E188</f>
        <v>52.17</v>
      </c>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21"/>
      <c r="AV195" s="1797">
        <f t="shared" si="116"/>
        <v>0</v>
      </c>
      <c r="AW195" s="1797">
        <f t="shared" si="117"/>
        <v>0</v>
      </c>
      <c r="AX195" s="1797" t="str">
        <f t="shared" si="118"/>
        <v>24层2416号</v>
      </c>
      <c r="AY195" s="41">
        <f t="shared" si="94"/>
        <v>2.73</v>
      </c>
      <c r="AZ195" s="34">
        <f t="shared" si="95"/>
        <v>52.17</v>
      </c>
      <c r="BA195" s="34">
        <f t="shared" si="96"/>
        <v>52.17</v>
      </c>
      <c r="BB195" s="34">
        <f t="shared" si="97"/>
        <v>52.17</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ht="28.5">
      <c r="A196" s="9"/>
      <c r="B196" s="33"/>
      <c r="C196" s="1274" t="str">
        <f>办公清单!C189</f>
        <v>24层2417号</v>
      </c>
      <c r="D196" s="2951" t="s">
        <v>3295</v>
      </c>
      <c r="E196" s="2983">
        <v>2.74</v>
      </c>
      <c r="F196" s="35"/>
      <c r="G196" s="36">
        <f t="shared" si="91"/>
        <v>52.17</v>
      </c>
      <c r="H196" s="37">
        <f t="shared" si="92"/>
        <v>52.17</v>
      </c>
      <c r="I196" s="2216">
        <f>办公清单!E189</f>
        <v>52.17</v>
      </c>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21"/>
      <c r="AV196" s="1797">
        <f t="shared" si="116"/>
        <v>0</v>
      </c>
      <c r="AW196" s="1797">
        <f t="shared" si="117"/>
        <v>0</v>
      </c>
      <c r="AX196" s="1797" t="str">
        <f t="shared" si="118"/>
        <v>24层2417号</v>
      </c>
      <c r="AY196" s="41">
        <f t="shared" si="94"/>
        <v>2.73</v>
      </c>
      <c r="AZ196" s="34">
        <f t="shared" si="95"/>
        <v>52.17</v>
      </c>
      <c r="BA196" s="34">
        <f t="shared" si="96"/>
        <v>52.17</v>
      </c>
      <c r="BB196" s="34">
        <f t="shared" si="97"/>
        <v>52.17</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ht="28.5">
      <c r="A197" s="9"/>
      <c r="B197" s="33"/>
      <c r="C197" s="1274" t="str">
        <f>办公清单!C190</f>
        <v>24层2418号</v>
      </c>
      <c r="D197" s="2951" t="s">
        <v>3295</v>
      </c>
      <c r="E197" s="2983">
        <v>2.74</v>
      </c>
      <c r="F197" s="35"/>
      <c r="G197" s="36">
        <f t="shared" si="91"/>
        <v>52.17</v>
      </c>
      <c r="H197" s="37">
        <f t="shared" si="92"/>
        <v>52.17</v>
      </c>
      <c r="I197" s="2216">
        <f>办公清单!E190</f>
        <v>52.17</v>
      </c>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21"/>
      <c r="AV197" s="1797">
        <f t="shared" si="116"/>
        <v>0</v>
      </c>
      <c r="AW197" s="1797">
        <f t="shared" si="117"/>
        <v>0</v>
      </c>
      <c r="AX197" s="1797" t="str">
        <f t="shared" si="118"/>
        <v>24层2418号</v>
      </c>
      <c r="AY197" s="41">
        <f t="shared" si="94"/>
        <v>2.73</v>
      </c>
      <c r="AZ197" s="34">
        <f t="shared" si="95"/>
        <v>52.17</v>
      </c>
      <c r="BA197" s="34">
        <f t="shared" si="96"/>
        <v>52.17</v>
      </c>
      <c r="BB197" s="34">
        <f t="shared" si="97"/>
        <v>52.17</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ht="28.5">
      <c r="A198" s="9"/>
      <c r="B198" s="33"/>
      <c r="C198" s="1274" t="str">
        <f>办公清单!C191</f>
        <v>24层2419号</v>
      </c>
      <c r="D198" s="2951" t="s">
        <v>3295</v>
      </c>
      <c r="E198" s="2983">
        <v>2.74</v>
      </c>
      <c r="F198" s="35"/>
      <c r="G198" s="36">
        <f t="shared" si="91"/>
        <v>52.17</v>
      </c>
      <c r="H198" s="37">
        <f t="shared" si="92"/>
        <v>52.17</v>
      </c>
      <c r="I198" s="2216">
        <f>办公清单!E191</f>
        <v>52.17</v>
      </c>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21"/>
      <c r="AV198" s="1797">
        <f t="shared" si="116"/>
        <v>0</v>
      </c>
      <c r="AW198" s="1797">
        <f t="shared" si="117"/>
        <v>0</v>
      </c>
      <c r="AX198" s="1797" t="str">
        <f t="shared" si="118"/>
        <v>24层2419号</v>
      </c>
      <c r="AY198" s="41">
        <f t="shared" si="94"/>
        <v>2.73</v>
      </c>
      <c r="AZ198" s="34">
        <f t="shared" si="95"/>
        <v>52.17</v>
      </c>
      <c r="BA198" s="34">
        <f t="shared" si="96"/>
        <v>52.17</v>
      </c>
      <c r="BB198" s="34">
        <f t="shared" si="97"/>
        <v>52.17</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ht="28.5">
      <c r="A199" s="9"/>
      <c r="B199" s="33"/>
      <c r="C199" s="1274" t="str">
        <f>办公清单!C192</f>
        <v>24层2420号</v>
      </c>
      <c r="D199" s="2951" t="s">
        <v>3295</v>
      </c>
      <c r="E199" s="2983">
        <v>2.74</v>
      </c>
      <c r="F199" s="35"/>
      <c r="G199" s="36">
        <f t="shared" si="91"/>
        <v>52.17</v>
      </c>
      <c r="H199" s="37">
        <f t="shared" si="92"/>
        <v>52.17</v>
      </c>
      <c r="I199" s="2216">
        <f>办公清单!E192</f>
        <v>52.17</v>
      </c>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21"/>
      <c r="AV199" s="1797">
        <f t="shared" si="116"/>
        <v>0</v>
      </c>
      <c r="AW199" s="1797">
        <f t="shared" si="117"/>
        <v>0</v>
      </c>
      <c r="AX199" s="1797" t="str">
        <f t="shared" si="118"/>
        <v>24层2420号</v>
      </c>
      <c r="AY199" s="41">
        <f t="shared" si="94"/>
        <v>2.73</v>
      </c>
      <c r="AZ199" s="34">
        <f t="shared" si="95"/>
        <v>52.17</v>
      </c>
      <c r="BA199" s="34">
        <f t="shared" si="96"/>
        <v>52.17</v>
      </c>
      <c r="BB199" s="34">
        <f t="shared" si="97"/>
        <v>52.17</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ht="28.5">
      <c r="A200" s="9"/>
      <c r="B200" s="33"/>
      <c r="C200" s="1274" t="str">
        <f>办公清单!C193</f>
        <v>24层2421号</v>
      </c>
      <c r="D200" s="2951" t="s">
        <v>3295</v>
      </c>
      <c r="E200" s="2983">
        <v>2.74</v>
      </c>
      <c r="F200" s="35"/>
      <c r="G200" s="36">
        <f t="shared" si="91"/>
        <v>52.17</v>
      </c>
      <c r="H200" s="37">
        <f t="shared" si="92"/>
        <v>52.17</v>
      </c>
      <c r="I200" s="2216">
        <f>办公清单!E193</f>
        <v>52.17</v>
      </c>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21"/>
      <c r="AV200" s="1797">
        <f t="shared" si="116"/>
        <v>0</v>
      </c>
      <c r="AW200" s="1797">
        <f t="shared" si="117"/>
        <v>0</v>
      </c>
      <c r="AX200" s="1797" t="str">
        <f t="shared" si="118"/>
        <v>24层2421号</v>
      </c>
      <c r="AY200" s="41">
        <f t="shared" si="94"/>
        <v>2.73</v>
      </c>
      <c r="AZ200" s="34">
        <f t="shared" si="95"/>
        <v>52.17</v>
      </c>
      <c r="BA200" s="34">
        <f t="shared" si="96"/>
        <v>52.17</v>
      </c>
      <c r="BB200" s="34">
        <f t="shared" si="97"/>
        <v>52.17</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ht="28.5">
      <c r="A201" s="9"/>
      <c r="B201" s="33"/>
      <c r="C201" s="1274" t="str">
        <f>办公清单!C194</f>
        <v>24层2422号</v>
      </c>
      <c r="D201" s="2951" t="s">
        <v>3295</v>
      </c>
      <c r="E201" s="2983">
        <v>2.74</v>
      </c>
      <c r="F201" s="35"/>
      <c r="G201" s="36">
        <f t="shared" si="91"/>
        <v>52.17</v>
      </c>
      <c r="H201" s="37">
        <f t="shared" si="92"/>
        <v>52.17</v>
      </c>
      <c r="I201" s="2216">
        <f>办公清单!E194</f>
        <v>52.17</v>
      </c>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21"/>
      <c r="AV201" s="1797">
        <f t="shared" si="116"/>
        <v>0</v>
      </c>
      <c r="AW201" s="1797">
        <f t="shared" si="117"/>
        <v>0</v>
      </c>
      <c r="AX201" s="1797" t="str">
        <f t="shared" si="118"/>
        <v>24层2422号</v>
      </c>
      <c r="AY201" s="41">
        <f t="shared" si="94"/>
        <v>2.73</v>
      </c>
      <c r="AZ201" s="34">
        <f t="shared" si="95"/>
        <v>52.17</v>
      </c>
      <c r="BA201" s="34">
        <f t="shared" si="96"/>
        <v>52.17</v>
      </c>
      <c r="BB201" s="34">
        <f t="shared" si="97"/>
        <v>52.17</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ht="28.5">
      <c r="A202" s="9"/>
      <c r="B202" s="33"/>
      <c r="C202" s="1274" t="str">
        <f>办公清单!C195</f>
        <v>24层2423号</v>
      </c>
      <c r="D202" s="2951" t="s">
        <v>3295</v>
      </c>
      <c r="E202" s="2983">
        <v>2.74</v>
      </c>
      <c r="F202" s="35"/>
      <c r="G202" s="36">
        <f t="shared" si="91"/>
        <v>52.17</v>
      </c>
      <c r="H202" s="37">
        <f t="shared" si="92"/>
        <v>52.17</v>
      </c>
      <c r="I202" s="2216">
        <f>办公清单!E195</f>
        <v>52.17</v>
      </c>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21"/>
      <c r="AV202" s="1797">
        <f t="shared" si="116"/>
        <v>0</v>
      </c>
      <c r="AW202" s="1797">
        <f t="shared" si="117"/>
        <v>0</v>
      </c>
      <c r="AX202" s="1797" t="str">
        <f t="shared" si="118"/>
        <v>24层2423号</v>
      </c>
      <c r="AY202" s="41">
        <f t="shared" si="94"/>
        <v>2.73</v>
      </c>
      <c r="AZ202" s="34">
        <f t="shared" si="95"/>
        <v>52.17</v>
      </c>
      <c r="BA202" s="34">
        <f t="shared" si="96"/>
        <v>52.17</v>
      </c>
      <c r="BB202" s="34">
        <f t="shared" si="97"/>
        <v>52.17</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ht="28.5">
      <c r="A203" s="9"/>
      <c r="B203" s="33"/>
      <c r="C203" s="1274" t="str">
        <f>办公清单!C196</f>
        <v>24层2424号</v>
      </c>
      <c r="D203" s="2951" t="s">
        <v>3295</v>
      </c>
      <c r="E203" s="2983">
        <v>2.74</v>
      </c>
      <c r="F203" s="35"/>
      <c r="G203" s="36">
        <f t="shared" si="91"/>
        <v>52.17</v>
      </c>
      <c r="H203" s="37">
        <f t="shared" si="92"/>
        <v>52.17</v>
      </c>
      <c r="I203" s="2216">
        <f>办公清单!E196</f>
        <v>52.17</v>
      </c>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21"/>
      <c r="AV203" s="1797">
        <f t="shared" si="116"/>
        <v>0</v>
      </c>
      <c r="AW203" s="1797">
        <f t="shared" si="117"/>
        <v>0</v>
      </c>
      <c r="AX203" s="1797" t="str">
        <f t="shared" si="118"/>
        <v>24层2424号</v>
      </c>
      <c r="AY203" s="41">
        <f t="shared" si="94"/>
        <v>2.73</v>
      </c>
      <c r="AZ203" s="34">
        <f t="shared" si="95"/>
        <v>52.17</v>
      </c>
      <c r="BA203" s="34">
        <f t="shared" si="96"/>
        <v>52.17</v>
      </c>
      <c r="BB203" s="34">
        <f t="shared" si="97"/>
        <v>52.17</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ht="28.5">
      <c r="A204" s="9"/>
      <c r="B204" s="33"/>
      <c r="C204" s="1274" t="str">
        <f>办公清单!C197</f>
        <v>24层2425号</v>
      </c>
      <c r="D204" s="2951" t="s">
        <v>3295</v>
      </c>
      <c r="E204" s="2983">
        <v>2.74</v>
      </c>
      <c r="F204" s="35"/>
      <c r="G204" s="36">
        <f t="shared" si="91"/>
        <v>52.17</v>
      </c>
      <c r="H204" s="37">
        <f t="shared" si="92"/>
        <v>52.17</v>
      </c>
      <c r="I204" s="2216">
        <f>办公清单!E197</f>
        <v>52.17</v>
      </c>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21"/>
      <c r="AV204" s="1797">
        <f t="shared" si="116"/>
        <v>0</v>
      </c>
      <c r="AW204" s="1797">
        <f t="shared" si="117"/>
        <v>0</v>
      </c>
      <c r="AX204" s="1797" t="str">
        <f t="shared" si="118"/>
        <v>24层2425号</v>
      </c>
      <c r="AY204" s="41">
        <f t="shared" si="94"/>
        <v>2.73</v>
      </c>
      <c r="AZ204" s="34">
        <f t="shared" si="95"/>
        <v>52.17</v>
      </c>
      <c r="BA204" s="34">
        <f t="shared" si="96"/>
        <v>52.17</v>
      </c>
      <c r="BB204" s="34">
        <f t="shared" si="97"/>
        <v>52.17</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ht="28.5">
      <c r="A205" s="9"/>
      <c r="B205" s="9"/>
      <c r="C205" s="1274" t="str">
        <f>办公清单!C198</f>
        <v>24层2426号</v>
      </c>
      <c r="D205" s="2951" t="s">
        <v>3295</v>
      </c>
      <c r="E205" s="2983">
        <v>4.24</v>
      </c>
      <c r="F205" s="43"/>
      <c r="G205" s="36">
        <f t="shared" si="91"/>
        <v>80.73</v>
      </c>
      <c r="H205" s="37">
        <f t="shared" si="92"/>
        <v>80.73</v>
      </c>
      <c r="I205" s="2216">
        <f>办公清单!E198</f>
        <v>80.73</v>
      </c>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7"/>
      <c r="AV205" s="1797">
        <f t="shared" si="116"/>
        <v>0</v>
      </c>
      <c r="AW205" s="1797">
        <f t="shared" si="117"/>
        <v>0</v>
      </c>
      <c r="AX205" s="1797" t="str">
        <f t="shared" si="118"/>
        <v>24层2426号</v>
      </c>
      <c r="AY205" s="41">
        <f t="shared" si="94"/>
        <v>4.2300000000000004</v>
      </c>
      <c r="AZ205" s="34">
        <f t="shared" si="95"/>
        <v>80.73</v>
      </c>
      <c r="BA205" s="34">
        <f t="shared" si="96"/>
        <v>80.73</v>
      </c>
      <c r="BB205" s="34">
        <f t="shared" si="97"/>
        <v>80.73</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ht="28.5">
      <c r="A206" s="9"/>
      <c r="B206" s="9"/>
      <c r="C206" s="1274" t="str">
        <f>办公清单!C199</f>
        <v>24层2427号</v>
      </c>
      <c r="D206" s="2951" t="s">
        <v>3295</v>
      </c>
      <c r="E206" s="2983">
        <v>4.8899999999999997</v>
      </c>
      <c r="F206" s="43"/>
      <c r="G206" s="36">
        <f>H206+AC206+AT206</f>
        <v>93.08</v>
      </c>
      <c r="H206" s="37">
        <f>SUMIF(I$12:AB$12,"总值",I206:AB206)</f>
        <v>93.08</v>
      </c>
      <c r="I206" s="2216">
        <f>办公清单!E199</f>
        <v>93.08</v>
      </c>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16"/>
        <v>0</v>
      </c>
      <c r="AW206" s="1797">
        <f t="shared" si="117"/>
        <v>0</v>
      </c>
      <c r="AX206" s="1797" t="str">
        <f t="shared" si="118"/>
        <v>24层2427号</v>
      </c>
      <c r="AY206" s="41">
        <f>ROUND($AY$6*AZ206/$AZ$5,2)</f>
        <v>4.87</v>
      </c>
      <c r="AZ206" s="34">
        <f>BA206+BL206</f>
        <v>93.08</v>
      </c>
      <c r="BA206" s="34">
        <f>SUM(BB206:BK206)</f>
        <v>93.08</v>
      </c>
      <c r="BB206" s="34">
        <f t="shared" si="97"/>
        <v>93.08</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ht="28.5">
      <c r="A207" s="9"/>
      <c r="B207" s="9"/>
      <c r="C207" s="1274" t="str">
        <f>办公清单!C200</f>
        <v>24层2428号</v>
      </c>
      <c r="D207" s="2951" t="s">
        <v>3295</v>
      </c>
      <c r="E207" s="2983">
        <v>4.8899999999999997</v>
      </c>
      <c r="F207" s="43"/>
      <c r="G207" s="36">
        <f>H207+AC207+AT207</f>
        <v>93.08</v>
      </c>
      <c r="H207" s="37">
        <f>SUMIF(I$12:AB$12,"总值",I207:AB207)</f>
        <v>93.08</v>
      </c>
      <c r="I207" s="2216">
        <f>办公清单!E200</f>
        <v>93.08</v>
      </c>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16"/>
        <v>0</v>
      </c>
      <c r="AW207" s="1797">
        <f t="shared" si="117"/>
        <v>0</v>
      </c>
      <c r="AX207" s="1797" t="str">
        <f t="shared" si="118"/>
        <v>24层2428号</v>
      </c>
      <c r="AY207" s="41">
        <f>ROUND($AY$6*AZ207/$AZ$5,2)</f>
        <v>4.87</v>
      </c>
      <c r="AZ207" s="34">
        <f>BA207+BL207</f>
        <v>93.08</v>
      </c>
      <c r="BA207" s="34">
        <f>SUM(BB207:BK207)</f>
        <v>93.08</v>
      </c>
      <c r="BB207" s="34">
        <f t="shared" si="97"/>
        <v>93.08</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ht="28.5">
      <c r="A208" s="9"/>
      <c r="B208" s="33"/>
      <c r="C208" s="1274" t="str">
        <f>办公清单!C201</f>
        <v>25层2501号</v>
      </c>
      <c r="D208" s="2951" t="s">
        <v>3295</v>
      </c>
      <c r="E208" s="2983">
        <v>4.24</v>
      </c>
      <c r="F208" s="35"/>
      <c r="G208" s="36">
        <f t="shared" ref="G208:G299" si="119">H208+AC208+AT208</f>
        <v>80.73</v>
      </c>
      <c r="H208" s="37">
        <f t="shared" ref="H208:H299" si="120">SUMIF(I$12:AB$12,"总值",I208:AB208)</f>
        <v>80.73</v>
      </c>
      <c r="I208" s="2216">
        <f>办公清单!E201</f>
        <v>80.73</v>
      </c>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21"/>
      <c r="AV208" s="1797">
        <f t="shared" ref="AV208:AV302" si="122">A208</f>
        <v>0</v>
      </c>
      <c r="AW208" s="1797">
        <f t="shared" ref="AW208:AW302" si="123">B208</f>
        <v>0</v>
      </c>
      <c r="AX208" s="1797" t="str">
        <f t="shared" ref="AX208:AX302" si="124">C208</f>
        <v>25层2501号</v>
      </c>
      <c r="AY208" s="41">
        <f t="shared" ref="AY208:AY299" si="125">ROUND($AY$6*AZ208/$AZ$5,2)</f>
        <v>4.2300000000000004</v>
      </c>
      <c r="AZ208" s="34">
        <f t="shared" ref="AZ208:AZ299" si="126">BA208+BL208</f>
        <v>80.73</v>
      </c>
      <c r="BA208" s="34">
        <f t="shared" ref="BA208:BA299" si="127">SUM(BB208:BK208)</f>
        <v>80.73</v>
      </c>
      <c r="BB208" s="34">
        <f t="shared" ref="BB208:BB299" si="128">IF($D208="是",I208-J208,0)</f>
        <v>80.73</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ht="28.5">
      <c r="A209" s="9"/>
      <c r="B209" s="33"/>
      <c r="C209" s="1274" t="str">
        <f>办公清单!C202</f>
        <v>25层2502号</v>
      </c>
      <c r="D209" s="2951" t="s">
        <v>3295</v>
      </c>
      <c r="E209" s="2983" t="s">
        <v>4626</v>
      </c>
      <c r="F209" s="35"/>
      <c r="G209" s="36">
        <f t="shared" si="119"/>
        <v>52.17</v>
      </c>
      <c r="H209" s="37">
        <f t="shared" si="120"/>
        <v>52.17</v>
      </c>
      <c r="I209" s="2216">
        <f>办公清单!E202</f>
        <v>52.17</v>
      </c>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21"/>
      <c r="AV209" s="1797">
        <f t="shared" si="122"/>
        <v>0</v>
      </c>
      <c r="AW209" s="1797">
        <f t="shared" si="123"/>
        <v>0</v>
      </c>
      <c r="AX209" s="1797" t="str">
        <f t="shared" si="124"/>
        <v>25层2502号</v>
      </c>
      <c r="AY209" s="41">
        <f t="shared" si="125"/>
        <v>2.73</v>
      </c>
      <c r="AZ209" s="34">
        <f t="shared" si="126"/>
        <v>52.17</v>
      </c>
      <c r="BA209" s="34">
        <f t="shared" si="127"/>
        <v>52.17</v>
      </c>
      <c r="BB209" s="34">
        <f t="shared" si="128"/>
        <v>52.17</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ht="28.5">
      <c r="A210" s="9"/>
      <c r="B210" s="33"/>
      <c r="C210" s="1274" t="str">
        <f>办公清单!C203</f>
        <v>25层2503号</v>
      </c>
      <c r="D210" s="2951" t="s">
        <v>3295</v>
      </c>
      <c r="E210" s="2983">
        <v>2.74</v>
      </c>
      <c r="F210" s="35"/>
      <c r="G210" s="36">
        <f t="shared" si="119"/>
        <v>52.17</v>
      </c>
      <c r="H210" s="37">
        <f t="shared" si="120"/>
        <v>52.17</v>
      </c>
      <c r="I210" s="2216">
        <f>办公清单!E203</f>
        <v>52.17</v>
      </c>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21"/>
      <c r="AV210" s="1797">
        <f t="shared" si="122"/>
        <v>0</v>
      </c>
      <c r="AW210" s="1797">
        <f t="shared" si="123"/>
        <v>0</v>
      </c>
      <c r="AX210" s="1797" t="str">
        <f t="shared" si="124"/>
        <v>25层2503号</v>
      </c>
      <c r="AY210" s="41">
        <f t="shared" si="125"/>
        <v>2.73</v>
      </c>
      <c r="AZ210" s="34">
        <f t="shared" si="126"/>
        <v>52.17</v>
      </c>
      <c r="BA210" s="34">
        <f t="shared" si="127"/>
        <v>52.17</v>
      </c>
      <c r="BB210" s="34">
        <f t="shared" si="128"/>
        <v>52.17</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ht="28.5">
      <c r="A211" s="9"/>
      <c r="B211" s="33"/>
      <c r="C211" s="1274" t="str">
        <f>办公清单!C204</f>
        <v>25层2504号</v>
      </c>
      <c r="D211" s="2951" t="s">
        <v>3295</v>
      </c>
      <c r="E211" s="2983">
        <v>2.74</v>
      </c>
      <c r="F211" s="35"/>
      <c r="G211" s="36">
        <f t="shared" si="119"/>
        <v>52.17</v>
      </c>
      <c r="H211" s="37">
        <f t="shared" si="120"/>
        <v>52.17</v>
      </c>
      <c r="I211" s="2216">
        <f>办公清单!E204</f>
        <v>52.17</v>
      </c>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21"/>
      <c r="AV211" s="1797">
        <f t="shared" si="122"/>
        <v>0</v>
      </c>
      <c r="AW211" s="1797">
        <f t="shared" si="123"/>
        <v>0</v>
      </c>
      <c r="AX211" s="1797" t="str">
        <f t="shared" si="124"/>
        <v>25层2504号</v>
      </c>
      <c r="AY211" s="41">
        <f t="shared" si="125"/>
        <v>2.73</v>
      </c>
      <c r="AZ211" s="34">
        <f t="shared" si="126"/>
        <v>52.17</v>
      </c>
      <c r="BA211" s="34">
        <f t="shared" si="127"/>
        <v>52.17</v>
      </c>
      <c r="BB211" s="34">
        <f t="shared" si="128"/>
        <v>52.17</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ht="28.5">
      <c r="A212" s="9"/>
      <c r="B212" s="33"/>
      <c r="C212" s="1274" t="str">
        <f>办公清单!C205</f>
        <v>25层2505号</v>
      </c>
      <c r="D212" s="2951" t="s">
        <v>3295</v>
      </c>
      <c r="E212" s="2983">
        <v>2.74</v>
      </c>
      <c r="F212" s="35"/>
      <c r="G212" s="36">
        <f t="shared" si="119"/>
        <v>52.17</v>
      </c>
      <c r="H212" s="37">
        <f t="shared" si="120"/>
        <v>52.17</v>
      </c>
      <c r="I212" s="2216">
        <f>办公清单!E205</f>
        <v>52.17</v>
      </c>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21"/>
      <c r="AV212" s="1797">
        <f t="shared" si="122"/>
        <v>0</v>
      </c>
      <c r="AW212" s="1797">
        <f t="shared" si="123"/>
        <v>0</v>
      </c>
      <c r="AX212" s="1797" t="str">
        <f t="shared" si="124"/>
        <v>25层2505号</v>
      </c>
      <c r="AY212" s="41">
        <f t="shared" si="125"/>
        <v>2.73</v>
      </c>
      <c r="AZ212" s="34">
        <f t="shared" si="126"/>
        <v>52.17</v>
      </c>
      <c r="BA212" s="34">
        <f t="shared" si="127"/>
        <v>52.17</v>
      </c>
      <c r="BB212" s="34">
        <f t="shared" si="128"/>
        <v>52.17</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ht="28.5">
      <c r="A213" s="9"/>
      <c r="B213" s="33"/>
      <c r="C213" s="1274" t="str">
        <f>办公清单!C206</f>
        <v>25层2506号</v>
      </c>
      <c r="D213" s="2951" t="s">
        <v>3295</v>
      </c>
      <c r="E213" s="2983">
        <v>2.74</v>
      </c>
      <c r="F213" s="35"/>
      <c r="G213" s="36">
        <f t="shared" si="119"/>
        <v>52.17</v>
      </c>
      <c r="H213" s="37">
        <f t="shared" si="120"/>
        <v>52.17</v>
      </c>
      <c r="I213" s="2216">
        <f>办公清单!E206</f>
        <v>52.17</v>
      </c>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21"/>
      <c r="AV213" s="1797">
        <f t="shared" si="122"/>
        <v>0</v>
      </c>
      <c r="AW213" s="1797">
        <f t="shared" si="123"/>
        <v>0</v>
      </c>
      <c r="AX213" s="1797" t="str">
        <f t="shared" si="124"/>
        <v>25层2506号</v>
      </c>
      <c r="AY213" s="41">
        <f t="shared" si="125"/>
        <v>2.73</v>
      </c>
      <c r="AZ213" s="34">
        <f t="shared" si="126"/>
        <v>52.17</v>
      </c>
      <c r="BA213" s="34">
        <f t="shared" si="127"/>
        <v>52.17</v>
      </c>
      <c r="BB213" s="34">
        <f t="shared" si="128"/>
        <v>52.17</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ht="28.5">
      <c r="A214" s="9"/>
      <c r="B214" s="33"/>
      <c r="C214" s="1274" t="str">
        <f>办公清单!C207</f>
        <v>25层2507号</v>
      </c>
      <c r="D214" s="2951" t="s">
        <v>3295</v>
      </c>
      <c r="E214" s="2983">
        <v>2.74</v>
      </c>
      <c r="F214" s="35"/>
      <c r="G214" s="36">
        <f t="shared" si="119"/>
        <v>52.17</v>
      </c>
      <c r="H214" s="37">
        <f t="shared" si="120"/>
        <v>52.17</v>
      </c>
      <c r="I214" s="2216">
        <f>办公清单!E207</f>
        <v>52.17</v>
      </c>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21"/>
      <c r="AV214" s="1797">
        <f t="shared" si="122"/>
        <v>0</v>
      </c>
      <c r="AW214" s="1797">
        <f t="shared" si="123"/>
        <v>0</v>
      </c>
      <c r="AX214" s="1797" t="str">
        <f t="shared" si="124"/>
        <v>25层2507号</v>
      </c>
      <c r="AY214" s="41">
        <f t="shared" si="125"/>
        <v>2.73</v>
      </c>
      <c r="AZ214" s="34">
        <f t="shared" si="126"/>
        <v>52.17</v>
      </c>
      <c r="BA214" s="34">
        <f t="shared" si="127"/>
        <v>52.17</v>
      </c>
      <c r="BB214" s="34">
        <f t="shared" si="128"/>
        <v>52.17</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ht="28.5">
      <c r="A215" s="9"/>
      <c r="B215" s="33"/>
      <c r="C215" s="1274" t="str">
        <f>办公清单!C208</f>
        <v>25层2508号</v>
      </c>
      <c r="D215" s="2951" t="s">
        <v>3295</v>
      </c>
      <c r="E215" s="2983">
        <v>2.74</v>
      </c>
      <c r="F215" s="35"/>
      <c r="G215" s="36">
        <f t="shared" si="119"/>
        <v>52.17</v>
      </c>
      <c r="H215" s="37">
        <f t="shared" si="120"/>
        <v>52.17</v>
      </c>
      <c r="I215" s="2216">
        <f>办公清单!E208</f>
        <v>52.17</v>
      </c>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21"/>
      <c r="AV215" s="1797">
        <f t="shared" si="122"/>
        <v>0</v>
      </c>
      <c r="AW215" s="1797">
        <f t="shared" si="123"/>
        <v>0</v>
      </c>
      <c r="AX215" s="1797" t="str">
        <f t="shared" si="124"/>
        <v>25层2508号</v>
      </c>
      <c r="AY215" s="41">
        <f t="shared" si="125"/>
        <v>2.73</v>
      </c>
      <c r="AZ215" s="34">
        <f t="shared" si="126"/>
        <v>52.17</v>
      </c>
      <c r="BA215" s="34">
        <f t="shared" si="127"/>
        <v>52.17</v>
      </c>
      <c r="BB215" s="34">
        <f t="shared" si="128"/>
        <v>52.17</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ht="28.5">
      <c r="A216" s="9"/>
      <c r="B216" s="33"/>
      <c r="C216" s="1274" t="str">
        <f>办公清单!C209</f>
        <v>25层2509号</v>
      </c>
      <c r="D216" s="2951" t="s">
        <v>3295</v>
      </c>
      <c r="E216" s="2983">
        <v>2.74</v>
      </c>
      <c r="F216" s="35"/>
      <c r="G216" s="36">
        <f t="shared" si="119"/>
        <v>52.17</v>
      </c>
      <c r="H216" s="37">
        <f t="shared" si="120"/>
        <v>52.17</v>
      </c>
      <c r="I216" s="2216">
        <f>办公清单!E209</f>
        <v>52.17</v>
      </c>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21"/>
      <c r="AV216" s="1797">
        <f t="shared" si="122"/>
        <v>0</v>
      </c>
      <c r="AW216" s="1797">
        <f t="shared" si="123"/>
        <v>0</v>
      </c>
      <c r="AX216" s="1797" t="str">
        <f t="shared" si="124"/>
        <v>25层2509号</v>
      </c>
      <c r="AY216" s="41">
        <f t="shared" si="125"/>
        <v>2.73</v>
      </c>
      <c r="AZ216" s="34">
        <f t="shared" si="126"/>
        <v>52.17</v>
      </c>
      <c r="BA216" s="34">
        <f t="shared" si="127"/>
        <v>52.17</v>
      </c>
      <c r="BB216" s="34">
        <f t="shared" si="128"/>
        <v>52.17</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ht="28.5">
      <c r="A217" s="9"/>
      <c r="B217" s="33"/>
      <c r="C217" s="1274" t="str">
        <f>办公清单!C210</f>
        <v>25层2510号</v>
      </c>
      <c r="D217" s="2951" t="s">
        <v>3295</v>
      </c>
      <c r="E217" s="2983">
        <v>2.74</v>
      </c>
      <c r="F217" s="35"/>
      <c r="G217" s="36">
        <f t="shared" si="119"/>
        <v>52.17</v>
      </c>
      <c r="H217" s="37">
        <f t="shared" si="120"/>
        <v>52.17</v>
      </c>
      <c r="I217" s="2216">
        <f>办公清单!E210</f>
        <v>52.17</v>
      </c>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21"/>
      <c r="AV217" s="1797">
        <f t="shared" si="122"/>
        <v>0</v>
      </c>
      <c r="AW217" s="1797">
        <f t="shared" si="123"/>
        <v>0</v>
      </c>
      <c r="AX217" s="1797" t="str">
        <f t="shared" si="124"/>
        <v>25层2510号</v>
      </c>
      <c r="AY217" s="41">
        <f t="shared" si="125"/>
        <v>2.73</v>
      </c>
      <c r="AZ217" s="34">
        <f t="shared" si="126"/>
        <v>52.17</v>
      </c>
      <c r="BA217" s="34">
        <f t="shared" si="127"/>
        <v>52.17</v>
      </c>
      <c r="BB217" s="34">
        <f t="shared" si="128"/>
        <v>52.17</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ht="28.5">
      <c r="A218" s="9"/>
      <c r="B218" s="33"/>
      <c r="C218" s="1274" t="str">
        <f>办公清单!C211</f>
        <v>25层2511号</v>
      </c>
      <c r="D218" s="2951" t="s">
        <v>3295</v>
      </c>
      <c r="E218" s="2983">
        <v>2.74</v>
      </c>
      <c r="F218" s="35"/>
      <c r="G218" s="36">
        <f t="shared" si="119"/>
        <v>52.17</v>
      </c>
      <c r="H218" s="37">
        <f t="shared" si="120"/>
        <v>52.17</v>
      </c>
      <c r="I218" s="2216">
        <f>办公清单!E211</f>
        <v>52.17</v>
      </c>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21"/>
      <c r="AV218" s="1797">
        <f t="shared" si="122"/>
        <v>0</v>
      </c>
      <c r="AW218" s="1797">
        <f t="shared" si="123"/>
        <v>0</v>
      </c>
      <c r="AX218" s="1797" t="str">
        <f t="shared" si="124"/>
        <v>25层2511号</v>
      </c>
      <c r="AY218" s="41">
        <f t="shared" si="125"/>
        <v>2.73</v>
      </c>
      <c r="AZ218" s="34">
        <f t="shared" si="126"/>
        <v>52.17</v>
      </c>
      <c r="BA218" s="34">
        <f t="shared" si="127"/>
        <v>52.17</v>
      </c>
      <c r="BB218" s="34">
        <f t="shared" si="128"/>
        <v>52.17</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ht="28.5">
      <c r="A219" s="9"/>
      <c r="B219" s="33"/>
      <c r="C219" s="1274" t="str">
        <f>办公清单!C212</f>
        <v>25层2512号</v>
      </c>
      <c r="D219" s="2951" t="s">
        <v>3295</v>
      </c>
      <c r="E219" s="2983">
        <v>4.24</v>
      </c>
      <c r="F219" s="35"/>
      <c r="G219" s="36">
        <f t="shared" si="119"/>
        <v>80.73</v>
      </c>
      <c r="H219" s="37">
        <f t="shared" si="120"/>
        <v>80.73</v>
      </c>
      <c r="I219" s="2216">
        <f>办公清单!E212</f>
        <v>80.73</v>
      </c>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21"/>
      <c r="AV219" s="1797">
        <f t="shared" si="122"/>
        <v>0</v>
      </c>
      <c r="AW219" s="1797">
        <f t="shared" si="123"/>
        <v>0</v>
      </c>
      <c r="AX219" s="1797" t="str">
        <f t="shared" si="124"/>
        <v>25层2512号</v>
      </c>
      <c r="AY219" s="41">
        <f t="shared" si="125"/>
        <v>4.2300000000000004</v>
      </c>
      <c r="AZ219" s="34">
        <f t="shared" si="126"/>
        <v>80.73</v>
      </c>
      <c r="BA219" s="34">
        <f t="shared" si="127"/>
        <v>80.73</v>
      </c>
      <c r="BB219" s="34">
        <f t="shared" si="128"/>
        <v>80.73</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ht="28.5">
      <c r="A220" s="9"/>
      <c r="B220" s="33"/>
      <c r="C220" s="1274" t="str">
        <f>办公清单!C213</f>
        <v>25层2513号</v>
      </c>
      <c r="D220" s="2951" t="s">
        <v>3295</v>
      </c>
      <c r="E220" s="2983">
        <v>3.54</v>
      </c>
      <c r="F220" s="35"/>
      <c r="G220" s="36">
        <f t="shared" si="119"/>
        <v>67.36</v>
      </c>
      <c r="H220" s="37">
        <f t="shared" si="120"/>
        <v>67.36</v>
      </c>
      <c r="I220" s="2216">
        <f>办公清单!E213</f>
        <v>67.36</v>
      </c>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21"/>
      <c r="AV220" s="1797">
        <f t="shared" si="122"/>
        <v>0</v>
      </c>
      <c r="AW220" s="1797">
        <f t="shared" si="123"/>
        <v>0</v>
      </c>
      <c r="AX220" s="1797" t="str">
        <f t="shared" si="124"/>
        <v>25层2513号</v>
      </c>
      <c r="AY220" s="41">
        <f t="shared" si="125"/>
        <v>3.53</v>
      </c>
      <c r="AZ220" s="34">
        <f t="shared" si="126"/>
        <v>67.36</v>
      </c>
      <c r="BA220" s="34">
        <f t="shared" si="127"/>
        <v>67.36</v>
      </c>
      <c r="BB220" s="34">
        <f t="shared" si="128"/>
        <v>67.36</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ht="28.5">
      <c r="A221" s="9"/>
      <c r="B221" s="33"/>
      <c r="C221" s="1274" t="str">
        <f>办公清单!C214</f>
        <v>25层2514号</v>
      </c>
      <c r="D221" s="2951" t="s">
        <v>3295</v>
      </c>
      <c r="E221" s="2983">
        <v>3.54</v>
      </c>
      <c r="F221" s="35"/>
      <c r="G221" s="36">
        <f t="shared" si="119"/>
        <v>67.36</v>
      </c>
      <c r="H221" s="37">
        <f t="shared" si="120"/>
        <v>67.36</v>
      </c>
      <c r="I221" s="2216">
        <f>办公清单!E214</f>
        <v>67.36</v>
      </c>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21"/>
      <c r="AV221" s="1797">
        <f t="shared" si="122"/>
        <v>0</v>
      </c>
      <c r="AW221" s="1797">
        <f t="shared" si="123"/>
        <v>0</v>
      </c>
      <c r="AX221" s="1797" t="str">
        <f t="shared" si="124"/>
        <v>25层2514号</v>
      </c>
      <c r="AY221" s="41">
        <f t="shared" si="125"/>
        <v>3.53</v>
      </c>
      <c r="AZ221" s="34">
        <f t="shared" si="126"/>
        <v>67.36</v>
      </c>
      <c r="BA221" s="34">
        <f t="shared" si="127"/>
        <v>67.36</v>
      </c>
      <c r="BB221" s="34">
        <f t="shared" si="128"/>
        <v>67.36</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ht="28.5">
      <c r="A222" s="9"/>
      <c r="B222" s="33"/>
      <c r="C222" s="1274" t="str">
        <f>办公清单!C215</f>
        <v>25层2515号</v>
      </c>
      <c r="D222" s="2951" t="s">
        <v>3295</v>
      </c>
      <c r="E222" s="2983">
        <v>4.24</v>
      </c>
      <c r="F222" s="35"/>
      <c r="G222" s="36">
        <f t="shared" si="119"/>
        <v>80.73</v>
      </c>
      <c r="H222" s="37">
        <f t="shared" si="120"/>
        <v>80.73</v>
      </c>
      <c r="I222" s="2216">
        <f>办公清单!E215</f>
        <v>80.73</v>
      </c>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21"/>
      <c r="AV222" s="1797">
        <f t="shared" si="122"/>
        <v>0</v>
      </c>
      <c r="AW222" s="1797">
        <f t="shared" si="123"/>
        <v>0</v>
      </c>
      <c r="AX222" s="1797" t="str">
        <f t="shared" si="124"/>
        <v>25层2515号</v>
      </c>
      <c r="AY222" s="41">
        <f t="shared" si="125"/>
        <v>4.2300000000000004</v>
      </c>
      <c r="AZ222" s="34">
        <f t="shared" si="126"/>
        <v>80.73</v>
      </c>
      <c r="BA222" s="34">
        <f t="shared" si="127"/>
        <v>80.73</v>
      </c>
      <c r="BB222" s="34">
        <f t="shared" si="128"/>
        <v>80.73</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ht="28.5">
      <c r="A223" s="9"/>
      <c r="B223" s="33"/>
      <c r="C223" s="1274" t="str">
        <f>办公清单!C216</f>
        <v>25层2516号</v>
      </c>
      <c r="D223" s="2951" t="s">
        <v>3295</v>
      </c>
      <c r="E223" s="2983">
        <v>2.74</v>
      </c>
      <c r="F223" s="35"/>
      <c r="G223" s="36">
        <f t="shared" si="119"/>
        <v>52.17</v>
      </c>
      <c r="H223" s="37">
        <f t="shared" si="120"/>
        <v>52.17</v>
      </c>
      <c r="I223" s="2216">
        <f>办公清单!E216</f>
        <v>52.17</v>
      </c>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21"/>
      <c r="AV223" s="1797">
        <f t="shared" si="122"/>
        <v>0</v>
      </c>
      <c r="AW223" s="1797">
        <f t="shared" si="123"/>
        <v>0</v>
      </c>
      <c r="AX223" s="1797" t="str">
        <f t="shared" si="124"/>
        <v>25层2516号</v>
      </c>
      <c r="AY223" s="41">
        <f t="shared" si="125"/>
        <v>2.73</v>
      </c>
      <c r="AZ223" s="34">
        <f t="shared" si="126"/>
        <v>52.17</v>
      </c>
      <c r="BA223" s="34">
        <f t="shared" si="127"/>
        <v>52.17</v>
      </c>
      <c r="BB223" s="34">
        <f t="shared" si="128"/>
        <v>52.17</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ht="28.5">
      <c r="A224" s="9"/>
      <c r="B224" s="33"/>
      <c r="C224" s="1274" t="str">
        <f>办公清单!C217</f>
        <v>25层2517号</v>
      </c>
      <c r="D224" s="2951" t="s">
        <v>3295</v>
      </c>
      <c r="E224" s="2983">
        <v>2.74</v>
      </c>
      <c r="F224" s="35"/>
      <c r="G224" s="36">
        <f t="shared" si="119"/>
        <v>52.17</v>
      </c>
      <c r="H224" s="37">
        <f t="shared" si="120"/>
        <v>52.17</v>
      </c>
      <c r="I224" s="2216">
        <f>办公清单!E217</f>
        <v>52.17</v>
      </c>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21"/>
      <c r="AV224" s="1797">
        <f t="shared" si="122"/>
        <v>0</v>
      </c>
      <c r="AW224" s="1797">
        <f t="shared" si="123"/>
        <v>0</v>
      </c>
      <c r="AX224" s="1797" t="str">
        <f t="shared" si="124"/>
        <v>25层2517号</v>
      </c>
      <c r="AY224" s="41">
        <f t="shared" si="125"/>
        <v>2.73</v>
      </c>
      <c r="AZ224" s="34">
        <f t="shared" si="126"/>
        <v>52.17</v>
      </c>
      <c r="BA224" s="34">
        <f t="shared" si="127"/>
        <v>52.17</v>
      </c>
      <c r="BB224" s="34">
        <f t="shared" si="128"/>
        <v>52.17</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ht="28.5">
      <c r="A225" s="9"/>
      <c r="B225" s="33"/>
      <c r="C225" s="1274" t="str">
        <f>办公清单!C218</f>
        <v>25层2518号</v>
      </c>
      <c r="D225" s="2951" t="s">
        <v>3295</v>
      </c>
      <c r="E225" s="2983">
        <v>2.74</v>
      </c>
      <c r="F225" s="35"/>
      <c r="G225" s="36">
        <f t="shared" si="119"/>
        <v>52.17</v>
      </c>
      <c r="H225" s="37">
        <f t="shared" si="120"/>
        <v>52.17</v>
      </c>
      <c r="I225" s="2216">
        <f>办公清单!E218</f>
        <v>52.17</v>
      </c>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21"/>
      <c r="AV225" s="1797">
        <f t="shared" si="122"/>
        <v>0</v>
      </c>
      <c r="AW225" s="1797">
        <f t="shared" si="123"/>
        <v>0</v>
      </c>
      <c r="AX225" s="1797" t="str">
        <f t="shared" si="124"/>
        <v>25层2518号</v>
      </c>
      <c r="AY225" s="41">
        <f t="shared" si="125"/>
        <v>2.73</v>
      </c>
      <c r="AZ225" s="34">
        <f t="shared" si="126"/>
        <v>52.17</v>
      </c>
      <c r="BA225" s="34">
        <f t="shared" si="127"/>
        <v>52.17</v>
      </c>
      <c r="BB225" s="34">
        <f t="shared" si="128"/>
        <v>52.17</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ht="28.5">
      <c r="A226" s="9"/>
      <c r="B226" s="33"/>
      <c r="C226" s="1274" t="str">
        <f>办公清单!C219</f>
        <v>25层2519号</v>
      </c>
      <c r="D226" s="2951" t="s">
        <v>3295</v>
      </c>
      <c r="E226" s="2983">
        <v>2.74</v>
      </c>
      <c r="F226" s="35"/>
      <c r="G226" s="36">
        <f t="shared" si="119"/>
        <v>52.17</v>
      </c>
      <c r="H226" s="37">
        <f t="shared" si="120"/>
        <v>52.17</v>
      </c>
      <c r="I226" s="2216">
        <f>办公清单!E219</f>
        <v>52.17</v>
      </c>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21"/>
      <c r="AV226" s="1797">
        <f t="shared" si="122"/>
        <v>0</v>
      </c>
      <c r="AW226" s="1797">
        <f t="shared" si="123"/>
        <v>0</v>
      </c>
      <c r="AX226" s="1797" t="str">
        <f t="shared" si="124"/>
        <v>25层2519号</v>
      </c>
      <c r="AY226" s="41">
        <f t="shared" si="125"/>
        <v>2.73</v>
      </c>
      <c r="AZ226" s="34">
        <f t="shared" si="126"/>
        <v>52.17</v>
      </c>
      <c r="BA226" s="34">
        <f t="shared" si="127"/>
        <v>52.17</v>
      </c>
      <c r="BB226" s="34">
        <f t="shared" si="128"/>
        <v>52.17</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ht="28.5">
      <c r="A227" s="9"/>
      <c r="B227" s="33"/>
      <c r="C227" s="1274" t="str">
        <f>办公清单!C220</f>
        <v>25层2520号</v>
      </c>
      <c r="D227" s="2951" t="s">
        <v>3295</v>
      </c>
      <c r="E227" s="2983">
        <v>2.74</v>
      </c>
      <c r="F227" s="35"/>
      <c r="G227" s="36">
        <f t="shared" si="119"/>
        <v>52.17</v>
      </c>
      <c r="H227" s="37">
        <f t="shared" si="120"/>
        <v>52.17</v>
      </c>
      <c r="I227" s="2216">
        <f>办公清单!E220</f>
        <v>52.17</v>
      </c>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21"/>
      <c r="AV227" s="1797">
        <f t="shared" si="122"/>
        <v>0</v>
      </c>
      <c r="AW227" s="1797">
        <f t="shared" si="123"/>
        <v>0</v>
      </c>
      <c r="AX227" s="1797" t="str">
        <f t="shared" si="124"/>
        <v>25层2520号</v>
      </c>
      <c r="AY227" s="41">
        <f t="shared" si="125"/>
        <v>2.73</v>
      </c>
      <c r="AZ227" s="34">
        <f t="shared" si="126"/>
        <v>52.17</v>
      </c>
      <c r="BA227" s="34">
        <f t="shared" si="127"/>
        <v>52.17</v>
      </c>
      <c r="BB227" s="34">
        <f t="shared" si="128"/>
        <v>52.17</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ht="28.5">
      <c r="A228" s="9"/>
      <c r="B228" s="33"/>
      <c r="C228" s="1274" t="str">
        <f>办公清单!C221</f>
        <v>25层2521号</v>
      </c>
      <c r="D228" s="2951" t="s">
        <v>3295</v>
      </c>
      <c r="E228" s="2983">
        <v>2.74</v>
      </c>
      <c r="F228" s="35"/>
      <c r="G228" s="36">
        <f t="shared" si="119"/>
        <v>52.17</v>
      </c>
      <c r="H228" s="37">
        <f t="shared" si="120"/>
        <v>52.17</v>
      </c>
      <c r="I228" s="2216">
        <f>办公清单!E221</f>
        <v>52.17</v>
      </c>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21"/>
      <c r="AV228" s="1797">
        <f t="shared" si="122"/>
        <v>0</v>
      </c>
      <c r="AW228" s="1797">
        <f t="shared" si="123"/>
        <v>0</v>
      </c>
      <c r="AX228" s="1797" t="str">
        <f t="shared" si="124"/>
        <v>25层2521号</v>
      </c>
      <c r="AY228" s="41">
        <f t="shared" si="125"/>
        <v>2.73</v>
      </c>
      <c r="AZ228" s="34">
        <f t="shared" si="126"/>
        <v>52.17</v>
      </c>
      <c r="BA228" s="34">
        <f t="shared" si="127"/>
        <v>52.17</v>
      </c>
      <c r="BB228" s="34">
        <f t="shared" si="128"/>
        <v>52.17</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ht="28.5">
      <c r="A229" s="9"/>
      <c r="B229" s="33"/>
      <c r="C229" s="1274" t="str">
        <f>办公清单!C222</f>
        <v>25层2522号</v>
      </c>
      <c r="D229" s="2951" t="s">
        <v>3295</v>
      </c>
      <c r="E229" s="2983">
        <v>2.74</v>
      </c>
      <c r="F229" s="35"/>
      <c r="G229" s="36">
        <f t="shared" si="119"/>
        <v>52.17</v>
      </c>
      <c r="H229" s="37">
        <f t="shared" si="120"/>
        <v>52.17</v>
      </c>
      <c r="I229" s="2216">
        <f>办公清单!E222</f>
        <v>52.17</v>
      </c>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21"/>
      <c r="AV229" s="1797">
        <f t="shared" si="122"/>
        <v>0</v>
      </c>
      <c r="AW229" s="1797">
        <f t="shared" si="123"/>
        <v>0</v>
      </c>
      <c r="AX229" s="1797" t="str">
        <f t="shared" si="124"/>
        <v>25层2522号</v>
      </c>
      <c r="AY229" s="41">
        <f t="shared" si="125"/>
        <v>2.73</v>
      </c>
      <c r="AZ229" s="34">
        <f t="shared" si="126"/>
        <v>52.17</v>
      </c>
      <c r="BA229" s="34">
        <f t="shared" si="127"/>
        <v>52.17</v>
      </c>
      <c r="BB229" s="34">
        <f t="shared" si="128"/>
        <v>52.17</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ht="28.5">
      <c r="A230" s="9"/>
      <c r="B230" s="33"/>
      <c r="C230" s="1274" t="str">
        <f>办公清单!C223</f>
        <v>25层2523号</v>
      </c>
      <c r="D230" s="2951" t="s">
        <v>3295</v>
      </c>
      <c r="E230" s="2983">
        <v>2.74</v>
      </c>
      <c r="F230" s="35"/>
      <c r="G230" s="36">
        <f t="shared" si="119"/>
        <v>52.17</v>
      </c>
      <c r="H230" s="37">
        <f t="shared" si="120"/>
        <v>52.17</v>
      </c>
      <c r="I230" s="2216">
        <f>办公清单!E223</f>
        <v>52.17</v>
      </c>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21"/>
      <c r="AV230" s="1797">
        <f t="shared" si="122"/>
        <v>0</v>
      </c>
      <c r="AW230" s="1797">
        <f t="shared" si="123"/>
        <v>0</v>
      </c>
      <c r="AX230" s="1797" t="str">
        <f t="shared" si="124"/>
        <v>25层2523号</v>
      </c>
      <c r="AY230" s="41">
        <f t="shared" si="125"/>
        <v>2.73</v>
      </c>
      <c r="AZ230" s="34">
        <f t="shared" si="126"/>
        <v>52.17</v>
      </c>
      <c r="BA230" s="34">
        <f t="shared" si="127"/>
        <v>52.17</v>
      </c>
      <c r="BB230" s="34">
        <f t="shared" si="128"/>
        <v>52.17</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ht="28.5">
      <c r="A231" s="9"/>
      <c r="B231" s="33"/>
      <c r="C231" s="1274" t="str">
        <f>办公清单!C224</f>
        <v>25层2524号</v>
      </c>
      <c r="D231" s="2951" t="s">
        <v>3295</v>
      </c>
      <c r="E231" s="2983">
        <v>2.74</v>
      </c>
      <c r="F231" s="35"/>
      <c r="G231" s="36">
        <f t="shared" si="119"/>
        <v>52.17</v>
      </c>
      <c r="H231" s="37">
        <f t="shared" si="120"/>
        <v>52.17</v>
      </c>
      <c r="I231" s="2216">
        <f>办公清单!E224</f>
        <v>52.17</v>
      </c>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21"/>
      <c r="AV231" s="1797">
        <f t="shared" si="122"/>
        <v>0</v>
      </c>
      <c r="AW231" s="1797">
        <f t="shared" si="123"/>
        <v>0</v>
      </c>
      <c r="AX231" s="1797" t="str">
        <f t="shared" si="124"/>
        <v>25层2524号</v>
      </c>
      <c r="AY231" s="41">
        <f t="shared" si="125"/>
        <v>2.73</v>
      </c>
      <c r="AZ231" s="34">
        <f t="shared" si="126"/>
        <v>52.17</v>
      </c>
      <c r="BA231" s="34">
        <f t="shared" si="127"/>
        <v>52.17</v>
      </c>
      <c r="BB231" s="34">
        <f t="shared" si="128"/>
        <v>52.17</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ht="28.5">
      <c r="A232" s="9"/>
      <c r="B232" s="33"/>
      <c r="C232" s="1274" t="str">
        <f>办公清单!C225</f>
        <v>25层2525号</v>
      </c>
      <c r="D232" s="2951" t="s">
        <v>3295</v>
      </c>
      <c r="E232" s="2983">
        <v>2.74</v>
      </c>
      <c r="F232" s="35"/>
      <c r="G232" s="36">
        <f t="shared" si="119"/>
        <v>52.17</v>
      </c>
      <c r="H232" s="37">
        <f t="shared" si="120"/>
        <v>52.17</v>
      </c>
      <c r="I232" s="2216">
        <f>办公清单!E225</f>
        <v>52.17</v>
      </c>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21"/>
      <c r="AV232" s="1797">
        <f t="shared" si="122"/>
        <v>0</v>
      </c>
      <c r="AW232" s="1797">
        <f t="shared" si="123"/>
        <v>0</v>
      </c>
      <c r="AX232" s="1797" t="str">
        <f t="shared" si="124"/>
        <v>25层2525号</v>
      </c>
      <c r="AY232" s="41">
        <f t="shared" si="125"/>
        <v>2.73</v>
      </c>
      <c r="AZ232" s="34">
        <f t="shared" si="126"/>
        <v>52.17</v>
      </c>
      <c r="BA232" s="34">
        <f t="shared" si="127"/>
        <v>52.17</v>
      </c>
      <c r="BB232" s="34">
        <f t="shared" si="128"/>
        <v>52.17</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ht="28.5">
      <c r="A233" s="9"/>
      <c r="B233" s="33"/>
      <c r="C233" s="1274" t="str">
        <f>办公清单!C226</f>
        <v>25层2526号</v>
      </c>
      <c r="D233" s="2951" t="s">
        <v>3295</v>
      </c>
      <c r="E233" s="2983">
        <v>4.24</v>
      </c>
      <c r="F233" s="35"/>
      <c r="G233" s="36">
        <f t="shared" si="119"/>
        <v>80.73</v>
      </c>
      <c r="H233" s="37">
        <f t="shared" si="120"/>
        <v>80.73</v>
      </c>
      <c r="I233" s="2216">
        <f>办公清单!E226</f>
        <v>80.73</v>
      </c>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21"/>
      <c r="AV233" s="1797">
        <f t="shared" si="122"/>
        <v>0</v>
      </c>
      <c r="AW233" s="1797">
        <f t="shared" si="123"/>
        <v>0</v>
      </c>
      <c r="AX233" s="1797" t="str">
        <f t="shared" si="124"/>
        <v>25层2526号</v>
      </c>
      <c r="AY233" s="41">
        <f t="shared" si="125"/>
        <v>4.2300000000000004</v>
      </c>
      <c r="AZ233" s="34">
        <f t="shared" si="126"/>
        <v>80.73</v>
      </c>
      <c r="BA233" s="34">
        <f t="shared" si="127"/>
        <v>80.73</v>
      </c>
      <c r="BB233" s="34">
        <f t="shared" si="128"/>
        <v>80.73</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ht="28.5">
      <c r="A234" s="9"/>
      <c r="B234" s="33"/>
      <c r="C234" s="1274" t="str">
        <f>办公清单!C227</f>
        <v>25层2527号</v>
      </c>
      <c r="D234" s="2951" t="s">
        <v>3295</v>
      </c>
      <c r="E234" s="2983">
        <v>4.8899999999999997</v>
      </c>
      <c r="F234" s="35"/>
      <c r="G234" s="36">
        <f t="shared" si="119"/>
        <v>93.08</v>
      </c>
      <c r="H234" s="37">
        <f t="shared" si="120"/>
        <v>93.08</v>
      </c>
      <c r="I234" s="2216">
        <f>办公清单!E227</f>
        <v>93.08</v>
      </c>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21"/>
      <c r="AV234" s="1797">
        <f t="shared" si="122"/>
        <v>0</v>
      </c>
      <c r="AW234" s="1797">
        <f t="shared" si="123"/>
        <v>0</v>
      </c>
      <c r="AX234" s="1797" t="str">
        <f t="shared" si="124"/>
        <v>25层2527号</v>
      </c>
      <c r="AY234" s="41">
        <f t="shared" si="125"/>
        <v>4.87</v>
      </c>
      <c r="AZ234" s="34">
        <f t="shared" si="126"/>
        <v>93.08</v>
      </c>
      <c r="BA234" s="34">
        <f t="shared" si="127"/>
        <v>93.08</v>
      </c>
      <c r="BB234" s="34">
        <f t="shared" si="128"/>
        <v>93.08</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ht="28.5">
      <c r="A235" s="9"/>
      <c r="B235" s="33"/>
      <c r="C235" s="1274" t="str">
        <f>办公清单!C228</f>
        <v>25层2528号</v>
      </c>
      <c r="D235" s="2951" t="s">
        <v>3295</v>
      </c>
      <c r="E235" s="2983">
        <v>4.8899999999999997</v>
      </c>
      <c r="F235" s="35"/>
      <c r="G235" s="36">
        <f t="shared" si="119"/>
        <v>93.08</v>
      </c>
      <c r="H235" s="37">
        <f t="shared" si="120"/>
        <v>93.08</v>
      </c>
      <c r="I235" s="2216">
        <f>办公清单!E228</f>
        <v>93.08</v>
      </c>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21"/>
      <c r="AV235" s="1797">
        <f t="shared" si="122"/>
        <v>0</v>
      </c>
      <c r="AW235" s="1797">
        <f t="shared" si="123"/>
        <v>0</v>
      </c>
      <c r="AX235" s="1797" t="str">
        <f t="shared" si="124"/>
        <v>25层2528号</v>
      </c>
      <c r="AY235" s="41">
        <f t="shared" si="125"/>
        <v>4.87</v>
      </c>
      <c r="AZ235" s="34">
        <f t="shared" si="126"/>
        <v>93.08</v>
      </c>
      <c r="BA235" s="34">
        <f t="shared" si="127"/>
        <v>93.08</v>
      </c>
      <c r="BB235" s="34">
        <f t="shared" si="128"/>
        <v>93.08</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ht="28.5">
      <c r="A236" s="9"/>
      <c r="B236" s="33"/>
      <c r="C236" s="1274" t="str">
        <f>办公清单!C229</f>
        <v>26层2601号</v>
      </c>
      <c r="D236" s="2951" t="s">
        <v>3295</v>
      </c>
      <c r="E236" s="2983">
        <v>4.24</v>
      </c>
      <c r="F236" s="35"/>
      <c r="G236" s="36">
        <f t="shared" si="119"/>
        <v>80.73</v>
      </c>
      <c r="H236" s="37">
        <f t="shared" si="120"/>
        <v>80.73</v>
      </c>
      <c r="I236" s="2216">
        <f>办公清单!E229</f>
        <v>80.73</v>
      </c>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21"/>
      <c r="AV236" s="1797">
        <f t="shared" si="122"/>
        <v>0</v>
      </c>
      <c r="AW236" s="1797">
        <f t="shared" si="123"/>
        <v>0</v>
      </c>
      <c r="AX236" s="1797" t="str">
        <f t="shared" si="124"/>
        <v>26层2601号</v>
      </c>
      <c r="AY236" s="41">
        <f t="shared" si="125"/>
        <v>4.2300000000000004</v>
      </c>
      <c r="AZ236" s="34">
        <f t="shared" si="126"/>
        <v>80.73</v>
      </c>
      <c r="BA236" s="34">
        <f t="shared" si="127"/>
        <v>80.73</v>
      </c>
      <c r="BB236" s="34">
        <f t="shared" si="128"/>
        <v>80.73</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ht="28.5">
      <c r="A237" s="9"/>
      <c r="B237" s="33"/>
      <c r="C237" s="1274" t="str">
        <f>办公清单!C230</f>
        <v>26层2602号</v>
      </c>
      <c r="D237" s="2951" t="s">
        <v>3295</v>
      </c>
      <c r="E237" s="2983">
        <v>2.74</v>
      </c>
      <c r="F237" s="35"/>
      <c r="G237" s="36">
        <f t="shared" si="119"/>
        <v>52.17</v>
      </c>
      <c r="H237" s="37">
        <f t="shared" si="120"/>
        <v>52.17</v>
      </c>
      <c r="I237" s="2216">
        <f>办公清单!E230</f>
        <v>52.17</v>
      </c>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21"/>
      <c r="AV237" s="1797">
        <f t="shared" si="122"/>
        <v>0</v>
      </c>
      <c r="AW237" s="1797">
        <f t="shared" si="123"/>
        <v>0</v>
      </c>
      <c r="AX237" s="1797" t="str">
        <f t="shared" si="124"/>
        <v>26层2602号</v>
      </c>
      <c r="AY237" s="41">
        <f t="shared" si="125"/>
        <v>2.73</v>
      </c>
      <c r="AZ237" s="34">
        <f t="shared" si="126"/>
        <v>52.17</v>
      </c>
      <c r="BA237" s="34">
        <f t="shared" si="127"/>
        <v>52.17</v>
      </c>
      <c r="BB237" s="34">
        <f t="shared" si="128"/>
        <v>52.17</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ht="28.5">
      <c r="A238" s="9"/>
      <c r="B238" s="33"/>
      <c r="C238" s="1274" t="str">
        <f>办公清单!C231</f>
        <v>26层2603号</v>
      </c>
      <c r="D238" s="2951" t="s">
        <v>3295</v>
      </c>
      <c r="E238" s="2983">
        <v>2.74</v>
      </c>
      <c r="F238" s="35"/>
      <c r="G238" s="36">
        <f t="shared" si="119"/>
        <v>52.17</v>
      </c>
      <c r="H238" s="37">
        <f t="shared" si="120"/>
        <v>52.17</v>
      </c>
      <c r="I238" s="2216">
        <f>办公清单!E231</f>
        <v>52.17</v>
      </c>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21"/>
      <c r="AV238" s="1797">
        <f t="shared" si="122"/>
        <v>0</v>
      </c>
      <c r="AW238" s="1797">
        <f t="shared" si="123"/>
        <v>0</v>
      </c>
      <c r="AX238" s="1797" t="str">
        <f t="shared" si="124"/>
        <v>26层2603号</v>
      </c>
      <c r="AY238" s="41">
        <f t="shared" si="125"/>
        <v>2.73</v>
      </c>
      <c r="AZ238" s="34">
        <f t="shared" si="126"/>
        <v>52.17</v>
      </c>
      <c r="BA238" s="34">
        <f t="shared" si="127"/>
        <v>52.17</v>
      </c>
      <c r="BB238" s="34">
        <f t="shared" si="128"/>
        <v>52.17</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ht="28.5">
      <c r="A239" s="9"/>
      <c r="B239" s="33"/>
      <c r="C239" s="1274" t="str">
        <f>办公清单!C232</f>
        <v>26层2604号</v>
      </c>
      <c r="D239" s="2951" t="s">
        <v>3295</v>
      </c>
      <c r="E239" s="2983">
        <v>2.74</v>
      </c>
      <c r="F239" s="35"/>
      <c r="G239" s="36">
        <f t="shared" si="119"/>
        <v>52.17</v>
      </c>
      <c r="H239" s="37">
        <f t="shared" si="120"/>
        <v>52.17</v>
      </c>
      <c r="I239" s="2216">
        <f>办公清单!E232</f>
        <v>52.17</v>
      </c>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21"/>
      <c r="AV239" s="1797">
        <f t="shared" si="122"/>
        <v>0</v>
      </c>
      <c r="AW239" s="1797">
        <f t="shared" si="123"/>
        <v>0</v>
      </c>
      <c r="AX239" s="1797" t="str">
        <f t="shared" si="124"/>
        <v>26层2604号</v>
      </c>
      <c r="AY239" s="41">
        <f t="shared" si="125"/>
        <v>2.73</v>
      </c>
      <c r="AZ239" s="34">
        <f t="shared" si="126"/>
        <v>52.17</v>
      </c>
      <c r="BA239" s="34">
        <f t="shared" si="127"/>
        <v>52.17</v>
      </c>
      <c r="BB239" s="34">
        <f t="shared" si="128"/>
        <v>52.17</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ht="28.5">
      <c r="A240" s="9"/>
      <c r="B240" s="33"/>
      <c r="C240" s="1274" t="str">
        <f>办公清单!C233</f>
        <v>26层2605号</v>
      </c>
      <c r="D240" s="2951" t="s">
        <v>3295</v>
      </c>
      <c r="E240" s="2983">
        <v>2.74</v>
      </c>
      <c r="F240" s="35"/>
      <c r="G240" s="36">
        <f t="shared" si="119"/>
        <v>52.17</v>
      </c>
      <c r="H240" s="37">
        <f t="shared" si="120"/>
        <v>52.17</v>
      </c>
      <c r="I240" s="2216">
        <f>办公清单!E233</f>
        <v>52.17</v>
      </c>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21"/>
      <c r="AV240" s="1797">
        <f t="shared" si="122"/>
        <v>0</v>
      </c>
      <c r="AW240" s="1797">
        <f t="shared" si="123"/>
        <v>0</v>
      </c>
      <c r="AX240" s="1797" t="str">
        <f t="shared" si="124"/>
        <v>26层2605号</v>
      </c>
      <c r="AY240" s="41">
        <f t="shared" si="125"/>
        <v>2.73</v>
      </c>
      <c r="AZ240" s="34">
        <f t="shared" si="126"/>
        <v>52.17</v>
      </c>
      <c r="BA240" s="34">
        <f t="shared" si="127"/>
        <v>52.17</v>
      </c>
      <c r="BB240" s="34">
        <f t="shared" si="128"/>
        <v>52.17</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ht="28.5">
      <c r="A241" s="9"/>
      <c r="B241" s="33"/>
      <c r="C241" s="1274" t="str">
        <f>办公清单!C234</f>
        <v>26层2606号</v>
      </c>
      <c r="D241" s="2951" t="s">
        <v>3295</v>
      </c>
      <c r="E241" s="2983">
        <v>2.74</v>
      </c>
      <c r="F241" s="35"/>
      <c r="G241" s="36">
        <f t="shared" si="119"/>
        <v>52.17</v>
      </c>
      <c r="H241" s="37">
        <f t="shared" si="120"/>
        <v>52.17</v>
      </c>
      <c r="I241" s="2216">
        <f>办公清单!E234</f>
        <v>52.17</v>
      </c>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21"/>
      <c r="AV241" s="1797">
        <f t="shared" si="122"/>
        <v>0</v>
      </c>
      <c r="AW241" s="1797">
        <f t="shared" si="123"/>
        <v>0</v>
      </c>
      <c r="AX241" s="1797" t="str">
        <f t="shared" si="124"/>
        <v>26层2606号</v>
      </c>
      <c r="AY241" s="41">
        <f t="shared" si="125"/>
        <v>2.73</v>
      </c>
      <c r="AZ241" s="34">
        <f t="shared" si="126"/>
        <v>52.17</v>
      </c>
      <c r="BA241" s="34">
        <f t="shared" si="127"/>
        <v>52.17</v>
      </c>
      <c r="BB241" s="34">
        <f t="shared" si="128"/>
        <v>52.17</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ht="28.5">
      <c r="A242" s="9"/>
      <c r="B242" s="33"/>
      <c r="C242" s="1274" t="str">
        <f>办公清单!C235</f>
        <v>26层2607号</v>
      </c>
      <c r="D242" s="2951" t="s">
        <v>3295</v>
      </c>
      <c r="E242" s="2983">
        <v>2.74</v>
      </c>
      <c r="F242" s="35"/>
      <c r="G242" s="36">
        <f t="shared" si="119"/>
        <v>52.17</v>
      </c>
      <c r="H242" s="37">
        <f t="shared" si="120"/>
        <v>52.17</v>
      </c>
      <c r="I242" s="2216">
        <f>办公清单!E235</f>
        <v>52.17</v>
      </c>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21"/>
      <c r="AV242" s="1797">
        <f t="shared" si="122"/>
        <v>0</v>
      </c>
      <c r="AW242" s="1797">
        <f t="shared" si="123"/>
        <v>0</v>
      </c>
      <c r="AX242" s="1797" t="str">
        <f t="shared" si="124"/>
        <v>26层2607号</v>
      </c>
      <c r="AY242" s="41">
        <f t="shared" si="125"/>
        <v>2.73</v>
      </c>
      <c r="AZ242" s="34">
        <f t="shared" si="126"/>
        <v>52.17</v>
      </c>
      <c r="BA242" s="34">
        <f t="shared" si="127"/>
        <v>52.17</v>
      </c>
      <c r="BB242" s="34">
        <f t="shared" si="128"/>
        <v>52.17</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ht="28.5">
      <c r="A243" s="9"/>
      <c r="B243" s="33"/>
      <c r="C243" s="1274" t="str">
        <f>办公清单!C236</f>
        <v>26层2608号</v>
      </c>
      <c r="D243" s="2951" t="s">
        <v>3295</v>
      </c>
      <c r="E243" s="2983">
        <v>2.74</v>
      </c>
      <c r="F243" s="35"/>
      <c r="G243" s="36">
        <f t="shared" si="119"/>
        <v>52.17</v>
      </c>
      <c r="H243" s="37">
        <f t="shared" si="120"/>
        <v>52.17</v>
      </c>
      <c r="I243" s="2216">
        <f>办公清单!E236</f>
        <v>52.17</v>
      </c>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21"/>
      <c r="AV243" s="1797">
        <f t="shared" si="122"/>
        <v>0</v>
      </c>
      <c r="AW243" s="1797">
        <f t="shared" si="123"/>
        <v>0</v>
      </c>
      <c r="AX243" s="1797" t="str">
        <f t="shared" si="124"/>
        <v>26层2608号</v>
      </c>
      <c r="AY243" s="41">
        <f t="shared" si="125"/>
        <v>2.73</v>
      </c>
      <c r="AZ243" s="34">
        <f t="shared" si="126"/>
        <v>52.17</v>
      </c>
      <c r="BA243" s="34">
        <f t="shared" si="127"/>
        <v>52.17</v>
      </c>
      <c r="BB243" s="34">
        <f t="shared" si="128"/>
        <v>52.17</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ht="28.5">
      <c r="A244" s="9"/>
      <c r="B244" s="33"/>
      <c r="C244" s="1274" t="str">
        <f>办公清单!C237</f>
        <v>26层2609号</v>
      </c>
      <c r="D244" s="2951" t="s">
        <v>3295</v>
      </c>
      <c r="E244" s="2983">
        <v>2.74</v>
      </c>
      <c r="F244" s="35"/>
      <c r="G244" s="36">
        <f t="shared" si="119"/>
        <v>52.17</v>
      </c>
      <c r="H244" s="37">
        <f t="shared" si="120"/>
        <v>52.17</v>
      </c>
      <c r="I244" s="2216">
        <f>办公清单!E237</f>
        <v>52.17</v>
      </c>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21"/>
      <c r="AV244" s="1797">
        <f t="shared" si="122"/>
        <v>0</v>
      </c>
      <c r="AW244" s="1797">
        <f t="shared" si="123"/>
        <v>0</v>
      </c>
      <c r="AX244" s="1797" t="str">
        <f t="shared" si="124"/>
        <v>26层2609号</v>
      </c>
      <c r="AY244" s="41">
        <f t="shared" si="125"/>
        <v>2.73</v>
      </c>
      <c r="AZ244" s="34">
        <f t="shared" si="126"/>
        <v>52.17</v>
      </c>
      <c r="BA244" s="34">
        <f t="shared" si="127"/>
        <v>52.17</v>
      </c>
      <c r="BB244" s="34">
        <f t="shared" si="128"/>
        <v>52.17</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ht="28.5">
      <c r="A245" s="9"/>
      <c r="B245" s="33"/>
      <c r="C245" s="1274" t="str">
        <f>办公清单!C238</f>
        <v>26层2610号</v>
      </c>
      <c r="D245" s="2951" t="s">
        <v>3295</v>
      </c>
      <c r="E245" s="2983">
        <v>2.74</v>
      </c>
      <c r="F245" s="35"/>
      <c r="G245" s="36">
        <f t="shared" si="119"/>
        <v>52.17</v>
      </c>
      <c r="H245" s="37">
        <f t="shared" si="120"/>
        <v>52.17</v>
      </c>
      <c r="I245" s="2216">
        <f>办公清单!E238</f>
        <v>52.17</v>
      </c>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21"/>
      <c r="AV245" s="1797">
        <f t="shared" si="122"/>
        <v>0</v>
      </c>
      <c r="AW245" s="1797">
        <f t="shared" si="123"/>
        <v>0</v>
      </c>
      <c r="AX245" s="1797" t="str">
        <f t="shared" si="124"/>
        <v>26层2610号</v>
      </c>
      <c r="AY245" s="41">
        <f t="shared" si="125"/>
        <v>2.73</v>
      </c>
      <c r="AZ245" s="34">
        <f t="shared" si="126"/>
        <v>52.17</v>
      </c>
      <c r="BA245" s="34">
        <f t="shared" si="127"/>
        <v>52.17</v>
      </c>
      <c r="BB245" s="34">
        <f t="shared" si="128"/>
        <v>52.17</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ht="28.5">
      <c r="A246" s="9"/>
      <c r="B246" s="33"/>
      <c r="C246" s="1274" t="str">
        <f>办公清单!C239</f>
        <v>26层2611号</v>
      </c>
      <c r="D246" s="2951" t="s">
        <v>3295</v>
      </c>
      <c r="E246" s="2983">
        <v>2.74</v>
      </c>
      <c r="F246" s="35"/>
      <c r="G246" s="36">
        <f t="shared" si="119"/>
        <v>52.17</v>
      </c>
      <c r="H246" s="37">
        <f t="shared" si="120"/>
        <v>52.17</v>
      </c>
      <c r="I246" s="2216">
        <f>办公清单!E239</f>
        <v>52.17</v>
      </c>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21"/>
      <c r="AV246" s="1797">
        <f t="shared" si="122"/>
        <v>0</v>
      </c>
      <c r="AW246" s="1797">
        <f t="shared" si="123"/>
        <v>0</v>
      </c>
      <c r="AX246" s="1797" t="str">
        <f t="shared" si="124"/>
        <v>26层2611号</v>
      </c>
      <c r="AY246" s="41">
        <f t="shared" si="125"/>
        <v>2.73</v>
      </c>
      <c r="AZ246" s="34">
        <f t="shared" si="126"/>
        <v>52.17</v>
      </c>
      <c r="BA246" s="34">
        <f t="shared" si="127"/>
        <v>52.17</v>
      </c>
      <c r="BB246" s="34">
        <f t="shared" si="128"/>
        <v>52.17</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ht="28.5">
      <c r="A247" s="9"/>
      <c r="B247" s="33"/>
      <c r="C247" s="1274" t="str">
        <f>办公清单!C240</f>
        <v>26层2612号</v>
      </c>
      <c r="D247" s="2951" t="s">
        <v>3295</v>
      </c>
      <c r="E247" s="2983">
        <v>4.24</v>
      </c>
      <c r="F247" s="35"/>
      <c r="G247" s="36">
        <f t="shared" si="119"/>
        <v>80.73</v>
      </c>
      <c r="H247" s="37">
        <f t="shared" si="120"/>
        <v>80.73</v>
      </c>
      <c r="I247" s="2216">
        <f>办公清单!E240</f>
        <v>80.73</v>
      </c>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21"/>
      <c r="AV247" s="1797">
        <f t="shared" si="122"/>
        <v>0</v>
      </c>
      <c r="AW247" s="1797">
        <f t="shared" si="123"/>
        <v>0</v>
      </c>
      <c r="AX247" s="1797" t="str">
        <f t="shared" si="124"/>
        <v>26层2612号</v>
      </c>
      <c r="AY247" s="41">
        <f t="shared" si="125"/>
        <v>4.2300000000000004</v>
      </c>
      <c r="AZ247" s="34">
        <f t="shared" si="126"/>
        <v>80.73</v>
      </c>
      <c r="BA247" s="34">
        <f t="shared" si="127"/>
        <v>80.73</v>
      </c>
      <c r="BB247" s="34">
        <f t="shared" si="128"/>
        <v>80.73</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ht="28.5">
      <c r="A248" s="9"/>
      <c r="B248" s="33"/>
      <c r="C248" s="1274" t="str">
        <f>办公清单!C241</f>
        <v>26层2613号</v>
      </c>
      <c r="D248" s="2951" t="s">
        <v>3295</v>
      </c>
      <c r="E248" s="2983">
        <v>3.54</v>
      </c>
      <c r="F248" s="35"/>
      <c r="G248" s="36">
        <f t="shared" si="119"/>
        <v>67.36</v>
      </c>
      <c r="H248" s="37">
        <f t="shared" si="120"/>
        <v>67.36</v>
      </c>
      <c r="I248" s="2216">
        <f>办公清单!E241</f>
        <v>67.36</v>
      </c>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21"/>
      <c r="AV248" s="1797">
        <f t="shared" si="122"/>
        <v>0</v>
      </c>
      <c r="AW248" s="1797">
        <f t="shared" si="123"/>
        <v>0</v>
      </c>
      <c r="AX248" s="1797" t="str">
        <f t="shared" si="124"/>
        <v>26层2613号</v>
      </c>
      <c r="AY248" s="41">
        <f t="shared" si="125"/>
        <v>3.53</v>
      </c>
      <c r="AZ248" s="34">
        <f t="shared" si="126"/>
        <v>67.36</v>
      </c>
      <c r="BA248" s="34">
        <f t="shared" si="127"/>
        <v>67.36</v>
      </c>
      <c r="BB248" s="34">
        <f t="shared" si="128"/>
        <v>67.36</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ht="28.5">
      <c r="A249" s="9"/>
      <c r="B249" s="33"/>
      <c r="C249" s="1274" t="str">
        <f>办公清单!C242</f>
        <v>26层2614号</v>
      </c>
      <c r="D249" s="2951" t="s">
        <v>3295</v>
      </c>
      <c r="E249" s="2983">
        <v>3.54</v>
      </c>
      <c r="F249" s="35"/>
      <c r="G249" s="36">
        <f t="shared" si="119"/>
        <v>67.36</v>
      </c>
      <c r="H249" s="37">
        <f t="shared" si="120"/>
        <v>67.36</v>
      </c>
      <c r="I249" s="2216">
        <f>办公清单!E242</f>
        <v>67.36</v>
      </c>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21"/>
      <c r="AV249" s="1797">
        <f t="shared" si="122"/>
        <v>0</v>
      </c>
      <c r="AW249" s="1797">
        <f t="shared" si="123"/>
        <v>0</v>
      </c>
      <c r="AX249" s="1797" t="str">
        <f t="shared" si="124"/>
        <v>26层2614号</v>
      </c>
      <c r="AY249" s="41">
        <f t="shared" si="125"/>
        <v>3.53</v>
      </c>
      <c r="AZ249" s="34">
        <f t="shared" si="126"/>
        <v>67.36</v>
      </c>
      <c r="BA249" s="34">
        <f t="shared" si="127"/>
        <v>67.36</v>
      </c>
      <c r="BB249" s="34">
        <f t="shared" si="128"/>
        <v>67.36</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ht="28.5">
      <c r="A250" s="9"/>
      <c r="B250" s="33"/>
      <c r="C250" s="1274" t="str">
        <f>办公清单!C243</f>
        <v>26层2615号</v>
      </c>
      <c r="D250" s="2951" t="s">
        <v>3295</v>
      </c>
      <c r="E250" s="2983">
        <v>4.24</v>
      </c>
      <c r="F250" s="35"/>
      <c r="G250" s="36">
        <f t="shared" si="119"/>
        <v>80.73</v>
      </c>
      <c r="H250" s="37">
        <f t="shared" si="120"/>
        <v>80.73</v>
      </c>
      <c r="I250" s="2216">
        <f>办公清单!E243</f>
        <v>80.73</v>
      </c>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21"/>
      <c r="AV250" s="1797">
        <f t="shared" si="122"/>
        <v>0</v>
      </c>
      <c r="AW250" s="1797">
        <f t="shared" si="123"/>
        <v>0</v>
      </c>
      <c r="AX250" s="1797" t="str">
        <f t="shared" si="124"/>
        <v>26层2615号</v>
      </c>
      <c r="AY250" s="41">
        <f t="shared" si="125"/>
        <v>4.2300000000000004</v>
      </c>
      <c r="AZ250" s="34">
        <f t="shared" si="126"/>
        <v>80.73</v>
      </c>
      <c r="BA250" s="34">
        <f t="shared" si="127"/>
        <v>80.73</v>
      </c>
      <c r="BB250" s="34">
        <f t="shared" si="128"/>
        <v>80.73</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ht="28.5">
      <c r="A251" s="9"/>
      <c r="B251" s="33"/>
      <c r="C251" s="1274" t="str">
        <f>办公清单!C244</f>
        <v>26层2616号</v>
      </c>
      <c r="D251" s="2951" t="s">
        <v>3295</v>
      </c>
      <c r="E251" s="2983">
        <v>2.74</v>
      </c>
      <c r="F251" s="35"/>
      <c r="G251" s="36">
        <f t="shared" si="119"/>
        <v>52.17</v>
      </c>
      <c r="H251" s="37">
        <f t="shared" si="120"/>
        <v>52.17</v>
      </c>
      <c r="I251" s="2216">
        <f>办公清单!E244</f>
        <v>52.17</v>
      </c>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21"/>
      <c r="AV251" s="1797">
        <f t="shared" si="122"/>
        <v>0</v>
      </c>
      <c r="AW251" s="1797">
        <f t="shared" si="123"/>
        <v>0</v>
      </c>
      <c r="AX251" s="1797" t="str">
        <f t="shared" si="124"/>
        <v>26层2616号</v>
      </c>
      <c r="AY251" s="41">
        <f t="shared" si="125"/>
        <v>2.73</v>
      </c>
      <c r="AZ251" s="34">
        <f t="shared" si="126"/>
        <v>52.17</v>
      </c>
      <c r="BA251" s="34">
        <f t="shared" si="127"/>
        <v>52.17</v>
      </c>
      <c r="BB251" s="34">
        <f t="shared" si="128"/>
        <v>52.17</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ht="28.5">
      <c r="A252" s="9"/>
      <c r="B252" s="33"/>
      <c r="C252" s="1274" t="str">
        <f>办公清单!C245</f>
        <v>26层2617号</v>
      </c>
      <c r="D252" s="2951" t="s">
        <v>3295</v>
      </c>
      <c r="E252" s="2983">
        <v>2.74</v>
      </c>
      <c r="F252" s="35"/>
      <c r="G252" s="36">
        <f t="shared" si="119"/>
        <v>52.17</v>
      </c>
      <c r="H252" s="37">
        <f t="shared" si="120"/>
        <v>52.17</v>
      </c>
      <c r="I252" s="2216">
        <f>办公清单!E245</f>
        <v>52.17</v>
      </c>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21"/>
      <c r="AV252" s="1797">
        <f t="shared" si="122"/>
        <v>0</v>
      </c>
      <c r="AW252" s="1797">
        <f t="shared" si="123"/>
        <v>0</v>
      </c>
      <c r="AX252" s="1797" t="str">
        <f t="shared" si="124"/>
        <v>26层2617号</v>
      </c>
      <c r="AY252" s="41">
        <f t="shared" si="125"/>
        <v>2.73</v>
      </c>
      <c r="AZ252" s="34">
        <f t="shared" si="126"/>
        <v>52.17</v>
      </c>
      <c r="BA252" s="34">
        <f t="shared" si="127"/>
        <v>52.17</v>
      </c>
      <c r="BB252" s="34">
        <f t="shared" si="128"/>
        <v>52.17</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ht="28.5">
      <c r="A253" s="9"/>
      <c r="B253" s="33"/>
      <c r="C253" s="1274" t="str">
        <f>办公清单!C246</f>
        <v>26层2618号</v>
      </c>
      <c r="D253" s="2951" t="s">
        <v>3295</v>
      </c>
      <c r="E253" s="2983">
        <v>2.74</v>
      </c>
      <c r="F253" s="35"/>
      <c r="G253" s="36">
        <f t="shared" si="119"/>
        <v>52.17</v>
      </c>
      <c r="H253" s="37">
        <f t="shared" si="120"/>
        <v>52.17</v>
      </c>
      <c r="I253" s="2216">
        <f>办公清单!E246</f>
        <v>52.17</v>
      </c>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21"/>
      <c r="AV253" s="1797">
        <f t="shared" si="122"/>
        <v>0</v>
      </c>
      <c r="AW253" s="1797">
        <f t="shared" si="123"/>
        <v>0</v>
      </c>
      <c r="AX253" s="1797" t="str">
        <f t="shared" si="124"/>
        <v>26层2618号</v>
      </c>
      <c r="AY253" s="41">
        <f t="shared" si="125"/>
        <v>2.73</v>
      </c>
      <c r="AZ253" s="34">
        <f t="shared" si="126"/>
        <v>52.17</v>
      </c>
      <c r="BA253" s="34">
        <f t="shared" si="127"/>
        <v>52.17</v>
      </c>
      <c r="BB253" s="34">
        <f t="shared" si="128"/>
        <v>52.17</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ht="28.5">
      <c r="A254" s="9"/>
      <c r="B254" s="33"/>
      <c r="C254" s="1274" t="str">
        <f>办公清单!C247</f>
        <v>26层2619号</v>
      </c>
      <c r="D254" s="2951" t="s">
        <v>3295</v>
      </c>
      <c r="E254" s="2983">
        <v>2.74</v>
      </c>
      <c r="F254" s="35"/>
      <c r="G254" s="36">
        <f t="shared" si="119"/>
        <v>52.17</v>
      </c>
      <c r="H254" s="37">
        <f t="shared" si="120"/>
        <v>52.17</v>
      </c>
      <c r="I254" s="2216">
        <f>办公清单!E247</f>
        <v>52.17</v>
      </c>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21"/>
      <c r="AV254" s="1797">
        <f t="shared" si="122"/>
        <v>0</v>
      </c>
      <c r="AW254" s="1797">
        <f t="shared" si="123"/>
        <v>0</v>
      </c>
      <c r="AX254" s="1797" t="str">
        <f t="shared" si="124"/>
        <v>26层2619号</v>
      </c>
      <c r="AY254" s="41">
        <f t="shared" si="125"/>
        <v>2.73</v>
      </c>
      <c r="AZ254" s="34">
        <f t="shared" si="126"/>
        <v>52.17</v>
      </c>
      <c r="BA254" s="34">
        <f t="shared" si="127"/>
        <v>52.17</v>
      </c>
      <c r="BB254" s="34">
        <f t="shared" si="128"/>
        <v>52.17</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ht="28.5">
      <c r="A255" s="9"/>
      <c r="B255" s="33"/>
      <c r="C255" s="1274" t="str">
        <f>办公清单!C248</f>
        <v>26层2620号</v>
      </c>
      <c r="D255" s="2951" t="s">
        <v>3295</v>
      </c>
      <c r="E255" s="2983">
        <v>2.74</v>
      </c>
      <c r="F255" s="35"/>
      <c r="G255" s="36">
        <f t="shared" si="119"/>
        <v>52.17</v>
      </c>
      <c r="H255" s="37">
        <f t="shared" si="120"/>
        <v>52.17</v>
      </c>
      <c r="I255" s="2216">
        <f>办公清单!E248</f>
        <v>52.17</v>
      </c>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21"/>
      <c r="AV255" s="1797">
        <f t="shared" si="122"/>
        <v>0</v>
      </c>
      <c r="AW255" s="1797">
        <f t="shared" si="123"/>
        <v>0</v>
      </c>
      <c r="AX255" s="1797" t="str">
        <f t="shared" si="124"/>
        <v>26层2620号</v>
      </c>
      <c r="AY255" s="41">
        <f t="shared" si="125"/>
        <v>2.73</v>
      </c>
      <c r="AZ255" s="34">
        <f t="shared" si="126"/>
        <v>52.17</v>
      </c>
      <c r="BA255" s="34">
        <f t="shared" si="127"/>
        <v>52.17</v>
      </c>
      <c r="BB255" s="34">
        <f t="shared" si="128"/>
        <v>52.17</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ht="28.5">
      <c r="A256" s="9"/>
      <c r="B256" s="33"/>
      <c r="C256" s="1274" t="str">
        <f>办公清单!C249</f>
        <v>26层2621号</v>
      </c>
      <c r="D256" s="2951" t="s">
        <v>3295</v>
      </c>
      <c r="E256" s="2983">
        <v>2.74</v>
      </c>
      <c r="F256" s="35"/>
      <c r="G256" s="36">
        <f t="shared" si="119"/>
        <v>52.17</v>
      </c>
      <c r="H256" s="37">
        <f t="shared" si="120"/>
        <v>52.17</v>
      </c>
      <c r="I256" s="2216">
        <f>办公清单!E249</f>
        <v>52.17</v>
      </c>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21"/>
      <c r="AV256" s="1797">
        <f t="shared" si="122"/>
        <v>0</v>
      </c>
      <c r="AW256" s="1797">
        <f t="shared" si="123"/>
        <v>0</v>
      </c>
      <c r="AX256" s="1797" t="str">
        <f t="shared" si="124"/>
        <v>26层2621号</v>
      </c>
      <c r="AY256" s="41">
        <f t="shared" si="125"/>
        <v>2.73</v>
      </c>
      <c r="AZ256" s="34">
        <f t="shared" si="126"/>
        <v>52.17</v>
      </c>
      <c r="BA256" s="34">
        <f t="shared" si="127"/>
        <v>52.17</v>
      </c>
      <c r="BB256" s="34">
        <f t="shared" si="128"/>
        <v>52.17</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ht="28.5">
      <c r="A257" s="9"/>
      <c r="B257" s="33"/>
      <c r="C257" s="1274" t="str">
        <f>办公清单!C250</f>
        <v>26层2622号</v>
      </c>
      <c r="D257" s="2951" t="s">
        <v>3295</v>
      </c>
      <c r="E257" s="2983">
        <v>2.74</v>
      </c>
      <c r="F257" s="35"/>
      <c r="G257" s="36">
        <f t="shared" si="119"/>
        <v>52.17</v>
      </c>
      <c r="H257" s="37">
        <f t="shared" si="120"/>
        <v>52.17</v>
      </c>
      <c r="I257" s="2216">
        <f>办公清单!E250</f>
        <v>52.17</v>
      </c>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21"/>
      <c r="AV257" s="1797">
        <f t="shared" si="122"/>
        <v>0</v>
      </c>
      <c r="AW257" s="1797">
        <f t="shared" si="123"/>
        <v>0</v>
      </c>
      <c r="AX257" s="1797" t="str">
        <f t="shared" si="124"/>
        <v>26层2622号</v>
      </c>
      <c r="AY257" s="41">
        <f t="shared" si="125"/>
        <v>2.73</v>
      </c>
      <c r="AZ257" s="34">
        <f t="shared" si="126"/>
        <v>52.17</v>
      </c>
      <c r="BA257" s="34">
        <f t="shared" si="127"/>
        <v>52.17</v>
      </c>
      <c r="BB257" s="34">
        <f t="shared" si="128"/>
        <v>52.17</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ht="28.5">
      <c r="A258" s="9"/>
      <c r="B258" s="33"/>
      <c r="C258" s="1274" t="str">
        <f>办公清单!C251</f>
        <v>26层2623号</v>
      </c>
      <c r="D258" s="2951" t="s">
        <v>3295</v>
      </c>
      <c r="E258" s="2983">
        <v>2.74</v>
      </c>
      <c r="F258" s="35"/>
      <c r="G258" s="36">
        <f t="shared" si="119"/>
        <v>52.17</v>
      </c>
      <c r="H258" s="37">
        <f t="shared" si="120"/>
        <v>52.17</v>
      </c>
      <c r="I258" s="2216">
        <f>办公清单!E251</f>
        <v>52.17</v>
      </c>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21"/>
      <c r="AV258" s="1797">
        <f t="shared" si="122"/>
        <v>0</v>
      </c>
      <c r="AW258" s="1797">
        <f t="shared" si="123"/>
        <v>0</v>
      </c>
      <c r="AX258" s="1797" t="str">
        <f t="shared" si="124"/>
        <v>26层2623号</v>
      </c>
      <c r="AY258" s="41">
        <f t="shared" si="125"/>
        <v>2.73</v>
      </c>
      <c r="AZ258" s="34">
        <f t="shared" si="126"/>
        <v>52.17</v>
      </c>
      <c r="BA258" s="34">
        <f t="shared" si="127"/>
        <v>52.17</v>
      </c>
      <c r="BB258" s="34">
        <f t="shared" si="128"/>
        <v>52.17</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ht="28.5">
      <c r="A259" s="9"/>
      <c r="B259" s="33"/>
      <c r="C259" s="1274" t="str">
        <f>办公清单!C252</f>
        <v>26层2624号</v>
      </c>
      <c r="D259" s="2951" t="s">
        <v>3295</v>
      </c>
      <c r="E259" s="2983">
        <v>2.74</v>
      </c>
      <c r="F259" s="35"/>
      <c r="G259" s="36">
        <f t="shared" si="119"/>
        <v>52.17</v>
      </c>
      <c r="H259" s="37">
        <f t="shared" si="120"/>
        <v>52.17</v>
      </c>
      <c r="I259" s="2216">
        <f>办公清单!E252</f>
        <v>52.17</v>
      </c>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21"/>
      <c r="AV259" s="1797">
        <f t="shared" si="122"/>
        <v>0</v>
      </c>
      <c r="AW259" s="1797">
        <f t="shared" si="123"/>
        <v>0</v>
      </c>
      <c r="AX259" s="1797" t="str">
        <f t="shared" si="124"/>
        <v>26层2624号</v>
      </c>
      <c r="AY259" s="41">
        <f t="shared" si="125"/>
        <v>2.73</v>
      </c>
      <c r="AZ259" s="34">
        <f t="shared" si="126"/>
        <v>52.17</v>
      </c>
      <c r="BA259" s="34">
        <f t="shared" si="127"/>
        <v>52.17</v>
      </c>
      <c r="BB259" s="34">
        <f t="shared" si="128"/>
        <v>52.17</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ht="28.5">
      <c r="A260" s="9"/>
      <c r="B260" s="33"/>
      <c r="C260" s="1274" t="str">
        <f>办公清单!C253</f>
        <v>26层2625号</v>
      </c>
      <c r="D260" s="2951" t="s">
        <v>3295</v>
      </c>
      <c r="E260" s="2983">
        <v>2.74</v>
      </c>
      <c r="F260" s="35"/>
      <c r="G260" s="36">
        <f t="shared" si="119"/>
        <v>52.17</v>
      </c>
      <c r="H260" s="37">
        <f t="shared" si="120"/>
        <v>52.17</v>
      </c>
      <c r="I260" s="2216">
        <f>办公清单!E253</f>
        <v>52.17</v>
      </c>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21"/>
      <c r="AV260" s="1797">
        <f t="shared" si="122"/>
        <v>0</v>
      </c>
      <c r="AW260" s="1797">
        <f t="shared" si="123"/>
        <v>0</v>
      </c>
      <c r="AX260" s="1797" t="str">
        <f t="shared" si="124"/>
        <v>26层2625号</v>
      </c>
      <c r="AY260" s="41">
        <f t="shared" si="125"/>
        <v>2.73</v>
      </c>
      <c r="AZ260" s="34">
        <f t="shared" si="126"/>
        <v>52.17</v>
      </c>
      <c r="BA260" s="34">
        <f t="shared" si="127"/>
        <v>52.17</v>
      </c>
      <c r="BB260" s="34">
        <f t="shared" si="128"/>
        <v>52.17</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ht="28.5">
      <c r="A261" s="9"/>
      <c r="B261" s="33"/>
      <c r="C261" s="1274" t="str">
        <f>办公清单!C254</f>
        <v>26层2626号</v>
      </c>
      <c r="D261" s="2951" t="s">
        <v>3295</v>
      </c>
      <c r="E261" s="2983">
        <v>4.24</v>
      </c>
      <c r="F261" s="35"/>
      <c r="G261" s="36">
        <f t="shared" si="119"/>
        <v>80.73</v>
      </c>
      <c r="H261" s="37">
        <f t="shared" si="120"/>
        <v>80.73</v>
      </c>
      <c r="I261" s="2216">
        <f>办公清单!E254</f>
        <v>80.73</v>
      </c>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21"/>
      <c r="AV261" s="1797">
        <f t="shared" si="122"/>
        <v>0</v>
      </c>
      <c r="AW261" s="1797">
        <f t="shared" si="123"/>
        <v>0</v>
      </c>
      <c r="AX261" s="1797" t="str">
        <f t="shared" si="124"/>
        <v>26层2626号</v>
      </c>
      <c r="AY261" s="41">
        <f t="shared" si="125"/>
        <v>4.2300000000000004</v>
      </c>
      <c r="AZ261" s="34">
        <f t="shared" si="126"/>
        <v>80.73</v>
      </c>
      <c r="BA261" s="34">
        <f t="shared" si="127"/>
        <v>80.73</v>
      </c>
      <c r="BB261" s="34">
        <f t="shared" si="128"/>
        <v>80.73</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ht="28.5">
      <c r="A262" s="9"/>
      <c r="B262" s="33"/>
      <c r="C262" s="1274" t="str">
        <f>办公清单!C255</f>
        <v>26层2627号</v>
      </c>
      <c r="D262" s="2951" t="s">
        <v>3295</v>
      </c>
      <c r="E262" s="2983">
        <v>4.8899999999999997</v>
      </c>
      <c r="F262" s="35"/>
      <c r="G262" s="36">
        <f t="shared" si="119"/>
        <v>93.08</v>
      </c>
      <c r="H262" s="37">
        <f t="shared" si="120"/>
        <v>93.08</v>
      </c>
      <c r="I262" s="2216">
        <f>办公清单!E255</f>
        <v>93.08</v>
      </c>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21"/>
      <c r="AV262" s="1797">
        <f t="shared" si="122"/>
        <v>0</v>
      </c>
      <c r="AW262" s="1797">
        <f t="shared" si="123"/>
        <v>0</v>
      </c>
      <c r="AX262" s="1797" t="str">
        <f t="shared" si="124"/>
        <v>26层2627号</v>
      </c>
      <c r="AY262" s="41">
        <f t="shared" si="125"/>
        <v>4.87</v>
      </c>
      <c r="AZ262" s="34">
        <f t="shared" si="126"/>
        <v>93.08</v>
      </c>
      <c r="BA262" s="34">
        <f t="shared" si="127"/>
        <v>93.08</v>
      </c>
      <c r="BB262" s="34">
        <f t="shared" si="128"/>
        <v>93.08</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ht="28.5">
      <c r="A263" s="9"/>
      <c r="B263" s="33"/>
      <c r="C263" s="1274" t="str">
        <f>办公清单!C256</f>
        <v>26层2628号</v>
      </c>
      <c r="D263" s="2951" t="s">
        <v>3295</v>
      </c>
      <c r="E263" s="2983">
        <v>4.8899999999999997</v>
      </c>
      <c r="F263" s="35"/>
      <c r="G263" s="36">
        <f t="shared" si="119"/>
        <v>93.08</v>
      </c>
      <c r="H263" s="37">
        <f t="shared" si="120"/>
        <v>93.08</v>
      </c>
      <c r="I263" s="2216">
        <f>办公清单!E256</f>
        <v>93.08</v>
      </c>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21"/>
      <c r="AV263" s="1797">
        <f t="shared" si="122"/>
        <v>0</v>
      </c>
      <c r="AW263" s="1797">
        <f t="shared" si="123"/>
        <v>0</v>
      </c>
      <c r="AX263" s="1797" t="str">
        <f t="shared" si="124"/>
        <v>26层2628号</v>
      </c>
      <c r="AY263" s="41">
        <f t="shared" si="125"/>
        <v>4.87</v>
      </c>
      <c r="AZ263" s="34">
        <f t="shared" si="126"/>
        <v>93.08</v>
      </c>
      <c r="BA263" s="34">
        <f t="shared" si="127"/>
        <v>93.08</v>
      </c>
      <c r="BB263" s="34">
        <f t="shared" si="128"/>
        <v>93.08</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ht="28.5">
      <c r="A264" s="9"/>
      <c r="B264" s="33"/>
      <c r="C264" s="1274" t="str">
        <f>办公清单!C257</f>
        <v>27层2701号</v>
      </c>
      <c r="D264" s="2951" t="s">
        <v>3295</v>
      </c>
      <c r="E264" s="2983">
        <v>4.24</v>
      </c>
      <c r="F264" s="35"/>
      <c r="G264" s="36">
        <f t="shared" si="119"/>
        <v>80.73</v>
      </c>
      <c r="H264" s="37">
        <f t="shared" si="120"/>
        <v>80.73</v>
      </c>
      <c r="I264" s="2216">
        <f>办公清单!E257</f>
        <v>80.73</v>
      </c>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21"/>
      <c r="AV264" s="1797">
        <f t="shared" si="122"/>
        <v>0</v>
      </c>
      <c r="AW264" s="1797">
        <f t="shared" si="123"/>
        <v>0</v>
      </c>
      <c r="AX264" s="1797" t="str">
        <f t="shared" si="124"/>
        <v>27层2701号</v>
      </c>
      <c r="AY264" s="41">
        <f t="shared" si="125"/>
        <v>4.2300000000000004</v>
      </c>
      <c r="AZ264" s="34">
        <f t="shared" si="126"/>
        <v>80.73</v>
      </c>
      <c r="BA264" s="34">
        <f t="shared" si="127"/>
        <v>80.73</v>
      </c>
      <c r="BB264" s="34">
        <f t="shared" si="128"/>
        <v>80.73</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ht="28.5">
      <c r="A265" s="9"/>
      <c r="B265" s="33"/>
      <c r="C265" s="1274" t="str">
        <f>办公清单!C258</f>
        <v>27层2702号</v>
      </c>
      <c r="D265" s="2951" t="s">
        <v>3295</v>
      </c>
      <c r="E265" s="2983">
        <v>2.74</v>
      </c>
      <c r="F265" s="35"/>
      <c r="G265" s="36">
        <f t="shared" si="119"/>
        <v>52.17</v>
      </c>
      <c r="H265" s="37">
        <f t="shared" si="120"/>
        <v>52.17</v>
      </c>
      <c r="I265" s="2216">
        <f>办公清单!E258</f>
        <v>52.17</v>
      </c>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21"/>
      <c r="AV265" s="1797">
        <f t="shared" si="122"/>
        <v>0</v>
      </c>
      <c r="AW265" s="1797">
        <f t="shared" si="123"/>
        <v>0</v>
      </c>
      <c r="AX265" s="1797" t="str">
        <f t="shared" si="124"/>
        <v>27层2702号</v>
      </c>
      <c r="AY265" s="41">
        <f t="shared" si="125"/>
        <v>2.73</v>
      </c>
      <c r="AZ265" s="34">
        <f t="shared" si="126"/>
        <v>52.17</v>
      </c>
      <c r="BA265" s="34">
        <f t="shared" si="127"/>
        <v>52.17</v>
      </c>
      <c r="BB265" s="34">
        <f t="shared" si="128"/>
        <v>52.17</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ht="28.5">
      <c r="A266" s="9"/>
      <c r="B266" s="33"/>
      <c r="C266" s="1274" t="str">
        <f>办公清单!C259</f>
        <v>27层2703号</v>
      </c>
      <c r="D266" s="2951" t="s">
        <v>3295</v>
      </c>
      <c r="E266" s="2983">
        <v>2.74</v>
      </c>
      <c r="F266" s="35"/>
      <c r="G266" s="36">
        <f t="shared" si="119"/>
        <v>52.17</v>
      </c>
      <c r="H266" s="37">
        <f t="shared" si="120"/>
        <v>52.17</v>
      </c>
      <c r="I266" s="2216">
        <f>办公清单!E259</f>
        <v>52.17</v>
      </c>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21"/>
      <c r="AV266" s="1797">
        <f t="shared" si="122"/>
        <v>0</v>
      </c>
      <c r="AW266" s="1797">
        <f t="shared" si="123"/>
        <v>0</v>
      </c>
      <c r="AX266" s="1797" t="str">
        <f t="shared" si="124"/>
        <v>27层2703号</v>
      </c>
      <c r="AY266" s="41">
        <f t="shared" si="125"/>
        <v>2.73</v>
      </c>
      <c r="AZ266" s="34">
        <f t="shared" si="126"/>
        <v>52.17</v>
      </c>
      <c r="BA266" s="34">
        <f t="shared" si="127"/>
        <v>52.17</v>
      </c>
      <c r="BB266" s="34">
        <f t="shared" si="128"/>
        <v>52.17</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ht="28.5">
      <c r="A267" s="9"/>
      <c r="B267" s="33"/>
      <c r="C267" s="1274" t="str">
        <f>办公清单!C260</f>
        <v>27层2704号</v>
      </c>
      <c r="D267" s="2951" t="s">
        <v>3295</v>
      </c>
      <c r="E267" s="2983">
        <v>2.74</v>
      </c>
      <c r="F267" s="35"/>
      <c r="G267" s="36">
        <f t="shared" si="119"/>
        <v>52.17</v>
      </c>
      <c r="H267" s="37">
        <f t="shared" si="120"/>
        <v>52.17</v>
      </c>
      <c r="I267" s="2216">
        <f>办公清单!E260</f>
        <v>52.17</v>
      </c>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21"/>
      <c r="AV267" s="1797">
        <f t="shared" si="122"/>
        <v>0</v>
      </c>
      <c r="AW267" s="1797">
        <f t="shared" si="123"/>
        <v>0</v>
      </c>
      <c r="AX267" s="1797" t="str">
        <f t="shared" si="124"/>
        <v>27层2704号</v>
      </c>
      <c r="AY267" s="41">
        <f t="shared" si="125"/>
        <v>2.73</v>
      </c>
      <c r="AZ267" s="34">
        <f t="shared" si="126"/>
        <v>52.17</v>
      </c>
      <c r="BA267" s="34">
        <f t="shared" si="127"/>
        <v>52.17</v>
      </c>
      <c r="BB267" s="34">
        <f t="shared" si="128"/>
        <v>52.17</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ht="28.5">
      <c r="A268" s="9"/>
      <c r="B268" s="33"/>
      <c r="C268" s="1274" t="str">
        <f>办公清单!C261</f>
        <v>27层2705号</v>
      </c>
      <c r="D268" s="2951" t="s">
        <v>3295</v>
      </c>
      <c r="E268" s="2983">
        <v>2.74</v>
      </c>
      <c r="F268" s="35"/>
      <c r="G268" s="36">
        <f t="shared" si="119"/>
        <v>52.17</v>
      </c>
      <c r="H268" s="37">
        <f t="shared" si="120"/>
        <v>52.17</v>
      </c>
      <c r="I268" s="2216">
        <f>办公清单!E261</f>
        <v>52.17</v>
      </c>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21"/>
      <c r="AV268" s="1797">
        <f t="shared" si="122"/>
        <v>0</v>
      </c>
      <c r="AW268" s="1797">
        <f t="shared" si="123"/>
        <v>0</v>
      </c>
      <c r="AX268" s="1797" t="str">
        <f t="shared" si="124"/>
        <v>27层2705号</v>
      </c>
      <c r="AY268" s="41">
        <f t="shared" si="125"/>
        <v>2.73</v>
      </c>
      <c r="AZ268" s="34">
        <f t="shared" si="126"/>
        <v>52.17</v>
      </c>
      <c r="BA268" s="34">
        <f t="shared" si="127"/>
        <v>52.17</v>
      </c>
      <c r="BB268" s="34">
        <f t="shared" si="128"/>
        <v>52.17</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ht="28.5">
      <c r="A269" s="9"/>
      <c r="B269" s="33"/>
      <c r="C269" s="1274" t="str">
        <f>办公清单!C262</f>
        <v>27层2706号</v>
      </c>
      <c r="D269" s="2951" t="s">
        <v>3295</v>
      </c>
      <c r="E269" s="2983">
        <v>2.74</v>
      </c>
      <c r="F269" s="35"/>
      <c r="G269" s="36">
        <f t="shared" si="119"/>
        <v>52.17</v>
      </c>
      <c r="H269" s="37">
        <f t="shared" si="120"/>
        <v>52.17</v>
      </c>
      <c r="I269" s="2216">
        <f>办公清单!E262</f>
        <v>52.17</v>
      </c>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21"/>
      <c r="AV269" s="1797">
        <f t="shared" si="122"/>
        <v>0</v>
      </c>
      <c r="AW269" s="1797">
        <f t="shared" si="123"/>
        <v>0</v>
      </c>
      <c r="AX269" s="1797" t="str">
        <f t="shared" si="124"/>
        <v>27层2706号</v>
      </c>
      <c r="AY269" s="41">
        <f t="shared" si="125"/>
        <v>2.73</v>
      </c>
      <c r="AZ269" s="34">
        <f t="shared" si="126"/>
        <v>52.17</v>
      </c>
      <c r="BA269" s="34">
        <f t="shared" si="127"/>
        <v>52.17</v>
      </c>
      <c r="BB269" s="34">
        <f t="shared" si="128"/>
        <v>52.17</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ht="28.5">
      <c r="A270" s="9"/>
      <c r="B270" s="33"/>
      <c r="C270" s="1274" t="str">
        <f>办公清单!C263</f>
        <v>27层2707号</v>
      </c>
      <c r="D270" s="2951" t="s">
        <v>3295</v>
      </c>
      <c r="E270" s="2983">
        <v>2.74</v>
      </c>
      <c r="F270" s="35"/>
      <c r="G270" s="36">
        <f t="shared" si="119"/>
        <v>52.17</v>
      </c>
      <c r="H270" s="37">
        <f t="shared" si="120"/>
        <v>52.17</v>
      </c>
      <c r="I270" s="2216">
        <f>办公清单!E263</f>
        <v>52.17</v>
      </c>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21"/>
      <c r="AV270" s="1797">
        <f t="shared" si="122"/>
        <v>0</v>
      </c>
      <c r="AW270" s="1797">
        <f t="shared" si="123"/>
        <v>0</v>
      </c>
      <c r="AX270" s="1797" t="str">
        <f t="shared" si="124"/>
        <v>27层2707号</v>
      </c>
      <c r="AY270" s="41">
        <f t="shared" si="125"/>
        <v>2.73</v>
      </c>
      <c r="AZ270" s="34">
        <f t="shared" si="126"/>
        <v>52.17</v>
      </c>
      <c r="BA270" s="34">
        <f t="shared" si="127"/>
        <v>52.17</v>
      </c>
      <c r="BB270" s="34">
        <f t="shared" si="128"/>
        <v>52.17</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ht="28.5">
      <c r="A271" s="9"/>
      <c r="B271" s="33"/>
      <c r="C271" s="1274" t="str">
        <f>办公清单!C264</f>
        <v>27层2708号</v>
      </c>
      <c r="D271" s="2951" t="s">
        <v>3295</v>
      </c>
      <c r="E271" s="2983">
        <v>2.74</v>
      </c>
      <c r="F271" s="35"/>
      <c r="G271" s="36">
        <f t="shared" si="119"/>
        <v>52.17</v>
      </c>
      <c r="H271" s="37">
        <f t="shared" si="120"/>
        <v>52.17</v>
      </c>
      <c r="I271" s="2216">
        <f>办公清单!E264</f>
        <v>52.17</v>
      </c>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21"/>
      <c r="AV271" s="1797">
        <f t="shared" si="122"/>
        <v>0</v>
      </c>
      <c r="AW271" s="1797">
        <f t="shared" si="123"/>
        <v>0</v>
      </c>
      <c r="AX271" s="1797" t="str">
        <f t="shared" si="124"/>
        <v>27层2708号</v>
      </c>
      <c r="AY271" s="41">
        <f t="shared" si="125"/>
        <v>2.73</v>
      </c>
      <c r="AZ271" s="34">
        <f t="shared" si="126"/>
        <v>52.17</v>
      </c>
      <c r="BA271" s="34">
        <f t="shared" si="127"/>
        <v>52.17</v>
      </c>
      <c r="BB271" s="34">
        <f t="shared" si="128"/>
        <v>52.17</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ht="28.5">
      <c r="A272" s="9"/>
      <c r="B272" s="33"/>
      <c r="C272" s="1274" t="str">
        <f>办公清单!C265</f>
        <v>27层2709号</v>
      </c>
      <c r="D272" s="2951" t="s">
        <v>3295</v>
      </c>
      <c r="E272" s="2983">
        <v>2.74</v>
      </c>
      <c r="F272" s="35"/>
      <c r="G272" s="36">
        <f t="shared" si="119"/>
        <v>52.17</v>
      </c>
      <c r="H272" s="37">
        <f t="shared" si="120"/>
        <v>52.17</v>
      </c>
      <c r="I272" s="2216">
        <f>办公清单!E265</f>
        <v>52.17</v>
      </c>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21"/>
      <c r="AV272" s="1797">
        <f t="shared" si="122"/>
        <v>0</v>
      </c>
      <c r="AW272" s="1797">
        <f t="shared" si="123"/>
        <v>0</v>
      </c>
      <c r="AX272" s="1797" t="str">
        <f t="shared" si="124"/>
        <v>27层2709号</v>
      </c>
      <c r="AY272" s="41">
        <f t="shared" si="125"/>
        <v>2.73</v>
      </c>
      <c r="AZ272" s="34">
        <f t="shared" si="126"/>
        <v>52.17</v>
      </c>
      <c r="BA272" s="34">
        <f t="shared" si="127"/>
        <v>52.17</v>
      </c>
      <c r="BB272" s="34">
        <f t="shared" si="128"/>
        <v>52.17</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ht="28.5">
      <c r="A273" s="9"/>
      <c r="B273" s="33"/>
      <c r="C273" s="1274" t="str">
        <f>办公清单!C266</f>
        <v>27层2710号</v>
      </c>
      <c r="D273" s="2951" t="s">
        <v>3295</v>
      </c>
      <c r="E273" s="2983">
        <v>2.74</v>
      </c>
      <c r="F273" s="35"/>
      <c r="G273" s="36">
        <f t="shared" si="119"/>
        <v>52.17</v>
      </c>
      <c r="H273" s="37">
        <f t="shared" si="120"/>
        <v>52.17</v>
      </c>
      <c r="I273" s="2216">
        <f>办公清单!E266</f>
        <v>52.17</v>
      </c>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21"/>
      <c r="AV273" s="1797">
        <f t="shared" si="122"/>
        <v>0</v>
      </c>
      <c r="AW273" s="1797">
        <f t="shared" si="123"/>
        <v>0</v>
      </c>
      <c r="AX273" s="1797" t="str">
        <f t="shared" si="124"/>
        <v>27层2710号</v>
      </c>
      <c r="AY273" s="41">
        <f t="shared" si="125"/>
        <v>2.73</v>
      </c>
      <c r="AZ273" s="34">
        <f t="shared" si="126"/>
        <v>52.17</v>
      </c>
      <c r="BA273" s="34">
        <f t="shared" si="127"/>
        <v>52.17</v>
      </c>
      <c r="BB273" s="34">
        <f t="shared" si="128"/>
        <v>52.17</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ht="28.5">
      <c r="A274" s="9"/>
      <c r="B274" s="33"/>
      <c r="C274" s="1274" t="str">
        <f>办公清单!C267</f>
        <v>27层2711号</v>
      </c>
      <c r="D274" s="2951" t="s">
        <v>3295</v>
      </c>
      <c r="E274" s="2983">
        <v>2.74</v>
      </c>
      <c r="F274" s="35"/>
      <c r="G274" s="36">
        <f t="shared" si="119"/>
        <v>52.17</v>
      </c>
      <c r="H274" s="37">
        <f t="shared" si="120"/>
        <v>52.17</v>
      </c>
      <c r="I274" s="2216">
        <f>办公清单!E267</f>
        <v>52.17</v>
      </c>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21"/>
      <c r="AV274" s="1797">
        <f t="shared" si="122"/>
        <v>0</v>
      </c>
      <c r="AW274" s="1797">
        <f t="shared" si="123"/>
        <v>0</v>
      </c>
      <c r="AX274" s="1797" t="str">
        <f t="shared" si="124"/>
        <v>27层2711号</v>
      </c>
      <c r="AY274" s="41">
        <f t="shared" si="125"/>
        <v>2.73</v>
      </c>
      <c r="AZ274" s="34">
        <f t="shared" si="126"/>
        <v>52.17</v>
      </c>
      <c r="BA274" s="34">
        <f t="shared" si="127"/>
        <v>52.17</v>
      </c>
      <c r="BB274" s="34">
        <f t="shared" si="128"/>
        <v>52.17</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ht="28.5">
      <c r="A275" s="9"/>
      <c r="B275" s="33"/>
      <c r="C275" s="1274" t="str">
        <f>办公清单!C268</f>
        <v>27层2712号</v>
      </c>
      <c r="D275" s="2951" t="s">
        <v>3295</v>
      </c>
      <c r="E275" s="2983">
        <v>4.24</v>
      </c>
      <c r="F275" s="35"/>
      <c r="G275" s="36">
        <f t="shared" si="119"/>
        <v>80.73</v>
      </c>
      <c r="H275" s="37">
        <f t="shared" si="120"/>
        <v>80.73</v>
      </c>
      <c r="I275" s="2216">
        <f>办公清单!E268</f>
        <v>80.73</v>
      </c>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21"/>
      <c r="AV275" s="1797">
        <f t="shared" si="122"/>
        <v>0</v>
      </c>
      <c r="AW275" s="1797">
        <f t="shared" si="123"/>
        <v>0</v>
      </c>
      <c r="AX275" s="1797" t="str">
        <f t="shared" si="124"/>
        <v>27层2712号</v>
      </c>
      <c r="AY275" s="41">
        <f t="shared" si="125"/>
        <v>4.2300000000000004</v>
      </c>
      <c r="AZ275" s="34">
        <f t="shared" si="126"/>
        <v>80.73</v>
      </c>
      <c r="BA275" s="34">
        <f t="shared" si="127"/>
        <v>80.73</v>
      </c>
      <c r="BB275" s="34">
        <f t="shared" si="128"/>
        <v>80.73</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ht="28.5">
      <c r="A276" s="9"/>
      <c r="B276" s="33"/>
      <c r="C276" s="1274" t="str">
        <f>办公清单!C269</f>
        <v>27层2713号</v>
      </c>
      <c r="D276" s="2951" t="s">
        <v>3295</v>
      </c>
      <c r="E276" s="2983">
        <v>3.54</v>
      </c>
      <c r="F276" s="35"/>
      <c r="G276" s="36">
        <f t="shared" si="119"/>
        <v>67.36</v>
      </c>
      <c r="H276" s="37">
        <f t="shared" si="120"/>
        <v>67.36</v>
      </c>
      <c r="I276" s="2216">
        <f>办公清单!E269</f>
        <v>67.36</v>
      </c>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21"/>
      <c r="AV276" s="1797">
        <f t="shared" si="122"/>
        <v>0</v>
      </c>
      <c r="AW276" s="1797">
        <f t="shared" si="123"/>
        <v>0</v>
      </c>
      <c r="AX276" s="1797" t="str">
        <f t="shared" si="124"/>
        <v>27层2713号</v>
      </c>
      <c r="AY276" s="41">
        <f t="shared" si="125"/>
        <v>3.53</v>
      </c>
      <c r="AZ276" s="34">
        <f t="shared" si="126"/>
        <v>67.36</v>
      </c>
      <c r="BA276" s="34">
        <f t="shared" si="127"/>
        <v>67.36</v>
      </c>
      <c r="BB276" s="34">
        <f t="shared" si="128"/>
        <v>67.36</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ht="28.5">
      <c r="A277" s="9"/>
      <c r="B277" s="33"/>
      <c r="C277" s="1274" t="str">
        <f>办公清单!C270</f>
        <v>27层2714号</v>
      </c>
      <c r="D277" s="2951" t="s">
        <v>3295</v>
      </c>
      <c r="E277" s="2983">
        <v>3.54</v>
      </c>
      <c r="F277" s="35"/>
      <c r="G277" s="36">
        <f t="shared" si="119"/>
        <v>67.36</v>
      </c>
      <c r="H277" s="37">
        <f t="shared" si="120"/>
        <v>67.36</v>
      </c>
      <c r="I277" s="2216">
        <f>办公清单!E270</f>
        <v>67.36</v>
      </c>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21"/>
      <c r="AV277" s="1797">
        <f t="shared" si="122"/>
        <v>0</v>
      </c>
      <c r="AW277" s="1797">
        <f t="shared" si="123"/>
        <v>0</v>
      </c>
      <c r="AX277" s="1797" t="str">
        <f t="shared" si="124"/>
        <v>27层2714号</v>
      </c>
      <c r="AY277" s="41">
        <f t="shared" si="125"/>
        <v>3.53</v>
      </c>
      <c r="AZ277" s="34">
        <f t="shared" si="126"/>
        <v>67.36</v>
      </c>
      <c r="BA277" s="34">
        <f t="shared" si="127"/>
        <v>67.36</v>
      </c>
      <c r="BB277" s="34">
        <f t="shared" si="128"/>
        <v>67.36</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ht="28.5">
      <c r="A278" s="9"/>
      <c r="B278" s="33"/>
      <c r="C278" s="1274" t="str">
        <f>办公清单!C271</f>
        <v>27层2715号</v>
      </c>
      <c r="D278" s="2951" t="s">
        <v>3295</v>
      </c>
      <c r="E278" s="2983">
        <v>4.24</v>
      </c>
      <c r="F278" s="35"/>
      <c r="G278" s="36">
        <f t="shared" si="119"/>
        <v>80.73</v>
      </c>
      <c r="H278" s="37">
        <f t="shared" si="120"/>
        <v>80.73</v>
      </c>
      <c r="I278" s="2216">
        <f>办公清单!E271</f>
        <v>80.73</v>
      </c>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21"/>
      <c r="AV278" s="1797">
        <f t="shared" si="122"/>
        <v>0</v>
      </c>
      <c r="AW278" s="1797">
        <f t="shared" si="123"/>
        <v>0</v>
      </c>
      <c r="AX278" s="1797" t="str">
        <f t="shared" si="124"/>
        <v>27层2715号</v>
      </c>
      <c r="AY278" s="41">
        <f t="shared" si="125"/>
        <v>4.2300000000000004</v>
      </c>
      <c r="AZ278" s="34">
        <f t="shared" si="126"/>
        <v>80.73</v>
      </c>
      <c r="BA278" s="34">
        <f t="shared" si="127"/>
        <v>80.73</v>
      </c>
      <c r="BB278" s="34">
        <f t="shared" si="128"/>
        <v>80.73</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ht="28.5">
      <c r="A279" s="9"/>
      <c r="B279" s="33"/>
      <c r="C279" s="1274" t="str">
        <f>办公清单!C272</f>
        <v>27层2716号</v>
      </c>
      <c r="D279" s="2951" t="s">
        <v>3295</v>
      </c>
      <c r="E279" s="2983">
        <v>2.74</v>
      </c>
      <c r="F279" s="35"/>
      <c r="G279" s="36">
        <f t="shared" si="119"/>
        <v>52.17</v>
      </c>
      <c r="H279" s="37">
        <f t="shared" si="120"/>
        <v>52.17</v>
      </c>
      <c r="I279" s="2216">
        <f>办公清单!E272</f>
        <v>52.17</v>
      </c>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21"/>
      <c r="AV279" s="1797">
        <f t="shared" si="122"/>
        <v>0</v>
      </c>
      <c r="AW279" s="1797">
        <f t="shared" si="123"/>
        <v>0</v>
      </c>
      <c r="AX279" s="1797" t="str">
        <f t="shared" si="124"/>
        <v>27层2716号</v>
      </c>
      <c r="AY279" s="41">
        <f t="shared" si="125"/>
        <v>2.73</v>
      </c>
      <c r="AZ279" s="34">
        <f t="shared" si="126"/>
        <v>52.17</v>
      </c>
      <c r="BA279" s="34">
        <f t="shared" si="127"/>
        <v>52.17</v>
      </c>
      <c r="BB279" s="34">
        <f t="shared" si="128"/>
        <v>52.17</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ht="28.5">
      <c r="A280" s="9"/>
      <c r="B280" s="33"/>
      <c r="C280" s="1274" t="str">
        <f>办公清单!C273</f>
        <v>27层2717号</v>
      </c>
      <c r="D280" s="2951" t="s">
        <v>3295</v>
      </c>
      <c r="E280" s="2983">
        <v>2.74</v>
      </c>
      <c r="F280" s="35"/>
      <c r="G280" s="36">
        <f t="shared" si="119"/>
        <v>52.17</v>
      </c>
      <c r="H280" s="37">
        <f t="shared" si="120"/>
        <v>52.17</v>
      </c>
      <c r="I280" s="2216">
        <f>办公清单!E273</f>
        <v>52.17</v>
      </c>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21"/>
      <c r="AV280" s="1797">
        <f t="shared" si="122"/>
        <v>0</v>
      </c>
      <c r="AW280" s="1797">
        <f t="shared" si="123"/>
        <v>0</v>
      </c>
      <c r="AX280" s="1797" t="str">
        <f t="shared" si="124"/>
        <v>27层2717号</v>
      </c>
      <c r="AY280" s="41">
        <f t="shared" si="125"/>
        <v>2.73</v>
      </c>
      <c r="AZ280" s="34">
        <f t="shared" si="126"/>
        <v>52.17</v>
      </c>
      <c r="BA280" s="34">
        <f t="shared" si="127"/>
        <v>52.17</v>
      </c>
      <c r="BB280" s="34">
        <f t="shared" si="128"/>
        <v>52.17</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ht="28.5">
      <c r="A281" s="9"/>
      <c r="B281" s="33"/>
      <c r="C281" s="1274" t="str">
        <f>办公清单!C274</f>
        <v>27层2718号</v>
      </c>
      <c r="D281" s="2951" t="s">
        <v>3295</v>
      </c>
      <c r="E281" s="2983">
        <v>2.74</v>
      </c>
      <c r="F281" s="35"/>
      <c r="G281" s="36">
        <f t="shared" si="119"/>
        <v>52.17</v>
      </c>
      <c r="H281" s="37">
        <f t="shared" si="120"/>
        <v>52.17</v>
      </c>
      <c r="I281" s="2216">
        <f>办公清单!E274</f>
        <v>52.17</v>
      </c>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21"/>
      <c r="AV281" s="1797">
        <f t="shared" si="122"/>
        <v>0</v>
      </c>
      <c r="AW281" s="1797">
        <f t="shared" si="123"/>
        <v>0</v>
      </c>
      <c r="AX281" s="1797" t="str">
        <f t="shared" si="124"/>
        <v>27层2718号</v>
      </c>
      <c r="AY281" s="41">
        <f t="shared" si="125"/>
        <v>2.73</v>
      </c>
      <c r="AZ281" s="34">
        <f t="shared" si="126"/>
        <v>52.17</v>
      </c>
      <c r="BA281" s="34">
        <f t="shared" si="127"/>
        <v>52.17</v>
      </c>
      <c r="BB281" s="34">
        <f t="shared" si="128"/>
        <v>52.17</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ht="28.5">
      <c r="A282" s="9"/>
      <c r="B282" s="33"/>
      <c r="C282" s="1274" t="str">
        <f>办公清单!C275</f>
        <v>27层2719号</v>
      </c>
      <c r="D282" s="2951" t="s">
        <v>3295</v>
      </c>
      <c r="E282" s="2983">
        <v>2.74</v>
      </c>
      <c r="F282" s="35"/>
      <c r="G282" s="36">
        <f t="shared" si="119"/>
        <v>52.17</v>
      </c>
      <c r="H282" s="37">
        <f t="shared" si="120"/>
        <v>52.17</v>
      </c>
      <c r="I282" s="2216">
        <f>办公清单!E275</f>
        <v>52.17</v>
      </c>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21"/>
      <c r="AV282" s="1797">
        <f t="shared" si="122"/>
        <v>0</v>
      </c>
      <c r="AW282" s="1797">
        <f t="shared" si="123"/>
        <v>0</v>
      </c>
      <c r="AX282" s="1797" t="str">
        <f t="shared" si="124"/>
        <v>27层2719号</v>
      </c>
      <c r="AY282" s="41">
        <f t="shared" si="125"/>
        <v>2.73</v>
      </c>
      <c r="AZ282" s="34">
        <f t="shared" si="126"/>
        <v>52.17</v>
      </c>
      <c r="BA282" s="34">
        <f t="shared" si="127"/>
        <v>52.17</v>
      </c>
      <c r="BB282" s="34">
        <f t="shared" si="128"/>
        <v>52.17</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ht="28.5">
      <c r="A283" s="9"/>
      <c r="B283" s="33"/>
      <c r="C283" s="1274" t="str">
        <f>办公清单!C276</f>
        <v>27层2720号</v>
      </c>
      <c r="D283" s="2951" t="s">
        <v>3295</v>
      </c>
      <c r="E283" s="2983">
        <v>2.74</v>
      </c>
      <c r="F283" s="35"/>
      <c r="G283" s="36">
        <f t="shared" si="119"/>
        <v>52.17</v>
      </c>
      <c r="H283" s="37">
        <f t="shared" si="120"/>
        <v>52.17</v>
      </c>
      <c r="I283" s="2216">
        <f>办公清单!E276</f>
        <v>52.17</v>
      </c>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21"/>
      <c r="AV283" s="1797">
        <f t="shared" si="122"/>
        <v>0</v>
      </c>
      <c r="AW283" s="1797">
        <f t="shared" si="123"/>
        <v>0</v>
      </c>
      <c r="AX283" s="1797" t="str">
        <f t="shared" si="124"/>
        <v>27层2720号</v>
      </c>
      <c r="AY283" s="41">
        <f t="shared" si="125"/>
        <v>2.73</v>
      </c>
      <c r="AZ283" s="34">
        <f t="shared" si="126"/>
        <v>52.17</v>
      </c>
      <c r="BA283" s="34">
        <f t="shared" si="127"/>
        <v>52.17</v>
      </c>
      <c r="BB283" s="34">
        <f t="shared" si="128"/>
        <v>52.17</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ht="28.5">
      <c r="A284" s="9"/>
      <c r="B284" s="33"/>
      <c r="C284" s="1274" t="str">
        <f>办公清单!C277</f>
        <v>27层2721号</v>
      </c>
      <c r="D284" s="2951" t="s">
        <v>3295</v>
      </c>
      <c r="E284" s="2983">
        <v>2.74</v>
      </c>
      <c r="F284" s="35"/>
      <c r="G284" s="36">
        <f t="shared" si="119"/>
        <v>52.17</v>
      </c>
      <c r="H284" s="37">
        <f t="shared" si="120"/>
        <v>52.17</v>
      </c>
      <c r="I284" s="2216">
        <f>办公清单!E277</f>
        <v>52.17</v>
      </c>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21"/>
      <c r="AV284" s="1797">
        <f t="shared" si="122"/>
        <v>0</v>
      </c>
      <c r="AW284" s="1797">
        <f t="shared" si="123"/>
        <v>0</v>
      </c>
      <c r="AX284" s="1797" t="str">
        <f t="shared" si="124"/>
        <v>27层2721号</v>
      </c>
      <c r="AY284" s="41">
        <f t="shared" si="125"/>
        <v>2.73</v>
      </c>
      <c r="AZ284" s="34">
        <f t="shared" si="126"/>
        <v>52.17</v>
      </c>
      <c r="BA284" s="34">
        <f t="shared" si="127"/>
        <v>52.17</v>
      </c>
      <c r="BB284" s="34">
        <f t="shared" si="128"/>
        <v>52.17</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ht="28.5">
      <c r="A285" s="9"/>
      <c r="B285" s="33"/>
      <c r="C285" s="1274" t="str">
        <f>办公清单!C278</f>
        <v>27层2722号</v>
      </c>
      <c r="D285" s="2951" t="s">
        <v>3295</v>
      </c>
      <c r="E285" s="2983">
        <v>2.74</v>
      </c>
      <c r="F285" s="35"/>
      <c r="G285" s="36">
        <f t="shared" si="119"/>
        <v>52.17</v>
      </c>
      <c r="H285" s="37">
        <f t="shared" si="120"/>
        <v>52.17</v>
      </c>
      <c r="I285" s="2216">
        <f>办公清单!E278</f>
        <v>52.17</v>
      </c>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21"/>
      <c r="AV285" s="1797">
        <f t="shared" si="122"/>
        <v>0</v>
      </c>
      <c r="AW285" s="1797">
        <f t="shared" si="123"/>
        <v>0</v>
      </c>
      <c r="AX285" s="1797" t="str">
        <f t="shared" si="124"/>
        <v>27层2722号</v>
      </c>
      <c r="AY285" s="41">
        <f t="shared" si="125"/>
        <v>2.73</v>
      </c>
      <c r="AZ285" s="34">
        <f t="shared" si="126"/>
        <v>52.17</v>
      </c>
      <c r="BA285" s="34">
        <f t="shared" si="127"/>
        <v>52.17</v>
      </c>
      <c r="BB285" s="34">
        <f t="shared" si="128"/>
        <v>52.17</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ht="28.5">
      <c r="A286" s="9"/>
      <c r="B286" s="33"/>
      <c r="C286" s="1274" t="str">
        <f>办公清单!C279</f>
        <v>27层2723号</v>
      </c>
      <c r="D286" s="2951" t="s">
        <v>3295</v>
      </c>
      <c r="E286" s="2983">
        <v>2.74</v>
      </c>
      <c r="F286" s="35"/>
      <c r="G286" s="36">
        <f t="shared" si="119"/>
        <v>52.17</v>
      </c>
      <c r="H286" s="37">
        <f t="shared" si="120"/>
        <v>52.17</v>
      </c>
      <c r="I286" s="2216">
        <f>办公清单!E279</f>
        <v>52.17</v>
      </c>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21"/>
      <c r="AV286" s="1797">
        <f t="shared" si="122"/>
        <v>0</v>
      </c>
      <c r="AW286" s="1797">
        <f t="shared" si="123"/>
        <v>0</v>
      </c>
      <c r="AX286" s="1797" t="str">
        <f t="shared" si="124"/>
        <v>27层2723号</v>
      </c>
      <c r="AY286" s="41">
        <f t="shared" si="125"/>
        <v>2.73</v>
      </c>
      <c r="AZ286" s="34">
        <f t="shared" si="126"/>
        <v>52.17</v>
      </c>
      <c r="BA286" s="34">
        <f t="shared" si="127"/>
        <v>52.17</v>
      </c>
      <c r="BB286" s="34">
        <f t="shared" si="128"/>
        <v>52.17</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ht="28.5">
      <c r="A287" s="9"/>
      <c r="B287" s="33"/>
      <c r="C287" s="1274" t="str">
        <f>办公清单!C280</f>
        <v>27层2724号</v>
      </c>
      <c r="D287" s="2951" t="s">
        <v>3295</v>
      </c>
      <c r="E287" s="2983">
        <v>2.74</v>
      </c>
      <c r="F287" s="35"/>
      <c r="G287" s="36">
        <f t="shared" si="119"/>
        <v>52.17</v>
      </c>
      <c r="H287" s="37">
        <f t="shared" si="120"/>
        <v>52.17</v>
      </c>
      <c r="I287" s="2216">
        <f>办公清单!E280</f>
        <v>52.17</v>
      </c>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21"/>
      <c r="AV287" s="1797">
        <f t="shared" si="122"/>
        <v>0</v>
      </c>
      <c r="AW287" s="1797">
        <f t="shared" si="123"/>
        <v>0</v>
      </c>
      <c r="AX287" s="1797" t="str">
        <f t="shared" si="124"/>
        <v>27层2724号</v>
      </c>
      <c r="AY287" s="41">
        <f t="shared" si="125"/>
        <v>2.73</v>
      </c>
      <c r="AZ287" s="34">
        <f t="shared" si="126"/>
        <v>52.17</v>
      </c>
      <c r="BA287" s="34">
        <f t="shared" si="127"/>
        <v>52.17</v>
      </c>
      <c r="BB287" s="34">
        <f t="shared" si="128"/>
        <v>52.17</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ht="28.5">
      <c r="A288" s="9"/>
      <c r="B288" s="33"/>
      <c r="C288" s="1274" t="str">
        <f>办公清单!C281</f>
        <v>27层2725号</v>
      </c>
      <c r="D288" s="2951" t="s">
        <v>3295</v>
      </c>
      <c r="E288" s="2983">
        <v>2.74</v>
      </c>
      <c r="F288" s="35"/>
      <c r="G288" s="36">
        <f t="shared" si="119"/>
        <v>52.17</v>
      </c>
      <c r="H288" s="37">
        <f t="shared" si="120"/>
        <v>52.17</v>
      </c>
      <c r="I288" s="2216">
        <f>办公清单!E281</f>
        <v>52.17</v>
      </c>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21"/>
      <c r="AV288" s="1797">
        <f t="shared" si="122"/>
        <v>0</v>
      </c>
      <c r="AW288" s="1797">
        <f t="shared" si="123"/>
        <v>0</v>
      </c>
      <c r="AX288" s="1797" t="str">
        <f t="shared" si="124"/>
        <v>27层2725号</v>
      </c>
      <c r="AY288" s="41">
        <f t="shared" si="125"/>
        <v>2.73</v>
      </c>
      <c r="AZ288" s="34">
        <f t="shared" si="126"/>
        <v>52.17</v>
      </c>
      <c r="BA288" s="34">
        <f t="shared" si="127"/>
        <v>52.17</v>
      </c>
      <c r="BB288" s="34">
        <f t="shared" si="128"/>
        <v>52.17</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ht="28.5">
      <c r="A289" s="9"/>
      <c r="B289" s="33"/>
      <c r="C289" s="1274" t="str">
        <f>办公清单!C282</f>
        <v>27层2726号</v>
      </c>
      <c r="D289" s="2951" t="s">
        <v>3295</v>
      </c>
      <c r="E289" s="2983">
        <v>4.24</v>
      </c>
      <c r="F289" s="35"/>
      <c r="G289" s="36">
        <f t="shared" si="119"/>
        <v>80.73</v>
      </c>
      <c r="H289" s="37">
        <f t="shared" si="120"/>
        <v>80.73</v>
      </c>
      <c r="I289" s="2216">
        <f>办公清单!E282</f>
        <v>80.73</v>
      </c>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21"/>
      <c r="AV289" s="1797">
        <f t="shared" si="122"/>
        <v>0</v>
      </c>
      <c r="AW289" s="1797">
        <f t="shared" si="123"/>
        <v>0</v>
      </c>
      <c r="AX289" s="1797" t="str">
        <f t="shared" si="124"/>
        <v>27层2726号</v>
      </c>
      <c r="AY289" s="41">
        <f t="shared" si="125"/>
        <v>4.2300000000000004</v>
      </c>
      <c r="AZ289" s="34">
        <f t="shared" si="126"/>
        <v>80.73</v>
      </c>
      <c r="BA289" s="34">
        <f t="shared" si="127"/>
        <v>80.73</v>
      </c>
      <c r="BB289" s="34">
        <f t="shared" si="128"/>
        <v>80.73</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ht="28.5">
      <c r="A290" s="9"/>
      <c r="B290" s="33"/>
      <c r="C290" s="1274" t="str">
        <f>办公清单!C283</f>
        <v>27层2727号</v>
      </c>
      <c r="D290" s="2951" t="s">
        <v>3295</v>
      </c>
      <c r="E290" s="2983">
        <v>4.8899999999999997</v>
      </c>
      <c r="F290" s="35"/>
      <c r="G290" s="36">
        <f t="shared" si="119"/>
        <v>93.08</v>
      </c>
      <c r="H290" s="37">
        <f t="shared" si="120"/>
        <v>93.08</v>
      </c>
      <c r="I290" s="2216">
        <f>办公清单!E283</f>
        <v>93.08</v>
      </c>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21"/>
      <c r="AV290" s="1797">
        <f t="shared" si="122"/>
        <v>0</v>
      </c>
      <c r="AW290" s="1797">
        <f t="shared" si="123"/>
        <v>0</v>
      </c>
      <c r="AX290" s="1797" t="str">
        <f t="shared" si="124"/>
        <v>27层2727号</v>
      </c>
      <c r="AY290" s="41">
        <f t="shared" si="125"/>
        <v>4.87</v>
      </c>
      <c r="AZ290" s="34">
        <f t="shared" si="126"/>
        <v>93.08</v>
      </c>
      <c r="BA290" s="34">
        <f t="shared" si="127"/>
        <v>93.08</v>
      </c>
      <c r="BB290" s="34">
        <f t="shared" si="128"/>
        <v>93.08</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ht="28.5">
      <c r="A291" s="9"/>
      <c r="B291" s="33"/>
      <c r="C291" s="1274" t="str">
        <f>办公清单!C284</f>
        <v>27层2728号</v>
      </c>
      <c r="D291" s="2951" t="s">
        <v>3295</v>
      </c>
      <c r="E291" s="2983">
        <v>4.8899999999999997</v>
      </c>
      <c r="F291" s="35"/>
      <c r="G291" s="36">
        <f t="shared" si="119"/>
        <v>93.08</v>
      </c>
      <c r="H291" s="37">
        <f t="shared" si="120"/>
        <v>93.08</v>
      </c>
      <c r="I291" s="2216">
        <f>办公清单!E284</f>
        <v>93.08</v>
      </c>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21"/>
      <c r="AV291" s="1797">
        <f t="shared" si="122"/>
        <v>0</v>
      </c>
      <c r="AW291" s="1797">
        <f t="shared" si="123"/>
        <v>0</v>
      </c>
      <c r="AX291" s="1797" t="str">
        <f t="shared" si="124"/>
        <v>27层2728号</v>
      </c>
      <c r="AY291" s="41">
        <f t="shared" si="125"/>
        <v>4.87</v>
      </c>
      <c r="AZ291" s="34">
        <f t="shared" si="126"/>
        <v>93.08</v>
      </c>
      <c r="BA291" s="34">
        <f t="shared" si="127"/>
        <v>93.08</v>
      </c>
      <c r="BB291" s="34">
        <f t="shared" si="128"/>
        <v>93.08</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ht="28.5">
      <c r="A292" s="9"/>
      <c r="B292" s="33"/>
      <c r="C292" s="1274" t="str">
        <f>办公清单!C285</f>
        <v>10层1010号</v>
      </c>
      <c r="D292" s="2951" t="s">
        <v>3295</v>
      </c>
      <c r="E292" s="2983">
        <v>5.2</v>
      </c>
      <c r="F292" s="35"/>
      <c r="G292" s="36">
        <f t="shared" si="119"/>
        <v>98.91</v>
      </c>
      <c r="H292" s="37">
        <f t="shared" si="120"/>
        <v>98.91</v>
      </c>
      <c r="I292" s="2216">
        <f>办公清单!E285</f>
        <v>98.91</v>
      </c>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21"/>
      <c r="AV292" s="1797">
        <f t="shared" si="122"/>
        <v>0</v>
      </c>
      <c r="AW292" s="1797">
        <f t="shared" si="123"/>
        <v>0</v>
      </c>
      <c r="AX292" s="1797" t="str">
        <f t="shared" si="124"/>
        <v>10层1010号</v>
      </c>
      <c r="AY292" s="41">
        <f t="shared" si="125"/>
        <v>5.18</v>
      </c>
      <c r="AZ292" s="34">
        <f t="shared" si="126"/>
        <v>98.91</v>
      </c>
      <c r="BA292" s="34">
        <f t="shared" si="127"/>
        <v>98.91</v>
      </c>
      <c r="BB292" s="34">
        <f t="shared" si="128"/>
        <v>98.91</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ht="28.5">
      <c r="A293" s="9"/>
      <c r="B293" s="33"/>
      <c r="C293" s="1274" t="str">
        <f>办公清单!C286</f>
        <v>22层2217号</v>
      </c>
      <c r="D293" s="2951" t="s">
        <v>3295</v>
      </c>
      <c r="E293" s="2983">
        <v>2.74</v>
      </c>
      <c r="F293" s="35"/>
      <c r="G293" s="36">
        <f t="shared" si="119"/>
        <v>52.17</v>
      </c>
      <c r="H293" s="37">
        <f t="shared" si="120"/>
        <v>52.17</v>
      </c>
      <c r="I293" s="2216">
        <f>办公清单!E286</f>
        <v>52.17</v>
      </c>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21"/>
      <c r="AV293" s="1797">
        <f t="shared" si="122"/>
        <v>0</v>
      </c>
      <c r="AW293" s="1797">
        <f t="shared" si="123"/>
        <v>0</v>
      </c>
      <c r="AX293" s="1797" t="str">
        <f t="shared" si="124"/>
        <v>22层2217号</v>
      </c>
      <c r="AY293" s="41">
        <f t="shared" si="125"/>
        <v>2.73</v>
      </c>
      <c r="AZ293" s="34">
        <f t="shared" si="126"/>
        <v>52.17</v>
      </c>
      <c r="BA293" s="34">
        <f t="shared" si="127"/>
        <v>52.17</v>
      </c>
      <c r="BB293" s="34">
        <f t="shared" si="128"/>
        <v>52.17</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4"/>
      <c r="D294" s="2220"/>
      <c r="E294" s="3015">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21"/>
      <c r="AV294" s="1797">
        <f t="shared" si="122"/>
        <v>0</v>
      </c>
      <c r="AW294" s="1797">
        <f t="shared" si="123"/>
        <v>0</v>
      </c>
      <c r="AX294" s="1797">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4"/>
      <c r="D295" s="2220"/>
      <c r="E295" s="3015">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21"/>
      <c r="AV295" s="1797">
        <f t="shared" si="122"/>
        <v>0</v>
      </c>
      <c r="AW295" s="1797">
        <f t="shared" si="123"/>
        <v>0</v>
      </c>
      <c r="AX295" s="1797">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4"/>
      <c r="D296" s="2220"/>
      <c r="E296" s="3015">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21"/>
      <c r="AV296" s="1797">
        <f t="shared" si="122"/>
        <v>0</v>
      </c>
      <c r="AW296" s="1797">
        <f t="shared" si="123"/>
        <v>0</v>
      </c>
      <c r="AX296" s="1797">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4"/>
      <c r="D297" s="2220"/>
      <c r="E297" s="3015">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21"/>
      <c r="AV297" s="1797">
        <f t="shared" si="122"/>
        <v>0</v>
      </c>
      <c r="AW297" s="1797">
        <f t="shared" si="123"/>
        <v>0</v>
      </c>
      <c r="AX297" s="1797">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4"/>
      <c r="D298" s="2220"/>
      <c r="E298" s="3015">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21"/>
      <c r="AV298" s="1797">
        <f t="shared" si="122"/>
        <v>0</v>
      </c>
      <c r="AW298" s="1797">
        <f t="shared" si="123"/>
        <v>0</v>
      </c>
      <c r="AX298" s="1797">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4"/>
      <c r="D299" s="2220"/>
      <c r="E299" s="3015">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21"/>
      <c r="AV299" s="1797">
        <f t="shared" si="122"/>
        <v>0</v>
      </c>
      <c r="AW299" s="1797">
        <f t="shared" si="123"/>
        <v>0</v>
      </c>
      <c r="AX299" s="1797">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4"/>
      <c r="D300" s="2220"/>
      <c r="E300" s="3015">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2"/>
        <v>0</v>
      </c>
      <c r="AW300" s="1797">
        <f t="shared" si="123"/>
        <v>0</v>
      </c>
      <c r="AX300" s="1797">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4"/>
      <c r="D301" s="2220"/>
      <c r="E301" s="3015">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7"/>
      <c r="AV301" s="1797">
        <f t="shared" si="122"/>
        <v>0</v>
      </c>
      <c r="AW301" s="1797">
        <f t="shared" si="123"/>
        <v>0</v>
      </c>
      <c r="AX301" s="1797">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4"/>
      <c r="D302" s="2220"/>
      <c r="E302" s="3015">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7"/>
      <c r="AV302" s="1797">
        <f t="shared" si="122"/>
        <v>0</v>
      </c>
      <c r="AW302" s="1797">
        <f t="shared" si="123"/>
        <v>0</v>
      </c>
      <c r="AX302" s="1797">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4"/>
      <c r="D303" s="2220"/>
      <c r="E303" s="3015">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21"/>
      <c r="AV303" s="1797">
        <f t="shared" ref="AV303:AV334" si="174">A303</f>
        <v>0</v>
      </c>
      <c r="AW303" s="1797">
        <f t="shared" ref="AW303:AW334" si="175">B303</f>
        <v>0</v>
      </c>
      <c r="AX303" s="1797">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4"/>
      <c r="D304" s="2220"/>
      <c r="E304" s="3015">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21"/>
      <c r="AV304" s="1797">
        <f t="shared" si="174"/>
        <v>0</v>
      </c>
      <c r="AW304" s="1797">
        <f t="shared" si="175"/>
        <v>0</v>
      </c>
      <c r="AX304" s="1797">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4"/>
      <c r="D305" s="2220"/>
      <c r="E305" s="3015">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21"/>
      <c r="AV305" s="1797">
        <f t="shared" si="174"/>
        <v>0</v>
      </c>
      <c r="AW305" s="1797">
        <f t="shared" si="175"/>
        <v>0</v>
      </c>
      <c r="AX305" s="1797">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4"/>
      <c r="D306" s="2220"/>
      <c r="E306" s="3015">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21"/>
      <c r="AV306" s="1797">
        <f t="shared" si="174"/>
        <v>0</v>
      </c>
      <c r="AW306" s="1797">
        <f t="shared" si="175"/>
        <v>0</v>
      </c>
      <c r="AX306" s="1797">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4"/>
      <c r="D307" s="2220"/>
      <c r="E307" s="3015">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21"/>
      <c r="AV307" s="1797">
        <f t="shared" si="174"/>
        <v>0</v>
      </c>
      <c r="AW307" s="1797">
        <f t="shared" si="175"/>
        <v>0</v>
      </c>
      <c r="AX307" s="1797">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4"/>
      <c r="D308" s="2220"/>
      <c r="E308" s="3015">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21"/>
      <c r="AV308" s="1797">
        <f t="shared" si="174"/>
        <v>0</v>
      </c>
      <c r="AW308" s="1797">
        <f t="shared" si="175"/>
        <v>0</v>
      </c>
      <c r="AX308" s="1797">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4"/>
      <c r="D309" s="2220"/>
      <c r="E309" s="3015">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21"/>
      <c r="AV309" s="1797">
        <f t="shared" si="174"/>
        <v>0</v>
      </c>
      <c r="AW309" s="1797">
        <f t="shared" si="175"/>
        <v>0</v>
      </c>
      <c r="AX309" s="1797">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4"/>
      <c r="D310" s="2220"/>
      <c r="E310" s="3015">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21"/>
      <c r="AV310" s="1797">
        <f t="shared" si="174"/>
        <v>0</v>
      </c>
      <c r="AW310" s="1797">
        <f t="shared" si="175"/>
        <v>0</v>
      </c>
      <c r="AX310" s="1797">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4"/>
      <c r="D311" s="2220"/>
      <c r="E311" s="3015">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21"/>
      <c r="AV311" s="1797">
        <f t="shared" si="174"/>
        <v>0</v>
      </c>
      <c r="AW311" s="1797">
        <f t="shared" si="175"/>
        <v>0</v>
      </c>
      <c r="AX311" s="1797">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4"/>
      <c r="D312" s="2220"/>
      <c r="E312" s="3015">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21"/>
      <c r="AV312" s="1797">
        <f t="shared" si="174"/>
        <v>0</v>
      </c>
      <c r="AW312" s="1797">
        <f t="shared" si="175"/>
        <v>0</v>
      </c>
      <c r="AX312" s="1797">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4"/>
      <c r="D313" s="2220"/>
      <c r="E313" s="3015">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21"/>
      <c r="AV313" s="1797">
        <f t="shared" si="174"/>
        <v>0</v>
      </c>
      <c r="AW313" s="1797">
        <f t="shared" si="175"/>
        <v>0</v>
      </c>
      <c r="AX313" s="1797">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4"/>
      <c r="D314" s="2220"/>
      <c r="E314" s="3015">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21"/>
      <c r="AV314" s="1797">
        <f t="shared" si="174"/>
        <v>0</v>
      </c>
      <c r="AW314" s="1797">
        <f t="shared" si="175"/>
        <v>0</v>
      </c>
      <c r="AX314" s="1797">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4"/>
      <c r="D315" s="2220"/>
      <c r="E315" s="3015">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21"/>
      <c r="AV315" s="1797">
        <f t="shared" si="174"/>
        <v>0</v>
      </c>
      <c r="AW315" s="1797">
        <f t="shared" si="175"/>
        <v>0</v>
      </c>
      <c r="AX315" s="1797">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4"/>
      <c r="D316" s="2220"/>
      <c r="E316" s="3015">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21"/>
      <c r="AV316" s="1797">
        <f t="shared" si="174"/>
        <v>0</v>
      </c>
      <c r="AW316" s="1797">
        <f t="shared" si="175"/>
        <v>0</v>
      </c>
      <c r="AX316" s="1797">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4"/>
      <c r="D317" s="2220"/>
      <c r="E317" s="3015">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21"/>
      <c r="AV317" s="1797">
        <f t="shared" si="174"/>
        <v>0</v>
      </c>
      <c r="AW317" s="1797">
        <f t="shared" si="175"/>
        <v>0</v>
      </c>
      <c r="AX317" s="1797">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4"/>
      <c r="D318" s="2220"/>
      <c r="E318" s="3015">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21"/>
      <c r="AV318" s="1797">
        <f t="shared" si="174"/>
        <v>0</v>
      </c>
      <c r="AW318" s="1797">
        <f t="shared" si="175"/>
        <v>0</v>
      </c>
      <c r="AX318" s="1797">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4"/>
      <c r="D319" s="2220"/>
      <c r="E319" s="3015">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21"/>
      <c r="AV319" s="1797">
        <f t="shared" si="174"/>
        <v>0</v>
      </c>
      <c r="AW319" s="1797">
        <f t="shared" si="175"/>
        <v>0</v>
      </c>
      <c r="AX319" s="1797">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4"/>
      <c r="D320" s="2220"/>
      <c r="E320" s="3015">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21"/>
      <c r="AV320" s="1797">
        <f t="shared" si="174"/>
        <v>0</v>
      </c>
      <c r="AW320" s="1797">
        <f t="shared" si="175"/>
        <v>0</v>
      </c>
      <c r="AX320" s="1797">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4"/>
      <c r="D321" s="2220"/>
      <c r="E321" s="3015">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21"/>
      <c r="AV321" s="1797">
        <f t="shared" si="174"/>
        <v>0</v>
      </c>
      <c r="AW321" s="1797">
        <f t="shared" si="175"/>
        <v>0</v>
      </c>
      <c r="AX321" s="1797">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4"/>
      <c r="D322" s="2220"/>
      <c r="E322" s="3015">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21"/>
      <c r="AV322" s="1797">
        <f t="shared" si="174"/>
        <v>0</v>
      </c>
      <c r="AW322" s="1797">
        <f t="shared" si="175"/>
        <v>0</v>
      </c>
      <c r="AX322" s="1797">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4"/>
      <c r="D323" s="2220"/>
      <c r="E323" s="3015">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21"/>
      <c r="AV323" s="1797">
        <f t="shared" si="174"/>
        <v>0</v>
      </c>
      <c r="AW323" s="1797">
        <f t="shared" si="175"/>
        <v>0</v>
      </c>
      <c r="AX323" s="1797">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4"/>
      <c r="D324" s="2220"/>
      <c r="E324" s="3015">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21"/>
      <c r="AV324" s="1797">
        <f t="shared" si="174"/>
        <v>0</v>
      </c>
      <c r="AW324" s="1797">
        <f t="shared" si="175"/>
        <v>0</v>
      </c>
      <c r="AX324" s="1797">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4"/>
      <c r="D325" s="2220"/>
      <c r="E325" s="3015">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21"/>
      <c r="AV325" s="1797">
        <f t="shared" si="174"/>
        <v>0</v>
      </c>
      <c r="AW325" s="1797">
        <f t="shared" si="175"/>
        <v>0</v>
      </c>
      <c r="AX325" s="1797">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4"/>
      <c r="D326" s="2220"/>
      <c r="E326" s="3015">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21"/>
      <c r="AV326" s="1797">
        <f t="shared" si="174"/>
        <v>0</v>
      </c>
      <c r="AW326" s="1797">
        <f t="shared" si="175"/>
        <v>0</v>
      </c>
      <c r="AX326" s="1797">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4"/>
      <c r="D327" s="2220"/>
      <c r="E327" s="3015">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21"/>
      <c r="AV327" s="1797">
        <f t="shared" si="174"/>
        <v>0</v>
      </c>
      <c r="AW327" s="1797">
        <f t="shared" si="175"/>
        <v>0</v>
      </c>
      <c r="AX327" s="1797">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4"/>
      <c r="D328" s="2220"/>
      <c r="E328" s="3015">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21"/>
      <c r="AV328" s="1797">
        <f t="shared" si="174"/>
        <v>0</v>
      </c>
      <c r="AW328" s="1797">
        <f t="shared" si="175"/>
        <v>0</v>
      </c>
      <c r="AX328" s="1797">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4"/>
      <c r="D329" s="2220"/>
      <c r="E329" s="3015">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21"/>
      <c r="AV329" s="1797">
        <f t="shared" si="174"/>
        <v>0</v>
      </c>
      <c r="AW329" s="1797">
        <f t="shared" si="175"/>
        <v>0</v>
      </c>
      <c r="AX329" s="1797">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4"/>
      <c r="D330" s="2220"/>
      <c r="E330" s="3015">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21"/>
      <c r="AV330" s="1797">
        <f t="shared" si="174"/>
        <v>0</v>
      </c>
      <c r="AW330" s="1797">
        <f t="shared" si="175"/>
        <v>0</v>
      </c>
      <c r="AX330" s="1797">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4"/>
      <c r="D331" s="2220"/>
      <c r="E331" s="3015">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21"/>
      <c r="AV331" s="1797">
        <f t="shared" si="174"/>
        <v>0</v>
      </c>
      <c r="AW331" s="1797">
        <f t="shared" si="175"/>
        <v>0</v>
      </c>
      <c r="AX331" s="1797">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4"/>
      <c r="D332" s="2220"/>
      <c r="E332" s="3015">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21"/>
      <c r="AV332" s="1797">
        <f t="shared" si="174"/>
        <v>0</v>
      </c>
      <c r="AW332" s="1797">
        <f t="shared" si="175"/>
        <v>0</v>
      </c>
      <c r="AX332" s="1797">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4"/>
      <c r="D333" s="2220"/>
      <c r="E333" s="3015">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21"/>
      <c r="AV333" s="1797">
        <f t="shared" si="174"/>
        <v>0</v>
      </c>
      <c r="AW333" s="1797">
        <f t="shared" si="175"/>
        <v>0</v>
      </c>
      <c r="AX333" s="1797">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4"/>
      <c r="D334" s="2220"/>
      <c r="E334" s="3015">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21"/>
      <c r="AV334" s="1797">
        <f t="shared" si="174"/>
        <v>0</v>
      </c>
      <c r="AW334" s="1797">
        <f t="shared" si="175"/>
        <v>0</v>
      </c>
      <c r="AX334" s="1797">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4"/>
      <c r="D335" s="2220"/>
      <c r="E335" s="3015">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21"/>
      <c r="AV335" s="1797">
        <f t="shared" ref="AV335:AV366" si="203">A335</f>
        <v>0</v>
      </c>
      <c r="AW335" s="1797">
        <f t="shared" ref="AW335:AW366" si="204">B335</f>
        <v>0</v>
      </c>
      <c r="AX335" s="1797">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4"/>
      <c r="D336" s="2220"/>
      <c r="E336" s="3015">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21"/>
      <c r="AV336" s="1797">
        <f t="shared" si="203"/>
        <v>0</v>
      </c>
      <c r="AW336" s="1797">
        <f t="shared" si="204"/>
        <v>0</v>
      </c>
      <c r="AX336" s="1797">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4"/>
      <c r="D337" s="2220"/>
      <c r="E337" s="3015">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21"/>
      <c r="AV337" s="1797">
        <f t="shared" si="203"/>
        <v>0</v>
      </c>
      <c r="AW337" s="1797">
        <f t="shared" si="204"/>
        <v>0</v>
      </c>
      <c r="AX337" s="1797">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4"/>
      <c r="D338" s="2220"/>
      <c r="E338" s="3015">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21"/>
      <c r="AV338" s="1797">
        <f t="shared" si="203"/>
        <v>0</v>
      </c>
      <c r="AW338" s="1797">
        <f t="shared" si="204"/>
        <v>0</v>
      </c>
      <c r="AX338" s="1797">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4"/>
      <c r="D339" s="2220"/>
      <c r="E339" s="3015">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21"/>
      <c r="AV339" s="1797">
        <f t="shared" si="203"/>
        <v>0</v>
      </c>
      <c r="AW339" s="1797">
        <f t="shared" si="204"/>
        <v>0</v>
      </c>
      <c r="AX339" s="1797">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4"/>
      <c r="D340" s="2220"/>
      <c r="E340" s="3015">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21"/>
      <c r="AV340" s="1797">
        <f t="shared" si="203"/>
        <v>0</v>
      </c>
      <c r="AW340" s="1797">
        <f t="shared" si="204"/>
        <v>0</v>
      </c>
      <c r="AX340" s="1797">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4"/>
      <c r="D341" s="2220"/>
      <c r="E341" s="3015">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21"/>
      <c r="AV341" s="1797">
        <f t="shared" si="203"/>
        <v>0</v>
      </c>
      <c r="AW341" s="1797">
        <f t="shared" si="204"/>
        <v>0</v>
      </c>
      <c r="AX341" s="1797">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4"/>
      <c r="D342" s="2220"/>
      <c r="E342" s="3015">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21"/>
      <c r="AV342" s="1797">
        <f t="shared" si="203"/>
        <v>0</v>
      </c>
      <c r="AW342" s="1797">
        <f t="shared" si="204"/>
        <v>0</v>
      </c>
      <c r="AX342" s="1797">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4"/>
      <c r="D343" s="2220"/>
      <c r="E343" s="3015">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21"/>
      <c r="AV343" s="1797">
        <f t="shared" si="203"/>
        <v>0</v>
      </c>
      <c r="AW343" s="1797">
        <f t="shared" si="204"/>
        <v>0</v>
      </c>
      <c r="AX343" s="1797">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4"/>
      <c r="D344" s="2220"/>
      <c r="E344" s="3015">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21"/>
      <c r="AV344" s="1797">
        <f t="shared" si="203"/>
        <v>0</v>
      </c>
      <c r="AW344" s="1797">
        <f t="shared" si="204"/>
        <v>0</v>
      </c>
      <c r="AX344" s="1797">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4"/>
      <c r="D345" s="2220"/>
      <c r="E345" s="3015">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21"/>
      <c r="AV345" s="1797">
        <f t="shared" si="203"/>
        <v>0</v>
      </c>
      <c r="AW345" s="1797">
        <f t="shared" si="204"/>
        <v>0</v>
      </c>
      <c r="AX345" s="1797">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4"/>
      <c r="D346" s="2220"/>
      <c r="E346" s="3015">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21"/>
      <c r="AV346" s="1797">
        <f t="shared" si="203"/>
        <v>0</v>
      </c>
      <c r="AW346" s="1797">
        <f t="shared" si="204"/>
        <v>0</v>
      </c>
      <c r="AX346" s="1797">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4"/>
      <c r="D347" s="2220"/>
      <c r="E347" s="3015">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21"/>
      <c r="AV347" s="1797">
        <f t="shared" si="203"/>
        <v>0</v>
      </c>
      <c r="AW347" s="1797">
        <f t="shared" si="204"/>
        <v>0</v>
      </c>
      <c r="AX347" s="1797">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4"/>
      <c r="D348" s="2220"/>
      <c r="E348" s="3015">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21"/>
      <c r="AV348" s="1797">
        <f t="shared" si="203"/>
        <v>0</v>
      </c>
      <c r="AW348" s="1797">
        <f t="shared" si="204"/>
        <v>0</v>
      </c>
      <c r="AX348" s="1797">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4"/>
      <c r="D349" s="2220"/>
      <c r="E349" s="3015">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21"/>
      <c r="AV349" s="1797">
        <f t="shared" si="203"/>
        <v>0</v>
      </c>
      <c r="AW349" s="1797">
        <f t="shared" si="204"/>
        <v>0</v>
      </c>
      <c r="AX349" s="1797">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4"/>
      <c r="D350" s="2220"/>
      <c r="E350" s="3015">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21"/>
      <c r="AV350" s="1797">
        <f t="shared" si="203"/>
        <v>0</v>
      </c>
      <c r="AW350" s="1797">
        <f t="shared" si="204"/>
        <v>0</v>
      </c>
      <c r="AX350" s="1797">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4"/>
      <c r="D351" s="2220"/>
      <c r="E351" s="3015">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21"/>
      <c r="AV351" s="1797">
        <f t="shared" si="203"/>
        <v>0</v>
      </c>
      <c r="AW351" s="1797">
        <f t="shared" si="204"/>
        <v>0</v>
      </c>
      <c r="AX351" s="1797">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4"/>
      <c r="D352" s="2220"/>
      <c r="E352" s="3015">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21"/>
      <c r="AV352" s="1797">
        <f t="shared" si="203"/>
        <v>0</v>
      </c>
      <c r="AW352" s="1797">
        <f t="shared" si="204"/>
        <v>0</v>
      </c>
      <c r="AX352" s="1797">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4"/>
      <c r="D353" s="2220"/>
      <c r="E353" s="3015">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21"/>
      <c r="AV353" s="1797">
        <f t="shared" si="203"/>
        <v>0</v>
      </c>
      <c r="AW353" s="1797">
        <f t="shared" si="204"/>
        <v>0</v>
      </c>
      <c r="AX353" s="1797">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4"/>
      <c r="D354" s="2220"/>
      <c r="E354" s="3015">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21"/>
      <c r="AV354" s="1797">
        <f t="shared" si="203"/>
        <v>0</v>
      </c>
      <c r="AW354" s="1797">
        <f t="shared" si="204"/>
        <v>0</v>
      </c>
      <c r="AX354" s="1797">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4"/>
      <c r="D355" s="2220"/>
      <c r="E355" s="3015">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21"/>
      <c r="AV355" s="1797">
        <f t="shared" si="203"/>
        <v>0</v>
      </c>
      <c r="AW355" s="1797">
        <f t="shared" si="204"/>
        <v>0</v>
      </c>
      <c r="AX355" s="1797">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4"/>
      <c r="D356" s="2220"/>
      <c r="E356" s="3015">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21"/>
      <c r="AV356" s="1797">
        <f t="shared" si="203"/>
        <v>0</v>
      </c>
      <c r="AW356" s="1797">
        <f t="shared" si="204"/>
        <v>0</v>
      </c>
      <c r="AX356" s="1797">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4"/>
      <c r="D357" s="2220"/>
      <c r="E357" s="3015">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21"/>
      <c r="AV357" s="1797">
        <f t="shared" si="203"/>
        <v>0</v>
      </c>
      <c r="AW357" s="1797">
        <f t="shared" si="204"/>
        <v>0</v>
      </c>
      <c r="AX357" s="1797">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4"/>
      <c r="D358" s="2220"/>
      <c r="E358" s="3015">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21"/>
      <c r="AV358" s="1797">
        <f t="shared" si="203"/>
        <v>0</v>
      </c>
      <c r="AW358" s="1797">
        <f t="shared" si="204"/>
        <v>0</v>
      </c>
      <c r="AX358" s="1797">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4"/>
      <c r="D359" s="2220"/>
      <c r="E359" s="3015">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21"/>
      <c r="AV359" s="1797">
        <f t="shared" si="203"/>
        <v>0</v>
      </c>
      <c r="AW359" s="1797">
        <f t="shared" si="204"/>
        <v>0</v>
      </c>
      <c r="AX359" s="1797">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4"/>
      <c r="D360" s="2220"/>
      <c r="E360" s="3015">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21"/>
      <c r="AV360" s="1797">
        <f t="shared" si="203"/>
        <v>0</v>
      </c>
      <c r="AW360" s="1797">
        <f t="shared" si="204"/>
        <v>0</v>
      </c>
      <c r="AX360" s="1797">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4"/>
      <c r="D361" s="2220"/>
      <c r="E361" s="3015">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21"/>
      <c r="AV361" s="1797">
        <f t="shared" si="203"/>
        <v>0</v>
      </c>
      <c r="AW361" s="1797">
        <f t="shared" si="204"/>
        <v>0</v>
      </c>
      <c r="AX361" s="1797">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4"/>
      <c r="D362" s="2220"/>
      <c r="E362" s="3015">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21"/>
      <c r="AV362" s="1797">
        <f t="shared" si="203"/>
        <v>0</v>
      </c>
      <c r="AW362" s="1797">
        <f t="shared" si="204"/>
        <v>0</v>
      </c>
      <c r="AX362" s="1797">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4"/>
      <c r="D363" s="2220"/>
      <c r="E363" s="3015">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21"/>
      <c r="AV363" s="1797">
        <f t="shared" si="203"/>
        <v>0</v>
      </c>
      <c r="AW363" s="1797">
        <f t="shared" si="204"/>
        <v>0</v>
      </c>
      <c r="AX363" s="1797">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4"/>
      <c r="D364" s="2220"/>
      <c r="E364" s="3015">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21"/>
      <c r="AV364" s="1797">
        <f t="shared" si="203"/>
        <v>0</v>
      </c>
      <c r="AW364" s="1797">
        <f t="shared" si="204"/>
        <v>0</v>
      </c>
      <c r="AX364" s="1797">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4"/>
      <c r="D365" s="2220"/>
      <c r="E365" s="3015">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21"/>
      <c r="AV365" s="1797">
        <f t="shared" si="203"/>
        <v>0</v>
      </c>
      <c r="AW365" s="1797">
        <f t="shared" si="204"/>
        <v>0</v>
      </c>
      <c r="AX365" s="1797">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4"/>
      <c r="D366" s="2220"/>
      <c r="E366" s="3015">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21"/>
      <c r="AV366" s="1797">
        <f t="shared" si="203"/>
        <v>0</v>
      </c>
      <c r="AW366" s="1797">
        <f t="shared" si="204"/>
        <v>0</v>
      </c>
      <c r="AX366" s="1797">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20"/>
      <c r="E367" s="3015">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21"/>
      <c r="AV367" s="1797">
        <f t="shared" ref="AV367:AV397" si="232">A367</f>
        <v>0</v>
      </c>
      <c r="AW367" s="1797">
        <f t="shared" ref="AW367:AW397" si="233">B367</f>
        <v>0</v>
      </c>
      <c r="AX367" s="1797">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20"/>
      <c r="E368" s="3015">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21"/>
      <c r="AV368" s="1797">
        <f t="shared" si="232"/>
        <v>0</v>
      </c>
      <c r="AW368" s="1797">
        <f t="shared" si="233"/>
        <v>0</v>
      </c>
      <c r="AX368" s="1797">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20"/>
      <c r="E369" s="3015">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21"/>
      <c r="AV369" s="1797">
        <f t="shared" si="232"/>
        <v>0</v>
      </c>
      <c r="AW369" s="1797">
        <f t="shared" si="233"/>
        <v>0</v>
      </c>
      <c r="AX369" s="1797">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20"/>
      <c r="E370" s="3015">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21"/>
      <c r="AV370" s="1797">
        <f t="shared" si="232"/>
        <v>0</v>
      </c>
      <c r="AW370" s="1797">
        <f t="shared" si="233"/>
        <v>0</v>
      </c>
      <c r="AX370" s="1797">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20"/>
      <c r="E371" s="3015">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21"/>
      <c r="AV371" s="1797">
        <f t="shared" si="232"/>
        <v>0</v>
      </c>
      <c r="AW371" s="1797">
        <f t="shared" si="233"/>
        <v>0</v>
      </c>
      <c r="AX371" s="1797">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20"/>
      <c r="E372" s="3015">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21"/>
      <c r="AV372" s="1797">
        <f t="shared" si="232"/>
        <v>0</v>
      </c>
      <c r="AW372" s="1797">
        <f t="shared" si="233"/>
        <v>0</v>
      </c>
      <c r="AX372" s="1797">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20"/>
      <c r="E373" s="3015">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21"/>
      <c r="AV373" s="1797">
        <f t="shared" si="232"/>
        <v>0</v>
      </c>
      <c r="AW373" s="1797">
        <f t="shared" si="233"/>
        <v>0</v>
      </c>
      <c r="AX373" s="1797">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20"/>
      <c r="E374" s="3015">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21"/>
      <c r="AV374" s="1797">
        <f t="shared" si="232"/>
        <v>0</v>
      </c>
      <c r="AW374" s="1797">
        <f t="shared" si="233"/>
        <v>0</v>
      </c>
      <c r="AX374" s="1797">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20"/>
      <c r="E375" s="3015">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21"/>
      <c r="AV375" s="1797">
        <f t="shared" si="232"/>
        <v>0</v>
      </c>
      <c r="AW375" s="1797">
        <f t="shared" si="233"/>
        <v>0</v>
      </c>
      <c r="AX375" s="1797">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20"/>
      <c r="E376" s="3015">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21"/>
      <c r="AV376" s="1797">
        <f t="shared" si="232"/>
        <v>0</v>
      </c>
      <c r="AW376" s="1797">
        <f t="shared" si="233"/>
        <v>0</v>
      </c>
      <c r="AX376" s="1797">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20"/>
      <c r="E377" s="3015">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21"/>
      <c r="AV377" s="1797">
        <f t="shared" si="232"/>
        <v>0</v>
      </c>
      <c r="AW377" s="1797">
        <f t="shared" si="233"/>
        <v>0</v>
      </c>
      <c r="AX377" s="1797">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20"/>
      <c r="E378" s="3015">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21"/>
      <c r="AV378" s="1797">
        <f t="shared" si="232"/>
        <v>0</v>
      </c>
      <c r="AW378" s="1797">
        <f t="shared" si="233"/>
        <v>0</v>
      </c>
      <c r="AX378" s="1797">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20"/>
      <c r="E379" s="3015">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21"/>
      <c r="AV379" s="1797">
        <f t="shared" si="232"/>
        <v>0</v>
      </c>
      <c r="AW379" s="1797">
        <f t="shared" si="233"/>
        <v>0</v>
      </c>
      <c r="AX379" s="1797">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20"/>
      <c r="E380" s="3015">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21"/>
      <c r="AV380" s="1797">
        <f t="shared" si="232"/>
        <v>0</v>
      </c>
      <c r="AW380" s="1797">
        <f t="shared" si="233"/>
        <v>0</v>
      </c>
      <c r="AX380" s="1797">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20"/>
      <c r="E381" s="3015">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21"/>
      <c r="AV381" s="1797">
        <f t="shared" si="232"/>
        <v>0</v>
      </c>
      <c r="AW381" s="1797">
        <f t="shared" si="233"/>
        <v>0</v>
      </c>
      <c r="AX381" s="1797">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20"/>
      <c r="E382" s="3015">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21"/>
      <c r="AV382" s="1797">
        <f t="shared" si="232"/>
        <v>0</v>
      </c>
      <c r="AW382" s="1797">
        <f t="shared" si="233"/>
        <v>0</v>
      </c>
      <c r="AX382" s="1797">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20"/>
      <c r="E383" s="3015">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21"/>
      <c r="AV383" s="1797">
        <f t="shared" si="232"/>
        <v>0</v>
      </c>
      <c r="AW383" s="1797">
        <f t="shared" si="233"/>
        <v>0</v>
      </c>
      <c r="AX383" s="1797">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20"/>
      <c r="E384" s="3015">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21"/>
      <c r="AV384" s="1797">
        <f t="shared" si="232"/>
        <v>0</v>
      </c>
      <c r="AW384" s="1797">
        <f t="shared" si="233"/>
        <v>0</v>
      </c>
      <c r="AX384" s="1797">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20"/>
      <c r="E385" s="3015">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21"/>
      <c r="AV385" s="1797">
        <f t="shared" si="232"/>
        <v>0</v>
      </c>
      <c r="AW385" s="1797">
        <f t="shared" si="233"/>
        <v>0</v>
      </c>
      <c r="AX385" s="1797">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20"/>
      <c r="E386" s="3015">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21"/>
      <c r="AV386" s="1797">
        <f t="shared" si="232"/>
        <v>0</v>
      </c>
      <c r="AW386" s="1797">
        <f t="shared" si="233"/>
        <v>0</v>
      </c>
      <c r="AX386" s="1797">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20"/>
      <c r="E387" s="3015">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21"/>
      <c r="AV387" s="1797">
        <f t="shared" si="232"/>
        <v>0</v>
      </c>
      <c r="AW387" s="1797">
        <f t="shared" si="233"/>
        <v>0</v>
      </c>
      <c r="AX387" s="1797">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20"/>
      <c r="E388" s="3015">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21"/>
      <c r="AV388" s="1797">
        <f t="shared" si="232"/>
        <v>0</v>
      </c>
      <c r="AW388" s="1797">
        <f t="shared" si="233"/>
        <v>0</v>
      </c>
      <c r="AX388" s="1797">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20"/>
      <c r="E389" s="3015">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21"/>
      <c r="AV389" s="1797">
        <f t="shared" si="232"/>
        <v>0</v>
      </c>
      <c r="AW389" s="1797">
        <f t="shared" si="233"/>
        <v>0</v>
      </c>
      <c r="AX389" s="1797">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20"/>
      <c r="E390" s="3015">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21"/>
      <c r="AV390" s="1797">
        <f t="shared" si="232"/>
        <v>0</v>
      </c>
      <c r="AW390" s="1797">
        <f t="shared" si="233"/>
        <v>0</v>
      </c>
      <c r="AX390" s="1797">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20"/>
      <c r="E391" s="3015">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21"/>
      <c r="AV391" s="1797">
        <f t="shared" si="232"/>
        <v>0</v>
      </c>
      <c r="AW391" s="1797">
        <f t="shared" si="233"/>
        <v>0</v>
      </c>
      <c r="AX391" s="1797">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20"/>
      <c r="E392" s="3015">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21"/>
      <c r="AV392" s="1797">
        <f t="shared" si="232"/>
        <v>0</v>
      </c>
      <c r="AW392" s="1797">
        <f t="shared" si="233"/>
        <v>0</v>
      </c>
      <c r="AX392" s="1797">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20"/>
      <c r="E393" s="3015">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21"/>
      <c r="AV393" s="1797">
        <f t="shared" si="232"/>
        <v>0</v>
      </c>
      <c r="AW393" s="1797">
        <f t="shared" si="233"/>
        <v>0</v>
      </c>
      <c r="AX393" s="1797">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20"/>
      <c r="E394" s="3015">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21"/>
      <c r="AV394" s="1797">
        <f t="shared" si="232"/>
        <v>0</v>
      </c>
      <c r="AW394" s="1797">
        <f t="shared" si="233"/>
        <v>0</v>
      </c>
      <c r="AX394" s="1797">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20"/>
      <c r="E395" s="3015">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7"/>
      <c r="AV395" s="1797">
        <f t="shared" si="232"/>
        <v>0</v>
      </c>
      <c r="AW395" s="1797">
        <f t="shared" si="233"/>
        <v>0</v>
      </c>
      <c r="AX395" s="1797">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20"/>
      <c r="E396" s="3015">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2"/>
        <v>0</v>
      </c>
      <c r="AW396" s="1797">
        <f t="shared" si="233"/>
        <v>0</v>
      </c>
      <c r="AX396" s="1797">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20"/>
      <c r="E397" s="3015">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2"/>
        <v>0</v>
      </c>
      <c r="AW397" s="1797">
        <f t="shared" si="233"/>
        <v>0</v>
      </c>
      <c r="AX397" s="1797">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20"/>
      <c r="E398" s="3015">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21"/>
      <c r="AV398" s="1797">
        <f t="shared" ref="AV398:AV492" si="239">A398</f>
        <v>0</v>
      </c>
      <c r="AW398" s="1797">
        <f t="shared" ref="AW398:AW492" si="240">B398</f>
        <v>0</v>
      </c>
      <c r="AX398" s="1797">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20"/>
      <c r="E399" s="3015">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21"/>
      <c r="AV399" s="1797">
        <f t="shared" si="239"/>
        <v>0</v>
      </c>
      <c r="AW399" s="1797">
        <f t="shared" si="240"/>
        <v>0</v>
      </c>
      <c r="AX399" s="1797">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20"/>
      <c r="E400" s="3015">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21"/>
      <c r="AV400" s="1797">
        <f t="shared" si="239"/>
        <v>0</v>
      </c>
      <c r="AW400" s="1797">
        <f t="shared" si="240"/>
        <v>0</v>
      </c>
      <c r="AX400" s="1797">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20"/>
      <c r="E401" s="3015">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21"/>
      <c r="AV401" s="1797">
        <f t="shared" si="239"/>
        <v>0</v>
      </c>
      <c r="AW401" s="1797">
        <f t="shared" si="240"/>
        <v>0</v>
      </c>
      <c r="AX401" s="1797">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20"/>
      <c r="E402" s="3015">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21"/>
      <c r="AV402" s="1797">
        <f t="shared" si="239"/>
        <v>0</v>
      </c>
      <c r="AW402" s="1797">
        <f t="shared" si="240"/>
        <v>0</v>
      </c>
      <c r="AX402" s="1797">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20"/>
      <c r="E403" s="3015">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21"/>
      <c r="AV403" s="1797">
        <f t="shared" si="239"/>
        <v>0</v>
      </c>
      <c r="AW403" s="1797">
        <f t="shared" si="240"/>
        <v>0</v>
      </c>
      <c r="AX403" s="1797">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20"/>
      <c r="E404" s="3015">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21"/>
      <c r="AV404" s="1797">
        <f t="shared" si="239"/>
        <v>0</v>
      </c>
      <c r="AW404" s="1797">
        <f t="shared" si="240"/>
        <v>0</v>
      </c>
      <c r="AX404" s="1797">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20"/>
      <c r="E405" s="3015">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21"/>
      <c r="AV405" s="1797">
        <f t="shared" si="239"/>
        <v>0</v>
      </c>
      <c r="AW405" s="1797">
        <f t="shared" si="240"/>
        <v>0</v>
      </c>
      <c r="AX405" s="1797">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20"/>
      <c r="E406" s="3015">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21"/>
      <c r="AV406" s="1797">
        <f t="shared" si="239"/>
        <v>0</v>
      </c>
      <c r="AW406" s="1797">
        <f t="shared" si="240"/>
        <v>0</v>
      </c>
      <c r="AX406" s="1797">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20"/>
      <c r="E407" s="3015">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21"/>
      <c r="AV407" s="1797">
        <f t="shared" si="239"/>
        <v>0</v>
      </c>
      <c r="AW407" s="1797">
        <f t="shared" si="240"/>
        <v>0</v>
      </c>
      <c r="AX407" s="1797">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20"/>
      <c r="E408" s="3015">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21"/>
      <c r="AV408" s="1797">
        <f t="shared" si="239"/>
        <v>0</v>
      </c>
      <c r="AW408" s="1797">
        <f t="shared" si="240"/>
        <v>0</v>
      </c>
      <c r="AX408" s="1797">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20"/>
      <c r="E409" s="3015">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21"/>
      <c r="AV409" s="1797">
        <f t="shared" si="239"/>
        <v>0</v>
      </c>
      <c r="AW409" s="1797">
        <f t="shared" si="240"/>
        <v>0</v>
      </c>
      <c r="AX409" s="1797">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20"/>
      <c r="E410" s="3015">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21"/>
      <c r="AV410" s="1797">
        <f t="shared" si="239"/>
        <v>0</v>
      </c>
      <c r="AW410" s="1797">
        <f t="shared" si="240"/>
        <v>0</v>
      </c>
      <c r="AX410" s="1797">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20"/>
      <c r="E411" s="3015">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21"/>
      <c r="AV411" s="1797">
        <f t="shared" si="239"/>
        <v>0</v>
      </c>
      <c r="AW411" s="1797">
        <f t="shared" si="240"/>
        <v>0</v>
      </c>
      <c r="AX411" s="1797">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20"/>
      <c r="E412" s="3015">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21"/>
      <c r="AV412" s="1797">
        <f t="shared" si="239"/>
        <v>0</v>
      </c>
      <c r="AW412" s="1797">
        <f t="shared" si="240"/>
        <v>0</v>
      </c>
      <c r="AX412" s="1797">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20"/>
      <c r="E413" s="3015">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21"/>
      <c r="AV413" s="1797">
        <f t="shared" si="239"/>
        <v>0</v>
      </c>
      <c r="AW413" s="1797">
        <f t="shared" si="240"/>
        <v>0</v>
      </c>
      <c r="AX413" s="1797">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20"/>
      <c r="E414" s="3015">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21"/>
      <c r="AV414" s="1797">
        <f t="shared" si="239"/>
        <v>0</v>
      </c>
      <c r="AW414" s="1797">
        <f t="shared" si="240"/>
        <v>0</v>
      </c>
      <c r="AX414" s="1797">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20"/>
      <c r="E415" s="3015">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21"/>
      <c r="AV415" s="1797">
        <f t="shared" si="239"/>
        <v>0</v>
      </c>
      <c r="AW415" s="1797">
        <f t="shared" si="240"/>
        <v>0</v>
      </c>
      <c r="AX415" s="1797">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20"/>
      <c r="E416" s="3015">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21"/>
      <c r="AV416" s="1797">
        <f t="shared" si="239"/>
        <v>0</v>
      </c>
      <c r="AW416" s="1797">
        <f t="shared" si="240"/>
        <v>0</v>
      </c>
      <c r="AX416" s="1797">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20"/>
      <c r="E417" s="3015">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21"/>
      <c r="AV417" s="1797">
        <f t="shared" si="239"/>
        <v>0</v>
      </c>
      <c r="AW417" s="1797">
        <f t="shared" si="240"/>
        <v>0</v>
      </c>
      <c r="AX417" s="1797">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20"/>
      <c r="E418" s="3015">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21"/>
      <c r="AV418" s="1797">
        <f t="shared" si="239"/>
        <v>0</v>
      </c>
      <c r="AW418" s="1797">
        <f t="shared" si="240"/>
        <v>0</v>
      </c>
      <c r="AX418" s="1797">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20"/>
      <c r="E419" s="3015">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21"/>
      <c r="AV419" s="1797">
        <f t="shared" si="239"/>
        <v>0</v>
      </c>
      <c r="AW419" s="1797">
        <f t="shared" si="240"/>
        <v>0</v>
      </c>
      <c r="AX419" s="1797">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20"/>
      <c r="E420" s="3015">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21"/>
      <c r="AV420" s="1797">
        <f t="shared" si="239"/>
        <v>0</v>
      </c>
      <c r="AW420" s="1797">
        <f t="shared" si="240"/>
        <v>0</v>
      </c>
      <c r="AX420" s="1797">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20"/>
      <c r="E421" s="3015">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21"/>
      <c r="AV421" s="1797">
        <f t="shared" si="239"/>
        <v>0</v>
      </c>
      <c r="AW421" s="1797">
        <f t="shared" si="240"/>
        <v>0</v>
      </c>
      <c r="AX421" s="1797">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20"/>
      <c r="E422" s="3015">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21"/>
      <c r="AV422" s="1797">
        <f t="shared" si="239"/>
        <v>0</v>
      </c>
      <c r="AW422" s="1797">
        <f t="shared" si="240"/>
        <v>0</v>
      </c>
      <c r="AX422" s="1797">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20"/>
      <c r="E423" s="3015">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21"/>
      <c r="AV423" s="1797">
        <f t="shared" si="239"/>
        <v>0</v>
      </c>
      <c r="AW423" s="1797">
        <f t="shared" si="240"/>
        <v>0</v>
      </c>
      <c r="AX423" s="1797">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20"/>
      <c r="E424" s="3015">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21"/>
      <c r="AV424" s="1797">
        <f t="shared" si="239"/>
        <v>0</v>
      </c>
      <c r="AW424" s="1797">
        <f t="shared" si="240"/>
        <v>0</v>
      </c>
      <c r="AX424" s="1797">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20"/>
      <c r="E425" s="3015">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21"/>
      <c r="AV425" s="1797">
        <f t="shared" si="239"/>
        <v>0</v>
      </c>
      <c r="AW425" s="1797">
        <f t="shared" si="240"/>
        <v>0</v>
      </c>
      <c r="AX425" s="1797">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20"/>
      <c r="E426" s="3015">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21"/>
      <c r="AV426" s="1797">
        <f t="shared" si="239"/>
        <v>0</v>
      </c>
      <c r="AW426" s="1797">
        <f t="shared" si="240"/>
        <v>0</v>
      </c>
      <c r="AX426" s="1797">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20"/>
      <c r="E427" s="3015">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21"/>
      <c r="AV427" s="1797">
        <f t="shared" si="239"/>
        <v>0</v>
      </c>
      <c r="AW427" s="1797">
        <f t="shared" si="240"/>
        <v>0</v>
      </c>
      <c r="AX427" s="1797">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20"/>
      <c r="E428" s="3015">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21"/>
      <c r="AV428" s="1797">
        <f t="shared" si="239"/>
        <v>0</v>
      </c>
      <c r="AW428" s="1797">
        <f t="shared" si="240"/>
        <v>0</v>
      </c>
      <c r="AX428" s="1797">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20"/>
      <c r="E429" s="3015">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21"/>
      <c r="AV429" s="1797">
        <f t="shared" si="239"/>
        <v>0</v>
      </c>
      <c r="AW429" s="1797">
        <f t="shared" si="240"/>
        <v>0</v>
      </c>
      <c r="AX429" s="1797">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20"/>
      <c r="E430" s="3015">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21"/>
      <c r="AV430" s="1797">
        <f t="shared" si="239"/>
        <v>0</v>
      </c>
      <c r="AW430" s="1797">
        <f t="shared" si="240"/>
        <v>0</v>
      </c>
      <c r="AX430" s="1797">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20"/>
      <c r="E431" s="3015">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21"/>
      <c r="AV431" s="1797">
        <f t="shared" si="239"/>
        <v>0</v>
      </c>
      <c r="AW431" s="1797">
        <f t="shared" si="240"/>
        <v>0</v>
      </c>
      <c r="AX431" s="1797">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20"/>
      <c r="E432" s="3015">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21"/>
      <c r="AV432" s="1797">
        <f t="shared" si="239"/>
        <v>0</v>
      </c>
      <c r="AW432" s="1797">
        <f t="shared" si="240"/>
        <v>0</v>
      </c>
      <c r="AX432" s="1797">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20"/>
      <c r="E433" s="3015">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21"/>
      <c r="AV433" s="1797">
        <f t="shared" si="239"/>
        <v>0</v>
      </c>
      <c r="AW433" s="1797">
        <f t="shared" si="240"/>
        <v>0</v>
      </c>
      <c r="AX433" s="1797">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20"/>
      <c r="E434" s="3015">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21"/>
      <c r="AV434" s="1797">
        <f t="shared" si="239"/>
        <v>0</v>
      </c>
      <c r="AW434" s="1797">
        <f t="shared" si="240"/>
        <v>0</v>
      </c>
      <c r="AX434" s="1797">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20"/>
      <c r="E435" s="3015">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21"/>
      <c r="AV435" s="1797">
        <f t="shared" si="239"/>
        <v>0</v>
      </c>
      <c r="AW435" s="1797">
        <f t="shared" si="240"/>
        <v>0</v>
      </c>
      <c r="AX435" s="1797">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20"/>
      <c r="E436" s="3015">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21"/>
      <c r="AV436" s="1797">
        <f t="shared" si="239"/>
        <v>0</v>
      </c>
      <c r="AW436" s="1797">
        <f t="shared" si="240"/>
        <v>0</v>
      </c>
      <c r="AX436" s="1797">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20"/>
      <c r="E437" s="3015">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21"/>
      <c r="AV437" s="1797">
        <f t="shared" si="239"/>
        <v>0</v>
      </c>
      <c r="AW437" s="1797">
        <f t="shared" si="240"/>
        <v>0</v>
      </c>
      <c r="AX437" s="1797">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20"/>
      <c r="E438" s="3015">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21"/>
      <c r="AV438" s="1797">
        <f t="shared" si="239"/>
        <v>0</v>
      </c>
      <c r="AW438" s="1797">
        <f t="shared" si="240"/>
        <v>0</v>
      </c>
      <c r="AX438" s="1797">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20"/>
      <c r="E439" s="3015">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21"/>
      <c r="AV439" s="1797">
        <f t="shared" si="239"/>
        <v>0</v>
      </c>
      <c r="AW439" s="1797">
        <f t="shared" si="240"/>
        <v>0</v>
      </c>
      <c r="AX439" s="1797">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20"/>
      <c r="E440" s="3015">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21"/>
      <c r="AV440" s="1797">
        <f t="shared" si="239"/>
        <v>0</v>
      </c>
      <c r="AW440" s="1797">
        <f t="shared" si="240"/>
        <v>0</v>
      </c>
      <c r="AX440" s="1797">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20"/>
      <c r="E441" s="3015">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21"/>
      <c r="AV441" s="1797">
        <f t="shared" si="239"/>
        <v>0</v>
      </c>
      <c r="AW441" s="1797">
        <f t="shared" si="240"/>
        <v>0</v>
      </c>
      <c r="AX441" s="1797">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20"/>
      <c r="E442" s="3015">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21"/>
      <c r="AV442" s="1797">
        <f t="shared" si="239"/>
        <v>0</v>
      </c>
      <c r="AW442" s="1797">
        <f t="shared" si="240"/>
        <v>0</v>
      </c>
      <c r="AX442" s="1797">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20"/>
      <c r="E443" s="3015">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21"/>
      <c r="AV443" s="1797">
        <f t="shared" si="239"/>
        <v>0</v>
      </c>
      <c r="AW443" s="1797">
        <f t="shared" si="240"/>
        <v>0</v>
      </c>
      <c r="AX443" s="1797">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20"/>
      <c r="E444" s="3015">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21"/>
      <c r="AV444" s="1797">
        <f t="shared" si="239"/>
        <v>0</v>
      </c>
      <c r="AW444" s="1797">
        <f t="shared" si="240"/>
        <v>0</v>
      </c>
      <c r="AX444" s="1797">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20"/>
      <c r="E445" s="3015">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21"/>
      <c r="AV445" s="1797">
        <f t="shared" si="239"/>
        <v>0</v>
      </c>
      <c r="AW445" s="1797">
        <f t="shared" si="240"/>
        <v>0</v>
      </c>
      <c r="AX445" s="1797">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20"/>
      <c r="E446" s="3015">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21"/>
      <c r="AV446" s="1797">
        <f t="shared" si="239"/>
        <v>0</v>
      </c>
      <c r="AW446" s="1797">
        <f t="shared" si="240"/>
        <v>0</v>
      </c>
      <c r="AX446" s="1797">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20"/>
      <c r="E447" s="3015">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21"/>
      <c r="AV447" s="1797">
        <f t="shared" si="239"/>
        <v>0</v>
      </c>
      <c r="AW447" s="1797">
        <f t="shared" si="240"/>
        <v>0</v>
      </c>
      <c r="AX447" s="1797">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20"/>
      <c r="E448" s="3015">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21"/>
      <c r="AV448" s="1797">
        <f t="shared" si="239"/>
        <v>0</v>
      </c>
      <c r="AW448" s="1797">
        <f t="shared" si="240"/>
        <v>0</v>
      </c>
      <c r="AX448" s="1797">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20"/>
      <c r="E449" s="3015">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21"/>
      <c r="AV449" s="1797">
        <f t="shared" si="239"/>
        <v>0</v>
      </c>
      <c r="AW449" s="1797">
        <f t="shared" si="240"/>
        <v>0</v>
      </c>
      <c r="AX449" s="1797">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20"/>
      <c r="E450" s="3015">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21"/>
      <c r="AV450" s="1797">
        <f t="shared" si="239"/>
        <v>0</v>
      </c>
      <c r="AW450" s="1797">
        <f t="shared" si="240"/>
        <v>0</v>
      </c>
      <c r="AX450" s="1797">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20"/>
      <c r="E451" s="3015">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21"/>
      <c r="AV451" s="1797">
        <f t="shared" si="239"/>
        <v>0</v>
      </c>
      <c r="AW451" s="1797">
        <f t="shared" si="240"/>
        <v>0</v>
      </c>
      <c r="AX451" s="1797">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20"/>
      <c r="E452" s="3015">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21"/>
      <c r="AV452" s="1797">
        <f t="shared" si="239"/>
        <v>0</v>
      </c>
      <c r="AW452" s="1797">
        <f t="shared" si="240"/>
        <v>0</v>
      </c>
      <c r="AX452" s="1797">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20"/>
      <c r="E453" s="3015">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21"/>
      <c r="AV453" s="1797">
        <f t="shared" si="239"/>
        <v>0</v>
      </c>
      <c r="AW453" s="1797">
        <f t="shared" si="240"/>
        <v>0</v>
      </c>
      <c r="AX453" s="1797">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20"/>
      <c r="E454" s="3015">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21"/>
      <c r="AV454" s="1797">
        <f t="shared" si="239"/>
        <v>0</v>
      </c>
      <c r="AW454" s="1797">
        <f t="shared" si="240"/>
        <v>0</v>
      </c>
      <c r="AX454" s="1797">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20"/>
      <c r="E455" s="3015">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21"/>
      <c r="AV455" s="1797">
        <f t="shared" si="239"/>
        <v>0</v>
      </c>
      <c r="AW455" s="1797">
        <f t="shared" si="240"/>
        <v>0</v>
      </c>
      <c r="AX455" s="1797">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20"/>
      <c r="E456" s="3015">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21"/>
      <c r="AV456" s="1797">
        <f t="shared" si="239"/>
        <v>0</v>
      </c>
      <c r="AW456" s="1797">
        <f t="shared" si="240"/>
        <v>0</v>
      </c>
      <c r="AX456" s="1797">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20"/>
      <c r="E457" s="3015">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21"/>
      <c r="AV457" s="1797">
        <f t="shared" si="239"/>
        <v>0</v>
      </c>
      <c r="AW457" s="1797">
        <f t="shared" si="240"/>
        <v>0</v>
      </c>
      <c r="AX457" s="1797">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20"/>
      <c r="E458" s="3015">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21"/>
      <c r="AV458" s="1797">
        <f t="shared" si="239"/>
        <v>0</v>
      </c>
      <c r="AW458" s="1797">
        <f t="shared" si="240"/>
        <v>0</v>
      </c>
      <c r="AX458" s="1797">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20"/>
      <c r="E459" s="3015">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21"/>
      <c r="AV459" s="1797">
        <f t="shared" si="239"/>
        <v>0</v>
      </c>
      <c r="AW459" s="1797">
        <f t="shared" si="240"/>
        <v>0</v>
      </c>
      <c r="AX459" s="1797">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20"/>
      <c r="E460" s="3015">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21"/>
      <c r="AV460" s="1797">
        <f t="shared" si="239"/>
        <v>0</v>
      </c>
      <c r="AW460" s="1797">
        <f t="shared" si="240"/>
        <v>0</v>
      </c>
      <c r="AX460" s="1797">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20"/>
      <c r="E461" s="3015">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21"/>
      <c r="AV461" s="1797">
        <f t="shared" si="239"/>
        <v>0</v>
      </c>
      <c r="AW461" s="1797">
        <f t="shared" si="240"/>
        <v>0</v>
      </c>
      <c r="AX461" s="1797">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20"/>
      <c r="E462" s="3015">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21"/>
      <c r="AV462" s="1797">
        <f t="shared" si="239"/>
        <v>0</v>
      </c>
      <c r="AW462" s="1797">
        <f t="shared" si="240"/>
        <v>0</v>
      </c>
      <c r="AX462" s="1797">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20"/>
      <c r="E463" s="3015">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21"/>
      <c r="AV463" s="1797">
        <f t="shared" si="239"/>
        <v>0</v>
      </c>
      <c r="AW463" s="1797">
        <f t="shared" si="240"/>
        <v>0</v>
      </c>
      <c r="AX463" s="1797">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20"/>
      <c r="E464" s="3015">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21"/>
      <c r="AV464" s="1797">
        <f t="shared" si="239"/>
        <v>0</v>
      </c>
      <c r="AW464" s="1797">
        <f t="shared" si="240"/>
        <v>0</v>
      </c>
      <c r="AX464" s="1797">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20"/>
      <c r="E465" s="3015">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21"/>
      <c r="AV465" s="1797">
        <f t="shared" si="239"/>
        <v>0</v>
      </c>
      <c r="AW465" s="1797">
        <f t="shared" si="240"/>
        <v>0</v>
      </c>
      <c r="AX465" s="1797">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20"/>
      <c r="E466" s="3015">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21"/>
      <c r="AV466" s="1797">
        <f t="shared" si="239"/>
        <v>0</v>
      </c>
      <c r="AW466" s="1797">
        <f t="shared" si="240"/>
        <v>0</v>
      </c>
      <c r="AX466" s="1797">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20"/>
      <c r="E467" s="3015">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21"/>
      <c r="AV467" s="1797">
        <f t="shared" si="239"/>
        <v>0</v>
      </c>
      <c r="AW467" s="1797">
        <f t="shared" si="240"/>
        <v>0</v>
      </c>
      <c r="AX467" s="1797">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20"/>
      <c r="E468" s="3015">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21"/>
      <c r="AV468" s="1797">
        <f t="shared" si="239"/>
        <v>0</v>
      </c>
      <c r="AW468" s="1797">
        <f t="shared" si="240"/>
        <v>0</v>
      </c>
      <c r="AX468" s="1797">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20"/>
      <c r="E469" s="3015">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21"/>
      <c r="AV469" s="1797">
        <f t="shared" si="239"/>
        <v>0</v>
      </c>
      <c r="AW469" s="1797">
        <f t="shared" si="240"/>
        <v>0</v>
      </c>
      <c r="AX469" s="1797">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20"/>
      <c r="E470" s="3015">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21"/>
      <c r="AV470" s="1797">
        <f t="shared" si="239"/>
        <v>0</v>
      </c>
      <c r="AW470" s="1797">
        <f t="shared" si="240"/>
        <v>0</v>
      </c>
      <c r="AX470" s="1797">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20"/>
      <c r="E471" s="3015">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21"/>
      <c r="AV471" s="1797">
        <f t="shared" si="239"/>
        <v>0</v>
      </c>
      <c r="AW471" s="1797">
        <f t="shared" si="240"/>
        <v>0</v>
      </c>
      <c r="AX471" s="1797">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20"/>
      <c r="E472" s="3015">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21"/>
      <c r="AV472" s="1797">
        <f t="shared" si="239"/>
        <v>0</v>
      </c>
      <c r="AW472" s="1797">
        <f t="shared" si="240"/>
        <v>0</v>
      </c>
      <c r="AX472" s="1797">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20"/>
      <c r="E473" s="3015">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21"/>
      <c r="AV473" s="1797">
        <f t="shared" si="239"/>
        <v>0</v>
      </c>
      <c r="AW473" s="1797">
        <f t="shared" si="240"/>
        <v>0</v>
      </c>
      <c r="AX473" s="1797">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20"/>
      <c r="E474" s="3015">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21"/>
      <c r="AV474" s="1797">
        <f t="shared" si="239"/>
        <v>0</v>
      </c>
      <c r="AW474" s="1797">
        <f t="shared" si="240"/>
        <v>0</v>
      </c>
      <c r="AX474" s="1797">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20"/>
      <c r="E475" s="3015">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21"/>
      <c r="AV475" s="1797">
        <f t="shared" si="239"/>
        <v>0</v>
      </c>
      <c r="AW475" s="1797">
        <f t="shared" si="240"/>
        <v>0</v>
      </c>
      <c r="AX475" s="1797">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20"/>
      <c r="E476" s="3015">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21"/>
      <c r="AV476" s="1797">
        <f t="shared" si="239"/>
        <v>0</v>
      </c>
      <c r="AW476" s="1797">
        <f t="shared" si="240"/>
        <v>0</v>
      </c>
      <c r="AX476" s="1797">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20"/>
      <c r="E477" s="3015">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21"/>
      <c r="AV477" s="1797">
        <f t="shared" si="239"/>
        <v>0</v>
      </c>
      <c r="AW477" s="1797">
        <f t="shared" si="240"/>
        <v>0</v>
      </c>
      <c r="AX477" s="1797">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20"/>
      <c r="E478" s="3015">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21"/>
      <c r="AV478" s="1797">
        <f t="shared" si="239"/>
        <v>0</v>
      </c>
      <c r="AW478" s="1797">
        <f t="shared" si="240"/>
        <v>0</v>
      </c>
      <c r="AX478" s="1797">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20"/>
      <c r="E479" s="3015">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21"/>
      <c r="AV479" s="1797">
        <f t="shared" si="239"/>
        <v>0</v>
      </c>
      <c r="AW479" s="1797">
        <f t="shared" si="240"/>
        <v>0</v>
      </c>
      <c r="AX479" s="1797">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20"/>
      <c r="E480" s="3015">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21"/>
      <c r="AV480" s="1797">
        <f t="shared" si="239"/>
        <v>0</v>
      </c>
      <c r="AW480" s="1797">
        <f t="shared" si="240"/>
        <v>0</v>
      </c>
      <c r="AX480" s="1797">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20"/>
      <c r="E481" s="3015">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21"/>
      <c r="AV481" s="1797">
        <f t="shared" si="239"/>
        <v>0</v>
      </c>
      <c r="AW481" s="1797">
        <f t="shared" si="240"/>
        <v>0</v>
      </c>
      <c r="AX481" s="1797">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20"/>
      <c r="E482" s="3015">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21"/>
      <c r="AV482" s="1797">
        <f t="shared" si="239"/>
        <v>0</v>
      </c>
      <c r="AW482" s="1797">
        <f t="shared" si="240"/>
        <v>0</v>
      </c>
      <c r="AX482" s="1797">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20"/>
      <c r="E483" s="3015">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21"/>
      <c r="AV483" s="1797">
        <f t="shared" si="239"/>
        <v>0</v>
      </c>
      <c r="AW483" s="1797">
        <f t="shared" si="240"/>
        <v>0</v>
      </c>
      <c r="AX483" s="1797">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20"/>
      <c r="E484" s="3015">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21"/>
      <c r="AV484" s="1797">
        <f t="shared" si="239"/>
        <v>0</v>
      </c>
      <c r="AW484" s="1797">
        <f t="shared" si="240"/>
        <v>0</v>
      </c>
      <c r="AX484" s="1797">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20"/>
      <c r="E485" s="3015">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21"/>
      <c r="AV485" s="1797">
        <f t="shared" si="239"/>
        <v>0</v>
      </c>
      <c r="AW485" s="1797">
        <f t="shared" si="240"/>
        <v>0</v>
      </c>
      <c r="AX485" s="1797">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20"/>
      <c r="E486" s="3015">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21"/>
      <c r="AV486" s="1797">
        <f t="shared" si="239"/>
        <v>0</v>
      </c>
      <c r="AW486" s="1797">
        <f t="shared" si="240"/>
        <v>0</v>
      </c>
      <c r="AX486" s="1797">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20"/>
      <c r="E487" s="3015">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21"/>
      <c r="AV487" s="1797">
        <f t="shared" si="239"/>
        <v>0</v>
      </c>
      <c r="AW487" s="1797">
        <f t="shared" si="240"/>
        <v>0</v>
      </c>
      <c r="AX487" s="1797">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20"/>
      <c r="E488" s="3015">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21"/>
      <c r="AV488" s="1797">
        <f t="shared" si="239"/>
        <v>0</v>
      </c>
      <c r="AW488" s="1797">
        <f t="shared" si="240"/>
        <v>0</v>
      </c>
      <c r="AX488" s="1797">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20"/>
      <c r="E489" s="3015">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21"/>
      <c r="AV489" s="1797">
        <f t="shared" si="239"/>
        <v>0</v>
      </c>
      <c r="AW489" s="1797">
        <f t="shared" si="240"/>
        <v>0</v>
      </c>
      <c r="AX489" s="1797">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20"/>
      <c r="E490" s="3015">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39"/>
        <v>0</v>
      </c>
      <c r="AW490" s="1797">
        <f t="shared" si="240"/>
        <v>0</v>
      </c>
      <c r="AX490" s="1797">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20"/>
      <c r="E491" s="3015">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7"/>
      <c r="AV491" s="1797">
        <f t="shared" si="239"/>
        <v>0</v>
      </c>
      <c r="AW491" s="1797">
        <f t="shared" si="240"/>
        <v>0</v>
      </c>
      <c r="AX491" s="1797">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20"/>
      <c r="E492" s="3015">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7"/>
      <c r="AV492" s="1797">
        <f t="shared" si="239"/>
        <v>0</v>
      </c>
      <c r="AW492" s="1797">
        <f t="shared" si="240"/>
        <v>0</v>
      </c>
      <c r="AX492" s="1797">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20"/>
      <c r="E493" s="3015">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21"/>
      <c r="AV493" s="1797">
        <f t="shared" ref="AV493:AV520" si="290">A493</f>
        <v>0</v>
      </c>
      <c r="AW493" s="1797">
        <f t="shared" ref="AW493:AW520" si="291">B493</f>
        <v>0</v>
      </c>
      <c r="AX493" s="1797">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20"/>
      <c r="E494" s="3015">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21"/>
      <c r="AV494" s="1797">
        <f t="shared" si="290"/>
        <v>0</v>
      </c>
      <c r="AW494" s="1797">
        <f t="shared" si="291"/>
        <v>0</v>
      </c>
      <c r="AX494" s="1797">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20"/>
      <c r="E495" s="3015">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21"/>
      <c r="AV495" s="1797">
        <f t="shared" si="290"/>
        <v>0</v>
      </c>
      <c r="AW495" s="1797">
        <f t="shared" si="291"/>
        <v>0</v>
      </c>
      <c r="AX495" s="1797">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20"/>
      <c r="E496" s="3015">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21"/>
      <c r="AV496" s="1797">
        <f t="shared" si="290"/>
        <v>0</v>
      </c>
      <c r="AW496" s="1797">
        <f t="shared" si="291"/>
        <v>0</v>
      </c>
      <c r="AX496" s="1797">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20"/>
      <c r="E497" s="3015">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21"/>
      <c r="AV497" s="1797">
        <f t="shared" si="290"/>
        <v>0</v>
      </c>
      <c r="AW497" s="1797">
        <f t="shared" si="291"/>
        <v>0</v>
      </c>
      <c r="AX497" s="1797">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20"/>
      <c r="E498" s="3015">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21"/>
      <c r="AV498" s="1797">
        <f t="shared" si="290"/>
        <v>0</v>
      </c>
      <c r="AW498" s="1797">
        <f t="shared" si="291"/>
        <v>0</v>
      </c>
      <c r="AX498" s="1797">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20"/>
      <c r="E499" s="3015">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21"/>
      <c r="AV499" s="1797">
        <f t="shared" si="290"/>
        <v>0</v>
      </c>
      <c r="AW499" s="1797">
        <f t="shared" si="291"/>
        <v>0</v>
      </c>
      <c r="AX499" s="1797">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20"/>
      <c r="E500" s="3015">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21"/>
      <c r="AV500" s="1797">
        <f t="shared" si="290"/>
        <v>0</v>
      </c>
      <c r="AW500" s="1797">
        <f t="shared" si="291"/>
        <v>0</v>
      </c>
      <c r="AX500" s="1797">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20"/>
      <c r="E501" s="3015">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21"/>
      <c r="AV501" s="1797">
        <f t="shared" si="290"/>
        <v>0</v>
      </c>
      <c r="AW501" s="1797">
        <f t="shared" si="291"/>
        <v>0</v>
      </c>
      <c r="AX501" s="1797">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20"/>
      <c r="E502" s="3015">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21"/>
      <c r="AV502" s="1797">
        <f t="shared" si="290"/>
        <v>0</v>
      </c>
      <c r="AW502" s="1797">
        <f t="shared" si="291"/>
        <v>0</v>
      </c>
      <c r="AX502" s="1797">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20"/>
      <c r="E503" s="3015">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21"/>
      <c r="AV503" s="1797">
        <f t="shared" si="290"/>
        <v>0</v>
      </c>
      <c r="AW503" s="1797">
        <f t="shared" si="291"/>
        <v>0</v>
      </c>
      <c r="AX503" s="1797">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20"/>
      <c r="E504" s="3015">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21"/>
      <c r="AV504" s="1797">
        <f t="shared" si="290"/>
        <v>0</v>
      </c>
      <c r="AW504" s="1797">
        <f t="shared" si="291"/>
        <v>0</v>
      </c>
      <c r="AX504" s="1797">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20"/>
      <c r="E505" s="3015">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21"/>
      <c r="AV505" s="1797">
        <f t="shared" si="290"/>
        <v>0</v>
      </c>
      <c r="AW505" s="1797">
        <f t="shared" si="291"/>
        <v>0</v>
      </c>
      <c r="AX505" s="1797">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20"/>
      <c r="E506" s="3015">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21"/>
      <c r="AV506" s="1797">
        <f t="shared" si="290"/>
        <v>0</v>
      </c>
      <c r="AW506" s="1797">
        <f t="shared" si="291"/>
        <v>0</v>
      </c>
      <c r="AX506" s="1797">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20"/>
      <c r="E507" s="3015">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21"/>
      <c r="AV507" s="1797">
        <f t="shared" si="290"/>
        <v>0</v>
      </c>
      <c r="AW507" s="1797">
        <f t="shared" si="291"/>
        <v>0</v>
      </c>
      <c r="AX507" s="1797">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20"/>
      <c r="E508" s="3015">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21"/>
      <c r="AV508" s="1797">
        <f t="shared" si="290"/>
        <v>0</v>
      </c>
      <c r="AW508" s="1797">
        <f t="shared" si="291"/>
        <v>0</v>
      </c>
      <c r="AX508" s="1797">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20"/>
      <c r="E509" s="3015">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21"/>
      <c r="AV509" s="1797">
        <f t="shared" si="290"/>
        <v>0</v>
      </c>
      <c r="AW509" s="1797">
        <f t="shared" si="291"/>
        <v>0</v>
      </c>
      <c r="AX509" s="1797">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20"/>
      <c r="E510" s="3015">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21"/>
      <c r="AV510" s="1797">
        <f t="shared" si="290"/>
        <v>0</v>
      </c>
      <c r="AW510" s="1797">
        <f t="shared" si="291"/>
        <v>0</v>
      </c>
      <c r="AX510" s="1797">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20"/>
      <c r="E511" s="3015">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21"/>
      <c r="AV511" s="1797">
        <f t="shared" si="290"/>
        <v>0</v>
      </c>
      <c r="AW511" s="1797">
        <f t="shared" si="291"/>
        <v>0</v>
      </c>
      <c r="AX511" s="1797">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20"/>
      <c r="E512" s="3015">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21"/>
      <c r="AV512" s="1797">
        <f t="shared" si="290"/>
        <v>0</v>
      </c>
      <c r="AW512" s="1797">
        <f t="shared" si="291"/>
        <v>0</v>
      </c>
      <c r="AX512" s="1797">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20"/>
      <c r="E513" s="3015">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21"/>
      <c r="AV513" s="1797">
        <f t="shared" si="290"/>
        <v>0</v>
      </c>
      <c r="AW513" s="1797">
        <f t="shared" si="291"/>
        <v>0</v>
      </c>
      <c r="AX513" s="1797">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20"/>
      <c r="E514" s="3015">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21"/>
      <c r="AV514" s="1797">
        <f t="shared" si="290"/>
        <v>0</v>
      </c>
      <c r="AW514" s="1797">
        <f t="shared" si="291"/>
        <v>0</v>
      </c>
      <c r="AX514" s="1797">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20"/>
      <c r="E515" s="3015">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21"/>
      <c r="AV515" s="1797">
        <f t="shared" si="290"/>
        <v>0</v>
      </c>
      <c r="AW515" s="1797">
        <f t="shared" si="291"/>
        <v>0</v>
      </c>
      <c r="AX515" s="1797">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20"/>
      <c r="E516" s="3015">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21"/>
      <c r="AV516" s="1797">
        <f t="shared" si="290"/>
        <v>0</v>
      </c>
      <c r="AW516" s="1797">
        <f t="shared" si="291"/>
        <v>0</v>
      </c>
      <c r="AX516" s="1797">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20"/>
      <c r="E517" s="3015">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21"/>
      <c r="AV517" s="1797">
        <f t="shared" si="290"/>
        <v>0</v>
      </c>
      <c r="AW517" s="1797">
        <f t="shared" si="291"/>
        <v>0</v>
      </c>
      <c r="AX517" s="1797">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20"/>
      <c r="E518" s="3015">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21"/>
      <c r="AV518" s="1797">
        <f t="shared" si="290"/>
        <v>0</v>
      </c>
      <c r="AW518" s="1797">
        <f t="shared" si="291"/>
        <v>0</v>
      </c>
      <c r="AX518" s="1797">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20"/>
      <c r="E519" s="3015">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21"/>
      <c r="AV519" s="1797">
        <f t="shared" si="290"/>
        <v>0</v>
      </c>
      <c r="AW519" s="1797">
        <f t="shared" si="291"/>
        <v>0</v>
      </c>
      <c r="AX519" s="1797">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20"/>
      <c r="E520" s="3015">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21"/>
      <c r="AV520" s="1797">
        <f t="shared" si="290"/>
        <v>0</v>
      </c>
      <c r="AW520" s="1797">
        <f t="shared" si="291"/>
        <v>0</v>
      </c>
      <c r="AX520" s="1797">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20"/>
      <c r="E521" s="3015">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21"/>
      <c r="AV521" s="1797">
        <f t="shared" ref="AV521:AV552" si="294">A521</f>
        <v>0</v>
      </c>
      <c r="AW521" s="1797">
        <f t="shared" ref="AW521:AW552" si="295">B521</f>
        <v>0</v>
      </c>
      <c r="AX521" s="1797">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20"/>
      <c r="E522" s="3015">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21"/>
      <c r="AV522" s="1797">
        <f t="shared" si="294"/>
        <v>0</v>
      </c>
      <c r="AW522" s="1797">
        <f t="shared" si="295"/>
        <v>0</v>
      </c>
      <c r="AX522" s="1797">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20"/>
      <c r="E523" s="3015">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21"/>
      <c r="AV523" s="1797">
        <f t="shared" si="294"/>
        <v>0</v>
      </c>
      <c r="AW523" s="1797">
        <f t="shared" si="295"/>
        <v>0</v>
      </c>
      <c r="AX523" s="1797">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20"/>
      <c r="E524" s="3015">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21"/>
      <c r="AV524" s="1797">
        <f t="shared" si="294"/>
        <v>0</v>
      </c>
      <c r="AW524" s="1797">
        <f t="shared" si="295"/>
        <v>0</v>
      </c>
      <c r="AX524" s="1797">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20"/>
      <c r="E525" s="3015">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21"/>
      <c r="AV525" s="1797">
        <f t="shared" si="294"/>
        <v>0</v>
      </c>
      <c r="AW525" s="1797">
        <f t="shared" si="295"/>
        <v>0</v>
      </c>
      <c r="AX525" s="1797">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20"/>
      <c r="E526" s="3015">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21"/>
      <c r="AV526" s="1797">
        <f t="shared" si="294"/>
        <v>0</v>
      </c>
      <c r="AW526" s="1797">
        <f t="shared" si="295"/>
        <v>0</v>
      </c>
      <c r="AX526" s="1797">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20"/>
      <c r="E527" s="3015">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21"/>
      <c r="AV527" s="1797">
        <f t="shared" si="294"/>
        <v>0</v>
      </c>
      <c r="AW527" s="1797">
        <f t="shared" si="295"/>
        <v>0</v>
      </c>
      <c r="AX527" s="1797">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20"/>
      <c r="E528" s="3015">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21"/>
      <c r="AV528" s="1797">
        <f t="shared" si="294"/>
        <v>0</v>
      </c>
      <c r="AW528" s="1797">
        <f t="shared" si="295"/>
        <v>0</v>
      </c>
      <c r="AX528" s="1797">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20"/>
      <c r="E529" s="3015">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21"/>
      <c r="AV529" s="1797">
        <f t="shared" si="294"/>
        <v>0</v>
      </c>
      <c r="AW529" s="1797">
        <f t="shared" si="295"/>
        <v>0</v>
      </c>
      <c r="AX529" s="1797">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20"/>
      <c r="E530" s="3015">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21"/>
      <c r="AV530" s="1797">
        <f t="shared" si="294"/>
        <v>0</v>
      </c>
      <c r="AW530" s="1797">
        <f t="shared" si="295"/>
        <v>0</v>
      </c>
      <c r="AX530" s="1797">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20"/>
      <c r="E531" s="3015">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21"/>
      <c r="AV531" s="1797">
        <f t="shared" si="294"/>
        <v>0</v>
      </c>
      <c r="AW531" s="1797">
        <f t="shared" si="295"/>
        <v>0</v>
      </c>
      <c r="AX531" s="1797">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20"/>
      <c r="E532" s="3015">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21"/>
      <c r="AV532" s="1797">
        <f t="shared" si="294"/>
        <v>0</v>
      </c>
      <c r="AW532" s="1797">
        <f t="shared" si="295"/>
        <v>0</v>
      </c>
      <c r="AX532" s="1797">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20"/>
      <c r="E533" s="3015">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21"/>
      <c r="AV533" s="1797">
        <f t="shared" si="294"/>
        <v>0</v>
      </c>
      <c r="AW533" s="1797">
        <f t="shared" si="295"/>
        <v>0</v>
      </c>
      <c r="AX533" s="1797">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20"/>
      <c r="E534" s="3015">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21"/>
      <c r="AV534" s="1797">
        <f t="shared" si="294"/>
        <v>0</v>
      </c>
      <c r="AW534" s="1797">
        <f t="shared" si="295"/>
        <v>0</v>
      </c>
      <c r="AX534" s="1797">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20"/>
      <c r="E535" s="3015">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21"/>
      <c r="AV535" s="1797">
        <f t="shared" si="294"/>
        <v>0</v>
      </c>
      <c r="AW535" s="1797">
        <f t="shared" si="295"/>
        <v>0</v>
      </c>
      <c r="AX535" s="1797">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20"/>
      <c r="E536" s="3015">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21"/>
      <c r="AV536" s="1797">
        <f t="shared" si="294"/>
        <v>0</v>
      </c>
      <c r="AW536" s="1797">
        <f t="shared" si="295"/>
        <v>0</v>
      </c>
      <c r="AX536" s="1797">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20"/>
      <c r="E537" s="3015">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21"/>
      <c r="AV537" s="1797">
        <f t="shared" si="294"/>
        <v>0</v>
      </c>
      <c r="AW537" s="1797">
        <f t="shared" si="295"/>
        <v>0</v>
      </c>
      <c r="AX537" s="1797">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20"/>
      <c r="E538" s="3015">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21"/>
      <c r="AV538" s="1797">
        <f t="shared" si="294"/>
        <v>0</v>
      </c>
      <c r="AW538" s="1797">
        <f t="shared" si="295"/>
        <v>0</v>
      </c>
      <c r="AX538" s="1797">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20"/>
      <c r="E539" s="3015">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21"/>
      <c r="AV539" s="1797">
        <f t="shared" si="294"/>
        <v>0</v>
      </c>
      <c r="AW539" s="1797">
        <f t="shared" si="295"/>
        <v>0</v>
      </c>
      <c r="AX539" s="1797">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20"/>
      <c r="E540" s="3015">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21"/>
      <c r="AV540" s="1797">
        <f t="shared" si="294"/>
        <v>0</v>
      </c>
      <c r="AW540" s="1797">
        <f t="shared" si="295"/>
        <v>0</v>
      </c>
      <c r="AX540" s="1797">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20"/>
      <c r="E541" s="3015">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21"/>
      <c r="AV541" s="1797">
        <f t="shared" si="294"/>
        <v>0</v>
      </c>
      <c r="AW541" s="1797">
        <f t="shared" si="295"/>
        <v>0</v>
      </c>
      <c r="AX541" s="1797">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20"/>
      <c r="E542" s="3015">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21"/>
      <c r="AV542" s="1797">
        <f t="shared" si="294"/>
        <v>0</v>
      </c>
      <c r="AW542" s="1797">
        <f t="shared" si="295"/>
        <v>0</v>
      </c>
      <c r="AX542" s="1797">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20"/>
      <c r="E543" s="3015">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21"/>
      <c r="AV543" s="1797">
        <f t="shared" si="294"/>
        <v>0</v>
      </c>
      <c r="AW543" s="1797">
        <f t="shared" si="295"/>
        <v>0</v>
      </c>
      <c r="AX543" s="1797">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20"/>
      <c r="E544" s="3015">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21"/>
      <c r="AV544" s="1797">
        <f t="shared" si="294"/>
        <v>0</v>
      </c>
      <c r="AW544" s="1797">
        <f t="shared" si="295"/>
        <v>0</v>
      </c>
      <c r="AX544" s="1797">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20"/>
      <c r="E545" s="3015">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21"/>
      <c r="AV545" s="1797">
        <f t="shared" si="294"/>
        <v>0</v>
      </c>
      <c r="AW545" s="1797">
        <f t="shared" si="295"/>
        <v>0</v>
      </c>
      <c r="AX545" s="1797">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20"/>
      <c r="E546" s="3015">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21"/>
      <c r="AV546" s="1797">
        <f t="shared" si="294"/>
        <v>0</v>
      </c>
      <c r="AW546" s="1797">
        <f t="shared" si="295"/>
        <v>0</v>
      </c>
      <c r="AX546" s="1797">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20"/>
      <c r="E547" s="3015">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21"/>
      <c r="AV547" s="1797">
        <f t="shared" si="294"/>
        <v>0</v>
      </c>
      <c r="AW547" s="1797">
        <f t="shared" si="295"/>
        <v>0</v>
      </c>
      <c r="AX547" s="1797">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20"/>
      <c r="E548" s="3015">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21"/>
      <c r="AV548" s="1797">
        <f t="shared" si="294"/>
        <v>0</v>
      </c>
      <c r="AW548" s="1797">
        <f t="shared" si="295"/>
        <v>0</v>
      </c>
      <c r="AX548" s="1797">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20"/>
      <c r="E549" s="3015">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21"/>
      <c r="AV549" s="1797">
        <f t="shared" si="294"/>
        <v>0</v>
      </c>
      <c r="AW549" s="1797">
        <f t="shared" si="295"/>
        <v>0</v>
      </c>
      <c r="AX549" s="1797">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20"/>
      <c r="E550" s="3015">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21"/>
      <c r="AV550" s="1797">
        <f t="shared" si="294"/>
        <v>0</v>
      </c>
      <c r="AW550" s="1797">
        <f t="shared" si="295"/>
        <v>0</v>
      </c>
      <c r="AX550" s="1797">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20"/>
      <c r="E551" s="3015">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21"/>
      <c r="AV551" s="1797">
        <f t="shared" si="294"/>
        <v>0</v>
      </c>
      <c r="AW551" s="1797">
        <f t="shared" si="295"/>
        <v>0</v>
      </c>
      <c r="AX551" s="1797">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20"/>
      <c r="E552" s="3015">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21"/>
      <c r="AV552" s="1797">
        <f t="shared" si="294"/>
        <v>0</v>
      </c>
      <c r="AW552" s="1797">
        <f t="shared" si="295"/>
        <v>0</v>
      </c>
      <c r="AX552" s="1797">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20"/>
      <c r="E553" s="3015">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21"/>
      <c r="AV553" s="1797">
        <f t="shared" ref="AV553:AV587" si="326">A553</f>
        <v>0</v>
      </c>
      <c r="AW553" s="1797">
        <f t="shared" ref="AW553:AW587" si="327">B553</f>
        <v>0</v>
      </c>
      <c r="AX553" s="1797">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20"/>
      <c r="E554" s="3015">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21"/>
      <c r="AV554" s="1797">
        <f t="shared" si="326"/>
        <v>0</v>
      </c>
      <c r="AW554" s="1797">
        <f t="shared" si="327"/>
        <v>0</v>
      </c>
      <c r="AX554" s="1797">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20"/>
      <c r="E555" s="3015">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21"/>
      <c r="AV555" s="1797">
        <f t="shared" si="326"/>
        <v>0</v>
      </c>
      <c r="AW555" s="1797">
        <f t="shared" si="327"/>
        <v>0</v>
      </c>
      <c r="AX555" s="1797">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20"/>
      <c r="E556" s="3015">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21"/>
      <c r="AV556" s="1797">
        <f t="shared" si="326"/>
        <v>0</v>
      </c>
      <c r="AW556" s="1797">
        <f t="shared" si="327"/>
        <v>0</v>
      </c>
      <c r="AX556" s="1797">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20"/>
      <c r="E557" s="3015">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21"/>
      <c r="AV557" s="1797">
        <f t="shared" si="326"/>
        <v>0</v>
      </c>
      <c r="AW557" s="1797">
        <f t="shared" si="327"/>
        <v>0</v>
      </c>
      <c r="AX557" s="1797">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20"/>
      <c r="E558" s="3015">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21"/>
      <c r="AV558" s="1797">
        <f t="shared" si="326"/>
        <v>0</v>
      </c>
      <c r="AW558" s="1797">
        <f t="shared" si="327"/>
        <v>0</v>
      </c>
      <c r="AX558" s="1797">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20"/>
      <c r="E559" s="3015">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21"/>
      <c r="AV559" s="1797">
        <f t="shared" si="326"/>
        <v>0</v>
      </c>
      <c r="AW559" s="1797">
        <f t="shared" si="327"/>
        <v>0</v>
      </c>
      <c r="AX559" s="1797">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20"/>
      <c r="E560" s="3015">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21"/>
      <c r="AV560" s="1797">
        <f t="shared" si="326"/>
        <v>0</v>
      </c>
      <c r="AW560" s="1797">
        <f t="shared" si="327"/>
        <v>0</v>
      </c>
      <c r="AX560" s="1797">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20"/>
      <c r="E561" s="3015">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21"/>
      <c r="AV561" s="1797">
        <f t="shared" si="326"/>
        <v>0</v>
      </c>
      <c r="AW561" s="1797">
        <f t="shared" si="327"/>
        <v>0</v>
      </c>
      <c r="AX561" s="1797">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20"/>
      <c r="E562" s="3015">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21"/>
      <c r="AV562" s="1797">
        <f t="shared" si="326"/>
        <v>0</v>
      </c>
      <c r="AW562" s="1797">
        <f t="shared" si="327"/>
        <v>0</v>
      </c>
      <c r="AX562" s="1797">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20"/>
      <c r="E563" s="3015">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21"/>
      <c r="AV563" s="1797">
        <f t="shared" si="326"/>
        <v>0</v>
      </c>
      <c r="AW563" s="1797">
        <f t="shared" si="327"/>
        <v>0</v>
      </c>
      <c r="AX563" s="1797">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20"/>
      <c r="E564" s="3015">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21"/>
      <c r="AV564" s="1797">
        <f t="shared" si="326"/>
        <v>0</v>
      </c>
      <c r="AW564" s="1797">
        <f t="shared" si="327"/>
        <v>0</v>
      </c>
      <c r="AX564" s="1797">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20"/>
      <c r="E565" s="3015">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21"/>
      <c r="AV565" s="1797">
        <f t="shared" si="326"/>
        <v>0</v>
      </c>
      <c r="AW565" s="1797">
        <f t="shared" si="327"/>
        <v>0</v>
      </c>
      <c r="AX565" s="1797">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20"/>
      <c r="E566" s="3015">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21"/>
      <c r="AV566" s="1797">
        <f t="shared" si="326"/>
        <v>0</v>
      </c>
      <c r="AW566" s="1797">
        <f t="shared" si="327"/>
        <v>0</v>
      </c>
      <c r="AX566" s="1797">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20"/>
      <c r="E567" s="3015">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21"/>
      <c r="AV567" s="1797">
        <f t="shared" si="326"/>
        <v>0</v>
      </c>
      <c r="AW567" s="1797">
        <f t="shared" si="327"/>
        <v>0</v>
      </c>
      <c r="AX567" s="1797">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20"/>
      <c r="E568" s="3015">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21"/>
      <c r="AV568" s="1797">
        <f t="shared" si="326"/>
        <v>0</v>
      </c>
      <c r="AW568" s="1797">
        <f t="shared" si="327"/>
        <v>0</v>
      </c>
      <c r="AX568" s="1797">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20"/>
      <c r="E569" s="3015">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21"/>
      <c r="AV569" s="1797">
        <f t="shared" si="326"/>
        <v>0</v>
      </c>
      <c r="AW569" s="1797">
        <f t="shared" si="327"/>
        <v>0</v>
      </c>
      <c r="AX569" s="1797">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20"/>
      <c r="E570" s="3015">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21"/>
      <c r="AV570" s="1797">
        <f t="shared" si="326"/>
        <v>0</v>
      </c>
      <c r="AW570" s="1797">
        <f t="shared" si="327"/>
        <v>0</v>
      </c>
      <c r="AX570" s="1797">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20"/>
      <c r="E571" s="3015">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21"/>
      <c r="AV571" s="1797">
        <f t="shared" si="326"/>
        <v>0</v>
      </c>
      <c r="AW571" s="1797">
        <f t="shared" si="327"/>
        <v>0</v>
      </c>
      <c r="AX571" s="1797">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20"/>
      <c r="E572" s="3015">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21"/>
      <c r="AV572" s="1797">
        <f t="shared" si="326"/>
        <v>0</v>
      </c>
      <c r="AW572" s="1797">
        <f t="shared" si="327"/>
        <v>0</v>
      </c>
      <c r="AX572" s="1797">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20"/>
      <c r="E573" s="3015">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21"/>
      <c r="AV573" s="1797">
        <f t="shared" si="326"/>
        <v>0</v>
      </c>
      <c r="AW573" s="1797">
        <f t="shared" si="327"/>
        <v>0</v>
      </c>
      <c r="AX573" s="1797">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20"/>
      <c r="E574" s="3015">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21"/>
      <c r="AV574" s="1797">
        <f t="shared" si="326"/>
        <v>0</v>
      </c>
      <c r="AW574" s="1797">
        <f t="shared" si="327"/>
        <v>0</v>
      </c>
      <c r="AX574" s="1797">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20"/>
      <c r="E575" s="3015">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21"/>
      <c r="AV575" s="1797">
        <f t="shared" si="326"/>
        <v>0</v>
      </c>
      <c r="AW575" s="1797">
        <f t="shared" si="327"/>
        <v>0</v>
      </c>
      <c r="AX575" s="1797">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20"/>
      <c r="E576" s="3015">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21"/>
      <c r="AV576" s="1797">
        <f t="shared" si="326"/>
        <v>0</v>
      </c>
      <c r="AW576" s="1797">
        <f t="shared" si="327"/>
        <v>0</v>
      </c>
      <c r="AX576" s="1797">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20"/>
      <c r="E577" s="3015">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21"/>
      <c r="AV577" s="1797">
        <f t="shared" si="326"/>
        <v>0</v>
      </c>
      <c r="AW577" s="1797">
        <f t="shared" si="327"/>
        <v>0</v>
      </c>
      <c r="AX577" s="1797">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20"/>
      <c r="E578" s="3015">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21"/>
      <c r="AV578" s="1797">
        <f t="shared" si="326"/>
        <v>0</v>
      </c>
      <c r="AW578" s="1797">
        <f t="shared" si="327"/>
        <v>0</v>
      </c>
      <c r="AX578" s="1797">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20"/>
      <c r="E579" s="3015">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21"/>
      <c r="AV579" s="1797">
        <f t="shared" si="326"/>
        <v>0</v>
      </c>
      <c r="AW579" s="1797">
        <f t="shared" si="327"/>
        <v>0</v>
      </c>
      <c r="AX579" s="1797">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20"/>
      <c r="E580" s="3015">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21"/>
      <c r="AV580" s="1797">
        <f t="shared" si="326"/>
        <v>0</v>
      </c>
      <c r="AW580" s="1797">
        <f t="shared" si="327"/>
        <v>0</v>
      </c>
      <c r="AX580" s="1797">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20"/>
      <c r="E581" s="3015">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21"/>
      <c r="AV581" s="1797">
        <f t="shared" si="326"/>
        <v>0</v>
      </c>
      <c r="AW581" s="1797">
        <f t="shared" si="327"/>
        <v>0</v>
      </c>
      <c r="AX581" s="1797">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20"/>
      <c r="E582" s="3015">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21"/>
      <c r="AV582" s="1797">
        <f t="shared" si="326"/>
        <v>0</v>
      </c>
      <c r="AW582" s="1797">
        <f t="shared" si="327"/>
        <v>0</v>
      </c>
      <c r="AX582" s="1797">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20"/>
      <c r="E583" s="3015">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21"/>
      <c r="AV583" s="1797">
        <f t="shared" si="326"/>
        <v>0</v>
      </c>
      <c r="AW583" s="1797">
        <f t="shared" si="327"/>
        <v>0</v>
      </c>
      <c r="AX583" s="1797">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20"/>
      <c r="E584" s="3015">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21"/>
      <c r="AV584" s="1797">
        <f t="shared" si="326"/>
        <v>0</v>
      </c>
      <c r="AW584" s="1797">
        <f t="shared" si="327"/>
        <v>0</v>
      </c>
      <c r="AX584" s="1797">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20"/>
      <c r="E585" s="3015">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26"/>
        <v>0</v>
      </c>
      <c r="AW585" s="1797">
        <f t="shared" si="327"/>
        <v>0</v>
      </c>
      <c r="AX585" s="1797">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0"/>
      <c r="E586" s="3015">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26"/>
        <v>0</v>
      </c>
      <c r="AW586" s="1797">
        <f t="shared" si="327"/>
        <v>0</v>
      </c>
      <c r="AX586" s="1797">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0"/>
      <c r="E587" s="3015">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26"/>
        <v>0</v>
      </c>
      <c r="AW587" s="1797">
        <f t="shared" si="327"/>
        <v>0</v>
      </c>
      <c r="AX587" s="1797">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4" customFormat="1">
      <c r="A588" s="2222"/>
      <c r="B588" s="2222"/>
      <c r="C588" s="2222"/>
      <c r="D588" s="2222"/>
      <c r="E588" s="3016"/>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c r="E589" s="3017"/>
    </row>
    <row r="590" spans="1:72" s="2225" customFormat="1">
      <c r="C590" s="2226"/>
      <c r="D590" s="2226"/>
      <c r="E590" s="3017"/>
    </row>
    <row r="593" spans="2:2">
      <c r="B593" s="2226"/>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92"/>
    <col min="3" max="3" width="12.375" style="2992" bestFit="1" customWidth="1"/>
    <col min="4" max="4" width="9" style="2992"/>
    <col min="5" max="5" width="10" style="2992" bestFit="1" customWidth="1"/>
    <col min="6" max="6" width="9" style="2992"/>
    <col min="7" max="7" width="38.375" style="2992" bestFit="1" customWidth="1"/>
    <col min="8" max="8" width="50.25" style="2992" bestFit="1" customWidth="1"/>
    <col min="9" max="9" width="28.625" style="2992" bestFit="1" customWidth="1"/>
    <col min="10" max="16384" width="9" style="2992"/>
  </cols>
  <sheetData>
    <row r="1" spans="1:11" s="2991" customFormat="1" ht="25.5" customHeight="1">
      <c r="A1" s="3097" t="s">
        <v>3364</v>
      </c>
      <c r="B1" s="3098"/>
      <c r="C1" s="3098"/>
      <c r="D1" s="3098"/>
      <c r="E1" s="3098"/>
      <c r="F1" s="3098"/>
      <c r="G1" s="3098"/>
      <c r="H1" s="3098"/>
      <c r="I1" s="3099"/>
      <c r="J1" s="2998"/>
      <c r="K1" s="2998"/>
    </row>
    <row r="2" spans="1:11" s="2991" customFormat="1" ht="35.450000000000003" customHeight="1">
      <c r="A2" s="3100" t="s">
        <v>3365</v>
      </c>
      <c r="B2" s="3098"/>
      <c r="C2" s="3098"/>
      <c r="D2" s="3098"/>
      <c r="E2" s="3098"/>
      <c r="F2" s="3098"/>
      <c r="G2" s="3098"/>
      <c r="H2" s="3098"/>
      <c r="I2" s="3099"/>
      <c r="J2" s="2998"/>
      <c r="K2" s="2998"/>
    </row>
    <row r="3" spans="1:11" s="2991" customFormat="1" ht="25.5" customHeight="1">
      <c r="A3" s="3100" t="s">
        <v>3366</v>
      </c>
      <c r="B3" s="3098"/>
      <c r="C3" s="3098"/>
      <c r="D3" s="3098"/>
      <c r="E3" s="3098"/>
      <c r="F3" s="3098"/>
      <c r="G3" s="3098"/>
      <c r="H3" s="3098"/>
      <c r="I3" s="3099"/>
      <c r="J3" s="2998"/>
      <c r="K3" s="2998"/>
    </row>
    <row r="4" spans="1:11" ht="20.100000000000001" customHeight="1">
      <c r="A4" s="3101" t="s">
        <v>3048</v>
      </c>
      <c r="B4" s="3101" t="s">
        <v>3049</v>
      </c>
      <c r="C4" s="3101" t="s">
        <v>3050</v>
      </c>
      <c r="D4" s="3102" t="s">
        <v>3051</v>
      </c>
      <c r="E4" s="3101" t="s">
        <v>3052</v>
      </c>
      <c r="F4" s="3101" t="s">
        <v>3053</v>
      </c>
      <c r="G4" s="3101" t="s">
        <v>3367</v>
      </c>
      <c r="H4" s="3101" t="s">
        <v>3368</v>
      </c>
      <c r="I4" s="3101" t="s">
        <v>3369</v>
      </c>
      <c r="J4" s="3096" t="s">
        <v>3759</v>
      </c>
      <c r="K4" s="3096" t="s">
        <v>3760</v>
      </c>
    </row>
    <row r="5" spans="1:11" ht="20.100000000000001" customHeight="1">
      <c r="A5" s="3101"/>
      <c r="B5" s="3101"/>
      <c r="C5" s="3101"/>
      <c r="D5" s="3102"/>
      <c r="E5" s="3101"/>
      <c r="F5" s="3101"/>
      <c r="G5" s="3101"/>
      <c r="H5" s="3101"/>
      <c r="I5" s="3101"/>
      <c r="J5" s="3096"/>
      <c r="K5" s="3096"/>
    </row>
    <row r="6" spans="1:11" ht="25.5" customHeight="1">
      <c r="A6" s="2993">
        <v>1</v>
      </c>
      <c r="B6" s="2993" t="s">
        <v>3370</v>
      </c>
      <c r="C6" s="2994" t="s">
        <v>3371</v>
      </c>
      <c r="D6" s="2995">
        <v>94.72</v>
      </c>
      <c r="E6" s="2994" t="s">
        <v>3054</v>
      </c>
      <c r="F6" s="2994" t="s">
        <v>27</v>
      </c>
      <c r="G6" s="2996" t="s">
        <v>3372</v>
      </c>
      <c r="H6" s="2996" t="s">
        <v>3373</v>
      </c>
      <c r="I6" s="2996" t="s">
        <v>3127</v>
      </c>
      <c r="J6" s="2999">
        <f ca="1">典型户型修正!R147</f>
        <v>9861</v>
      </c>
      <c r="K6" s="2999">
        <f ca="1">典型户型修正!S147</f>
        <v>80</v>
      </c>
    </row>
    <row r="7" spans="1:11" ht="25.5" customHeight="1">
      <c r="A7" s="2994">
        <v>2</v>
      </c>
      <c r="B7" s="2994" t="s">
        <v>3370</v>
      </c>
      <c r="C7" s="2994" t="s">
        <v>3374</v>
      </c>
      <c r="D7" s="2995">
        <v>94.72</v>
      </c>
      <c r="E7" s="2994" t="s">
        <v>3054</v>
      </c>
      <c r="F7" s="2994" t="s">
        <v>27</v>
      </c>
      <c r="G7" s="2996" t="s">
        <v>3375</v>
      </c>
      <c r="H7" s="2996" t="s">
        <v>3376</v>
      </c>
      <c r="I7" s="2996" t="s">
        <v>3127</v>
      </c>
      <c r="J7" s="2999">
        <f ca="1">典型户型修正!R148</f>
        <v>9861</v>
      </c>
      <c r="K7" s="2999">
        <f ca="1">典型户型修正!S148</f>
        <v>66</v>
      </c>
    </row>
    <row r="8" spans="1:11" ht="25.5" customHeight="1">
      <c r="A8" s="2994">
        <v>3</v>
      </c>
      <c r="B8" s="2994" t="s">
        <v>3370</v>
      </c>
      <c r="C8" s="2994" t="s">
        <v>3377</v>
      </c>
      <c r="D8" s="2995">
        <v>94.72</v>
      </c>
      <c r="E8" s="2994" t="s">
        <v>3054</v>
      </c>
      <c r="F8" s="2994" t="s">
        <v>27</v>
      </c>
      <c r="G8" s="2996" t="s">
        <v>3378</v>
      </c>
      <c r="H8" s="2996" t="s">
        <v>3379</v>
      </c>
      <c r="I8" s="2996" t="s">
        <v>3127</v>
      </c>
      <c r="J8" s="2999">
        <f ca="1">典型户型修正!R149</f>
        <v>9861</v>
      </c>
      <c r="K8" s="2999">
        <f ca="1">典型户型修正!S149</f>
        <v>66</v>
      </c>
    </row>
    <row r="9" spans="1:11" ht="25.5" customHeight="1">
      <c r="A9" s="2994">
        <v>4</v>
      </c>
      <c r="B9" s="2994" t="s">
        <v>3370</v>
      </c>
      <c r="C9" s="2994" t="s">
        <v>3380</v>
      </c>
      <c r="D9" s="2995">
        <v>94.72</v>
      </c>
      <c r="E9" s="2994" t="s">
        <v>3054</v>
      </c>
      <c r="F9" s="2994" t="s">
        <v>27</v>
      </c>
      <c r="G9" s="2996" t="s">
        <v>3381</v>
      </c>
      <c r="H9" s="2996" t="s">
        <v>3382</v>
      </c>
      <c r="I9" s="2996" t="s">
        <v>3127</v>
      </c>
      <c r="J9" s="2999">
        <f ca="1">典型户型修正!R150</f>
        <v>9861</v>
      </c>
      <c r="K9" s="2999">
        <f ca="1">典型户型修正!S150</f>
        <v>80</v>
      </c>
    </row>
    <row r="10" spans="1:11" ht="25.5" customHeight="1">
      <c r="A10" s="2994">
        <v>5</v>
      </c>
      <c r="B10" s="2994" t="s">
        <v>3370</v>
      </c>
      <c r="C10" s="2994" t="s">
        <v>3383</v>
      </c>
      <c r="D10" s="2995">
        <v>198.06</v>
      </c>
      <c r="E10" s="2994" t="s">
        <v>3054</v>
      </c>
      <c r="F10" s="2994" t="s">
        <v>27</v>
      </c>
      <c r="G10" s="2996" t="s">
        <v>3384</v>
      </c>
      <c r="H10" s="2996" t="s">
        <v>3385</v>
      </c>
      <c r="I10" s="2996" t="s">
        <v>3127</v>
      </c>
      <c r="J10" s="2999">
        <f ca="1">典型户型修正!R151</f>
        <v>9960</v>
      </c>
      <c r="K10" s="2999">
        <f ca="1">典型户型修正!S151</f>
        <v>52</v>
      </c>
    </row>
    <row r="11" spans="1:11" ht="25.5" customHeight="1">
      <c r="A11" s="2994">
        <v>6</v>
      </c>
      <c r="B11" s="2994" t="s">
        <v>3370</v>
      </c>
      <c r="C11" s="2994" t="s">
        <v>3386</v>
      </c>
      <c r="D11" s="2995">
        <v>198.06</v>
      </c>
      <c r="E11" s="2994" t="s">
        <v>3054</v>
      </c>
      <c r="F11" s="2994" t="s">
        <v>27</v>
      </c>
      <c r="G11" s="2996" t="s">
        <v>3387</v>
      </c>
      <c r="H11" s="2996" t="s">
        <v>3388</v>
      </c>
      <c r="I11" s="2996" t="s">
        <v>3127</v>
      </c>
      <c r="J11" s="2999">
        <f ca="1">典型户型修正!R152</f>
        <v>9960</v>
      </c>
      <c r="K11" s="2999">
        <f ca="1">典型户型修正!S152</f>
        <v>52</v>
      </c>
    </row>
    <row r="12" spans="1:11" ht="25.5" customHeight="1">
      <c r="A12" s="2994">
        <v>7</v>
      </c>
      <c r="B12" s="2994" t="s">
        <v>3370</v>
      </c>
      <c r="C12" s="2994" t="s">
        <v>3389</v>
      </c>
      <c r="D12" s="2995">
        <v>198.06</v>
      </c>
      <c r="E12" s="2994" t="s">
        <v>3054</v>
      </c>
      <c r="F12" s="2994" t="s">
        <v>27</v>
      </c>
      <c r="G12" s="2996" t="s">
        <v>3390</v>
      </c>
      <c r="H12" s="2996" t="s">
        <v>3391</v>
      </c>
      <c r="I12" s="2996" t="s">
        <v>3127</v>
      </c>
      <c r="J12" s="2999">
        <f ca="1">典型户型修正!R153</f>
        <v>9960</v>
      </c>
      <c r="K12" s="2999">
        <f ca="1">典型户型修正!S153</f>
        <v>52</v>
      </c>
    </row>
    <row r="13" spans="1:11" ht="25.5" customHeight="1">
      <c r="A13" s="2994">
        <v>8</v>
      </c>
      <c r="B13" s="2994" t="s">
        <v>3370</v>
      </c>
      <c r="C13" s="2994" t="s">
        <v>3392</v>
      </c>
      <c r="D13" s="2995">
        <v>226.35</v>
      </c>
      <c r="E13" s="2994" t="s">
        <v>3054</v>
      </c>
      <c r="F13" s="2994" t="s">
        <v>27</v>
      </c>
      <c r="G13" s="2996" t="s">
        <v>3393</v>
      </c>
      <c r="H13" s="2996" t="s">
        <v>3394</v>
      </c>
      <c r="I13" s="2996" t="s">
        <v>3127</v>
      </c>
      <c r="J13" s="2999">
        <f ca="1">典型户型修正!R154</f>
        <v>9960</v>
      </c>
      <c r="K13" s="2999">
        <f ca="1">典型户型修正!S154</f>
        <v>52</v>
      </c>
    </row>
    <row r="14" spans="1:11" ht="25.5" customHeight="1">
      <c r="A14" s="2994">
        <v>9</v>
      </c>
      <c r="B14" s="2994" t="s">
        <v>3370</v>
      </c>
      <c r="C14" s="2994" t="s">
        <v>3395</v>
      </c>
      <c r="D14" s="2995">
        <v>47.36</v>
      </c>
      <c r="E14" s="2994" t="s">
        <v>3054</v>
      </c>
      <c r="F14" s="2994" t="s">
        <v>27</v>
      </c>
      <c r="G14" s="2996" t="s">
        <v>3396</v>
      </c>
      <c r="H14" s="2996" t="s">
        <v>3397</v>
      </c>
      <c r="I14" s="2996" t="s">
        <v>3127</v>
      </c>
      <c r="J14" s="2999">
        <f ca="1">典型户型修正!R155</f>
        <v>9960</v>
      </c>
      <c r="K14" s="2999">
        <f ca="1">典型户型修正!S155</f>
        <v>52</v>
      </c>
    </row>
    <row r="15" spans="1:11" ht="25.5" customHeight="1">
      <c r="A15" s="2994">
        <v>10</v>
      </c>
      <c r="B15" s="2994" t="s">
        <v>3370</v>
      </c>
      <c r="C15" s="2994" t="s">
        <v>3398</v>
      </c>
      <c r="D15" s="2995">
        <v>73.3</v>
      </c>
      <c r="E15" s="2994" t="s">
        <v>3054</v>
      </c>
      <c r="F15" s="2994" t="s">
        <v>27</v>
      </c>
      <c r="G15" s="2996" t="s">
        <v>3399</v>
      </c>
      <c r="H15" s="2996" t="s">
        <v>3400</v>
      </c>
      <c r="I15" s="2996" t="s">
        <v>3127</v>
      </c>
      <c r="J15" s="2999">
        <f ca="1">典型户型修正!R156</f>
        <v>9960</v>
      </c>
      <c r="K15" s="2999">
        <f ca="1">典型户型修正!S156</f>
        <v>52</v>
      </c>
    </row>
    <row r="16" spans="1:11" ht="25.5" customHeight="1">
      <c r="A16" s="2994">
        <v>11</v>
      </c>
      <c r="B16" s="2994" t="s">
        <v>3370</v>
      </c>
      <c r="C16" s="2994" t="s">
        <v>3401</v>
      </c>
      <c r="D16" s="2995">
        <v>47.36</v>
      </c>
      <c r="E16" s="2994" t="s">
        <v>3054</v>
      </c>
      <c r="F16" s="2994" t="s">
        <v>27</v>
      </c>
      <c r="G16" s="2996" t="s">
        <v>3402</v>
      </c>
      <c r="H16" s="2996" t="s">
        <v>3403</v>
      </c>
      <c r="I16" s="2996" t="s">
        <v>3127</v>
      </c>
      <c r="J16" s="2999">
        <f ca="1">典型户型修正!R157</f>
        <v>9960</v>
      </c>
      <c r="K16" s="2999">
        <f ca="1">典型户型修正!S157</f>
        <v>52</v>
      </c>
    </row>
    <row r="17" spans="1:11" ht="25.5" customHeight="1">
      <c r="A17" s="2994">
        <v>12</v>
      </c>
      <c r="B17" s="2994" t="s">
        <v>3370</v>
      </c>
      <c r="C17" s="2994" t="s">
        <v>3404</v>
      </c>
      <c r="D17" s="2995">
        <v>94.72</v>
      </c>
      <c r="E17" s="2994" t="s">
        <v>3054</v>
      </c>
      <c r="F17" s="2994" t="s">
        <v>27</v>
      </c>
      <c r="G17" s="2996" t="s">
        <v>3405</v>
      </c>
      <c r="H17" s="2996" t="s">
        <v>3406</v>
      </c>
      <c r="I17" s="2996" t="s">
        <v>3127</v>
      </c>
      <c r="J17" s="2999">
        <f ca="1">典型户型修正!R158</f>
        <v>9960</v>
      </c>
      <c r="K17" s="2999">
        <f ca="1">典型户型修正!S158</f>
        <v>52</v>
      </c>
    </row>
    <row r="18" spans="1:11" ht="25.5" customHeight="1">
      <c r="A18" s="2994">
        <v>13</v>
      </c>
      <c r="B18" s="2994" t="s">
        <v>3370</v>
      </c>
      <c r="C18" s="2994" t="s">
        <v>3407</v>
      </c>
      <c r="D18" s="2995">
        <v>94.72</v>
      </c>
      <c r="E18" s="2994" t="s">
        <v>3054</v>
      </c>
      <c r="F18" s="2994" t="s">
        <v>27</v>
      </c>
      <c r="G18" s="2996" t="s">
        <v>3408</v>
      </c>
      <c r="H18" s="2996" t="s">
        <v>3409</v>
      </c>
      <c r="I18" s="2996" t="s">
        <v>3127</v>
      </c>
      <c r="J18" s="2999">
        <f ca="1">典型户型修正!R159</f>
        <v>9960</v>
      </c>
      <c r="K18" s="2999">
        <f ca="1">典型户型修正!S159</f>
        <v>52</v>
      </c>
    </row>
    <row r="19" spans="1:11" ht="25.5" customHeight="1">
      <c r="A19" s="2994">
        <v>14</v>
      </c>
      <c r="B19" s="2994" t="s">
        <v>3370</v>
      </c>
      <c r="C19" s="2994" t="s">
        <v>3410</v>
      </c>
      <c r="D19" s="2995">
        <v>94.72</v>
      </c>
      <c r="E19" s="2994" t="s">
        <v>3054</v>
      </c>
      <c r="F19" s="2994" t="s">
        <v>27</v>
      </c>
      <c r="G19" s="2996" t="s">
        <v>3411</v>
      </c>
      <c r="H19" s="2996" t="s">
        <v>3412</v>
      </c>
      <c r="I19" s="2996" t="s">
        <v>3127</v>
      </c>
      <c r="J19" s="2999">
        <f ca="1">典型户型修正!R160</f>
        <v>9861</v>
      </c>
      <c r="K19" s="2999">
        <f ca="1">典型户型修正!S160</f>
        <v>80</v>
      </c>
    </row>
    <row r="20" spans="1:11" ht="25.5" customHeight="1">
      <c r="A20" s="2994">
        <v>15</v>
      </c>
      <c r="B20" s="2994" t="s">
        <v>3370</v>
      </c>
      <c r="C20" s="2994" t="s">
        <v>3413</v>
      </c>
      <c r="D20" s="2995">
        <v>94.72</v>
      </c>
      <c r="E20" s="2994" t="s">
        <v>3054</v>
      </c>
      <c r="F20" s="2994" t="s">
        <v>27</v>
      </c>
      <c r="G20" s="2996" t="s">
        <v>3414</v>
      </c>
      <c r="H20" s="2996" t="s">
        <v>3415</v>
      </c>
      <c r="I20" s="2996" t="s">
        <v>3127</v>
      </c>
      <c r="J20" s="2999">
        <f ca="1">典型户型修正!R161</f>
        <v>9861</v>
      </c>
      <c r="K20" s="2999">
        <f ca="1">典型户型修正!S161</f>
        <v>92</v>
      </c>
    </row>
    <row r="21" spans="1:11" ht="25.5" customHeight="1">
      <c r="A21" s="2994">
        <v>16</v>
      </c>
      <c r="B21" s="2994" t="s">
        <v>3370</v>
      </c>
      <c r="C21" s="2994" t="s">
        <v>3416</v>
      </c>
      <c r="D21" s="2995">
        <v>198.06</v>
      </c>
      <c r="E21" s="2994" t="s">
        <v>3054</v>
      </c>
      <c r="F21" s="2994" t="s">
        <v>27</v>
      </c>
      <c r="G21" s="2996" t="s">
        <v>3417</v>
      </c>
      <c r="H21" s="2996" t="s">
        <v>3418</v>
      </c>
      <c r="I21" s="2996" t="s">
        <v>3127</v>
      </c>
      <c r="J21" s="2999">
        <f ca="1">典型户型修正!R162</f>
        <v>9861</v>
      </c>
      <c r="K21" s="2999">
        <f ca="1">典型户型修正!S162</f>
        <v>92</v>
      </c>
    </row>
    <row r="22" spans="1:11" ht="25.5" customHeight="1">
      <c r="A22" s="2994">
        <v>17</v>
      </c>
      <c r="B22" s="2994" t="s">
        <v>3370</v>
      </c>
      <c r="C22" s="2994" t="s">
        <v>3419</v>
      </c>
      <c r="D22" s="2995">
        <v>198.06</v>
      </c>
      <c r="E22" s="2994" t="s">
        <v>3054</v>
      </c>
      <c r="F22" s="2994" t="s">
        <v>27</v>
      </c>
      <c r="G22" s="2996" t="s">
        <v>3420</v>
      </c>
      <c r="H22" s="2996" t="s">
        <v>3421</v>
      </c>
      <c r="I22" s="2996" t="s">
        <v>3127</v>
      </c>
      <c r="J22" s="2999">
        <f ca="1">典型户型修正!R163</f>
        <v>9861</v>
      </c>
      <c r="K22" s="2999">
        <f ca="1">典型户型修正!S163</f>
        <v>80</v>
      </c>
    </row>
    <row r="23" spans="1:11" ht="25.5" customHeight="1">
      <c r="A23" s="2994">
        <v>18</v>
      </c>
      <c r="B23" s="2994" t="s">
        <v>3370</v>
      </c>
      <c r="C23" s="2994" t="s">
        <v>3422</v>
      </c>
      <c r="D23" s="2995">
        <v>198.06</v>
      </c>
      <c r="E23" s="2994" t="s">
        <v>3054</v>
      </c>
      <c r="F23" s="2994" t="s">
        <v>27</v>
      </c>
      <c r="G23" s="2996" t="s">
        <v>3423</v>
      </c>
      <c r="H23" s="2996" t="s">
        <v>3424</v>
      </c>
      <c r="I23" s="2996" t="s">
        <v>3127</v>
      </c>
      <c r="J23" s="2999">
        <f ca="1">典型户型修正!R164</f>
        <v>9960</v>
      </c>
      <c r="K23" s="2999">
        <f ca="1">典型户型修正!S164</f>
        <v>52</v>
      </c>
    </row>
    <row r="24" spans="1:11" ht="25.5" customHeight="1">
      <c r="A24" s="2994">
        <v>19</v>
      </c>
      <c r="B24" s="2994" t="s">
        <v>3370</v>
      </c>
      <c r="C24" s="2994" t="s">
        <v>3425</v>
      </c>
      <c r="D24" s="2995">
        <v>226.35</v>
      </c>
      <c r="E24" s="2994" t="s">
        <v>3054</v>
      </c>
      <c r="F24" s="2994" t="s">
        <v>27</v>
      </c>
      <c r="G24" s="2996" t="s">
        <v>3426</v>
      </c>
      <c r="H24" s="2996" t="s">
        <v>3427</v>
      </c>
      <c r="I24" s="2996" t="s">
        <v>3127</v>
      </c>
      <c r="J24" s="2999">
        <f ca="1">典型户型修正!R165</f>
        <v>9960</v>
      </c>
      <c r="K24" s="2999">
        <f ca="1">典型户型修正!S165</f>
        <v>52</v>
      </c>
    </row>
    <row r="25" spans="1:11" ht="25.5" customHeight="1">
      <c r="A25" s="2994">
        <v>20</v>
      </c>
      <c r="B25" s="2994" t="s">
        <v>3370</v>
      </c>
      <c r="C25" s="2994" t="s">
        <v>3428</v>
      </c>
      <c r="D25" s="2995">
        <v>47.36</v>
      </c>
      <c r="E25" s="2994" t="s">
        <v>3054</v>
      </c>
      <c r="F25" s="2994" t="s">
        <v>27</v>
      </c>
      <c r="G25" s="2996" t="s">
        <v>3429</v>
      </c>
      <c r="H25" s="2996" t="s">
        <v>3430</v>
      </c>
      <c r="I25" s="2996" t="s">
        <v>3127</v>
      </c>
      <c r="J25" s="2999">
        <f ca="1">典型户型修正!R166</f>
        <v>9960</v>
      </c>
      <c r="K25" s="2999">
        <f ca="1">典型户型修正!S166</f>
        <v>52</v>
      </c>
    </row>
    <row r="26" spans="1:11" ht="25.5" customHeight="1">
      <c r="A26" s="2994">
        <v>21</v>
      </c>
      <c r="B26" s="2994" t="s">
        <v>3370</v>
      </c>
      <c r="C26" s="2994" t="s">
        <v>3431</v>
      </c>
      <c r="D26" s="2995">
        <v>73.3</v>
      </c>
      <c r="E26" s="2994" t="s">
        <v>3054</v>
      </c>
      <c r="F26" s="2994" t="s">
        <v>27</v>
      </c>
      <c r="G26" s="2996" t="s">
        <v>3432</v>
      </c>
      <c r="H26" s="2996" t="s">
        <v>3433</v>
      </c>
      <c r="I26" s="2996" t="s">
        <v>3127</v>
      </c>
      <c r="J26" s="2999">
        <f ca="1">典型户型修正!R167</f>
        <v>9960</v>
      </c>
      <c r="K26" s="2999">
        <f ca="1">典型户型修正!S167</f>
        <v>52</v>
      </c>
    </row>
    <row r="27" spans="1:11" ht="25.5" customHeight="1">
      <c r="A27" s="2994">
        <v>22</v>
      </c>
      <c r="B27" s="2994" t="s">
        <v>3370</v>
      </c>
      <c r="C27" s="2994" t="s">
        <v>3434</v>
      </c>
      <c r="D27" s="2995">
        <v>135.76</v>
      </c>
      <c r="E27" s="2994" t="s">
        <v>3054</v>
      </c>
      <c r="F27" s="2994" t="s">
        <v>27</v>
      </c>
      <c r="G27" s="2996" t="s">
        <v>3435</v>
      </c>
      <c r="H27" s="2996" t="s">
        <v>3436</v>
      </c>
      <c r="I27" s="2996" t="s">
        <v>3127</v>
      </c>
      <c r="J27" s="2999">
        <f ca="1">典型户型修正!R168</f>
        <v>9960</v>
      </c>
      <c r="K27" s="2999">
        <f ca="1">典型户型修正!S168</f>
        <v>52</v>
      </c>
    </row>
    <row r="28" spans="1:11" ht="25.5" customHeight="1">
      <c r="A28" s="2994">
        <v>23</v>
      </c>
      <c r="B28" s="2994" t="s">
        <v>3370</v>
      </c>
      <c r="C28" s="2994" t="s">
        <v>3437</v>
      </c>
      <c r="D28" s="2995">
        <v>49.45</v>
      </c>
      <c r="E28" s="2994" t="s">
        <v>3054</v>
      </c>
      <c r="F28" s="2994" t="s">
        <v>27</v>
      </c>
      <c r="G28" s="2996" t="s">
        <v>3438</v>
      </c>
      <c r="H28" s="2996" t="s">
        <v>3439</v>
      </c>
      <c r="I28" s="2996" t="s">
        <v>3127</v>
      </c>
      <c r="J28" s="2999">
        <f ca="1">典型户型修正!R169</f>
        <v>9960</v>
      </c>
      <c r="K28" s="2999">
        <f ca="1">典型户型修正!S169</f>
        <v>52</v>
      </c>
    </row>
    <row r="29" spans="1:11" ht="25.5" customHeight="1">
      <c r="A29" s="2994">
        <v>24</v>
      </c>
      <c r="B29" s="2994" t="s">
        <v>3370</v>
      </c>
      <c r="C29" s="2994" t="s">
        <v>3440</v>
      </c>
      <c r="D29" s="2995">
        <v>49.45</v>
      </c>
      <c r="E29" s="2994" t="s">
        <v>3054</v>
      </c>
      <c r="F29" s="2994" t="s">
        <v>27</v>
      </c>
      <c r="G29" s="2996" t="s">
        <v>3441</v>
      </c>
      <c r="H29" s="2996" t="s">
        <v>3442</v>
      </c>
      <c r="I29" s="2996" t="s">
        <v>3127</v>
      </c>
      <c r="J29" s="2999">
        <f ca="1">典型户型修正!R170</f>
        <v>9960</v>
      </c>
      <c r="K29" s="2999">
        <f ca="1">典型户型修正!S170</f>
        <v>52</v>
      </c>
    </row>
    <row r="30" spans="1:11" ht="25.5" customHeight="1">
      <c r="A30" s="2994">
        <v>25</v>
      </c>
      <c r="B30" s="2994" t="s">
        <v>3370</v>
      </c>
      <c r="C30" s="2994" t="s">
        <v>3443</v>
      </c>
      <c r="D30" s="2995">
        <v>76.540000000000006</v>
      </c>
      <c r="E30" s="2994" t="s">
        <v>3054</v>
      </c>
      <c r="F30" s="2994" t="s">
        <v>27</v>
      </c>
      <c r="G30" s="2996" t="s">
        <v>3444</v>
      </c>
      <c r="H30" s="2996" t="s">
        <v>3445</v>
      </c>
      <c r="I30" s="2996" t="s">
        <v>3127</v>
      </c>
      <c r="J30" s="2999">
        <f ca="1">典型户型修正!R171</f>
        <v>9960</v>
      </c>
      <c r="K30" s="2999">
        <f ca="1">典型户型修正!S171</f>
        <v>52</v>
      </c>
    </row>
    <row r="31" spans="1:11" ht="25.5" customHeight="1">
      <c r="A31" s="2994">
        <v>26</v>
      </c>
      <c r="B31" s="2994" t="s">
        <v>3370</v>
      </c>
      <c r="C31" s="2994" t="s">
        <v>3446</v>
      </c>
      <c r="D31" s="2995">
        <v>135.76</v>
      </c>
      <c r="E31" s="2994" t="s">
        <v>3054</v>
      </c>
      <c r="F31" s="2994" t="s">
        <v>27</v>
      </c>
      <c r="G31" s="2996" t="s">
        <v>3447</v>
      </c>
      <c r="H31" s="2996" t="s">
        <v>3448</v>
      </c>
      <c r="I31" s="2996" t="s">
        <v>3127</v>
      </c>
      <c r="J31" s="2999">
        <f ca="1">典型户型修正!R172</f>
        <v>9960</v>
      </c>
      <c r="K31" s="2999">
        <f ca="1">典型户型修正!S172</f>
        <v>52</v>
      </c>
    </row>
    <row r="32" spans="1:11" ht="25.5" customHeight="1">
      <c r="A32" s="2994">
        <v>27</v>
      </c>
      <c r="B32" s="2994" t="s">
        <v>3370</v>
      </c>
      <c r="C32" s="2997" t="s">
        <v>3449</v>
      </c>
      <c r="D32" s="2995">
        <v>76.540000000000006</v>
      </c>
      <c r="E32" s="2994" t="s">
        <v>3054</v>
      </c>
      <c r="F32" s="2994" t="s">
        <v>27</v>
      </c>
      <c r="G32" s="2996" t="s">
        <v>3450</v>
      </c>
      <c r="H32" s="2996" t="s">
        <v>3451</v>
      </c>
      <c r="I32" s="2996" t="s">
        <v>3127</v>
      </c>
      <c r="J32" s="2999">
        <f ca="1">典型户型修正!R173</f>
        <v>9960</v>
      </c>
      <c r="K32" s="2999">
        <f ca="1">典型户型修正!S173</f>
        <v>52</v>
      </c>
    </row>
    <row r="33" spans="1:11" ht="25.5" customHeight="1">
      <c r="A33" s="2994">
        <v>28</v>
      </c>
      <c r="B33" s="2994" t="s">
        <v>3370</v>
      </c>
      <c r="C33" s="2997" t="s">
        <v>3452</v>
      </c>
      <c r="D33" s="2995">
        <v>49.45</v>
      </c>
      <c r="E33" s="2994" t="s">
        <v>3054</v>
      </c>
      <c r="F33" s="2994" t="s">
        <v>27</v>
      </c>
      <c r="G33" s="2996" t="s">
        <v>3453</v>
      </c>
      <c r="H33" s="2996" t="s">
        <v>3454</v>
      </c>
      <c r="I33" s="2996" t="s">
        <v>3127</v>
      </c>
      <c r="J33" s="2999">
        <f ca="1">典型户型修正!R174</f>
        <v>9861</v>
      </c>
      <c r="K33" s="2999">
        <f ca="1">典型户型修正!S174</f>
        <v>80</v>
      </c>
    </row>
    <row r="34" spans="1:11" ht="25.5" customHeight="1">
      <c r="A34" s="2994">
        <v>29</v>
      </c>
      <c r="B34" s="2994" t="s">
        <v>3370</v>
      </c>
      <c r="C34" s="2997" t="s">
        <v>3455</v>
      </c>
      <c r="D34" s="2995">
        <v>98.91</v>
      </c>
      <c r="E34" s="2994" t="s">
        <v>3054</v>
      </c>
      <c r="F34" s="2994" t="s">
        <v>27</v>
      </c>
      <c r="G34" s="2996" t="s">
        <v>3456</v>
      </c>
      <c r="H34" s="2996" t="s">
        <v>3457</v>
      </c>
      <c r="I34" s="2996" t="s">
        <v>3127</v>
      </c>
      <c r="J34" s="2999">
        <f ca="1">典型户型修正!R175</f>
        <v>9861</v>
      </c>
      <c r="K34" s="2999">
        <f ca="1">典型户型修正!S175</f>
        <v>66</v>
      </c>
    </row>
    <row r="35" spans="1:11" ht="25.5" customHeight="1">
      <c r="A35" s="2994">
        <v>30</v>
      </c>
      <c r="B35" s="2994" t="s">
        <v>3370</v>
      </c>
      <c r="C35" s="2997" t="s">
        <v>3458</v>
      </c>
      <c r="D35" s="2995">
        <v>98.91</v>
      </c>
      <c r="E35" s="2994" t="s">
        <v>3054</v>
      </c>
      <c r="F35" s="2994" t="s">
        <v>27</v>
      </c>
      <c r="G35" s="2996" t="s">
        <v>3459</v>
      </c>
      <c r="H35" s="2996" t="s">
        <v>3460</v>
      </c>
      <c r="I35" s="2996" t="s">
        <v>3127</v>
      </c>
      <c r="J35" s="2999">
        <f ca="1">典型户型修正!R176</f>
        <v>9861</v>
      </c>
      <c r="K35" s="2999">
        <f ca="1">典型户型修正!S176</f>
        <v>66</v>
      </c>
    </row>
    <row r="36" spans="1:11" ht="25.5" customHeight="1">
      <c r="A36" s="2994">
        <v>31</v>
      </c>
      <c r="B36" s="2994" t="s">
        <v>3370</v>
      </c>
      <c r="C36" s="2997" t="s">
        <v>3461</v>
      </c>
      <c r="D36" s="2995">
        <v>98.91</v>
      </c>
      <c r="E36" s="2994" t="s">
        <v>3054</v>
      </c>
      <c r="F36" s="2994" t="s">
        <v>27</v>
      </c>
      <c r="G36" s="2996" t="s">
        <v>3462</v>
      </c>
      <c r="H36" s="2996" t="s">
        <v>3463</v>
      </c>
      <c r="I36" s="2996" t="s">
        <v>3127</v>
      </c>
      <c r="J36" s="2999">
        <f ca="1">典型户型修正!R177</f>
        <v>9861</v>
      </c>
      <c r="K36" s="2999">
        <f ca="1">典型户型修正!S177</f>
        <v>80</v>
      </c>
    </row>
    <row r="37" spans="1:11" ht="25.5" customHeight="1">
      <c r="A37" s="2994">
        <v>32</v>
      </c>
      <c r="B37" s="2994" t="s">
        <v>3464</v>
      </c>
      <c r="C37" s="2997" t="s">
        <v>3465</v>
      </c>
      <c r="D37" s="2995">
        <v>98.91</v>
      </c>
      <c r="E37" s="2994" t="s">
        <v>3054</v>
      </c>
      <c r="F37" s="2994" t="s">
        <v>27</v>
      </c>
      <c r="G37" s="2996" t="s">
        <v>3466</v>
      </c>
      <c r="H37" s="2996" t="s">
        <v>3467</v>
      </c>
      <c r="I37" s="2996" t="s">
        <v>3127</v>
      </c>
      <c r="J37" s="2999">
        <f ca="1">典型户型修正!R178</f>
        <v>9960</v>
      </c>
      <c r="K37" s="2999">
        <f ca="1">典型户型修正!S178</f>
        <v>52</v>
      </c>
    </row>
    <row r="38" spans="1:11" ht="25.5" customHeight="1">
      <c r="A38" s="2994">
        <v>33</v>
      </c>
      <c r="B38" s="2994" t="s">
        <v>3464</v>
      </c>
      <c r="C38" s="2997" t="s">
        <v>3468</v>
      </c>
      <c r="D38" s="2995">
        <v>125.99000000000001</v>
      </c>
      <c r="E38" s="2994" t="s">
        <v>3054</v>
      </c>
      <c r="F38" s="2994" t="s">
        <v>27</v>
      </c>
      <c r="G38" s="2996" t="s">
        <v>3469</v>
      </c>
      <c r="H38" s="2996" t="s">
        <v>3470</v>
      </c>
      <c r="I38" s="2996" t="s">
        <v>3127</v>
      </c>
      <c r="J38" s="2999">
        <f ca="1">典型户型修正!R179</f>
        <v>9960</v>
      </c>
      <c r="K38" s="2999">
        <f ca="1">典型户型修正!S179</f>
        <v>52</v>
      </c>
    </row>
    <row r="39" spans="1:11" ht="25.5" customHeight="1">
      <c r="A39" s="2994">
        <v>34</v>
      </c>
      <c r="B39" s="2994" t="s">
        <v>3464</v>
      </c>
      <c r="C39" s="2997" t="s">
        <v>3471</v>
      </c>
      <c r="D39" s="2995">
        <v>135.76</v>
      </c>
      <c r="E39" s="2994" t="s">
        <v>3054</v>
      </c>
      <c r="F39" s="2994" t="s">
        <v>27</v>
      </c>
      <c r="G39" s="2996" t="s">
        <v>3472</v>
      </c>
      <c r="H39" s="2996" t="s">
        <v>3473</v>
      </c>
      <c r="I39" s="2996" t="s">
        <v>3127</v>
      </c>
      <c r="J39" s="2999">
        <f ca="1">典型户型修正!R180</f>
        <v>9960</v>
      </c>
      <c r="K39" s="2999">
        <f ca="1">典型户型修正!S180</f>
        <v>52</v>
      </c>
    </row>
    <row r="40" spans="1:11" ht="25.5" customHeight="1">
      <c r="A40" s="2994">
        <v>35</v>
      </c>
      <c r="B40" s="2994" t="s">
        <v>3464</v>
      </c>
      <c r="C40" s="2997" t="s">
        <v>3474</v>
      </c>
      <c r="D40" s="2995">
        <v>125.99000000000001</v>
      </c>
      <c r="E40" s="2994" t="s">
        <v>3054</v>
      </c>
      <c r="F40" s="2994" t="s">
        <v>27</v>
      </c>
      <c r="G40" s="2996" t="s">
        <v>3475</v>
      </c>
      <c r="H40" s="2996" t="s">
        <v>3476</v>
      </c>
      <c r="I40" s="2996" t="s">
        <v>3127</v>
      </c>
      <c r="J40" s="2999">
        <f ca="1">典型户型修正!R181</f>
        <v>9960</v>
      </c>
      <c r="K40" s="2999">
        <f ca="1">典型户型修正!S181</f>
        <v>52</v>
      </c>
    </row>
    <row r="41" spans="1:11" ht="25.5" customHeight="1">
      <c r="A41" s="2994">
        <v>36</v>
      </c>
      <c r="B41" s="2994" t="s">
        <v>3477</v>
      </c>
      <c r="C41" s="2997" t="s">
        <v>3478</v>
      </c>
      <c r="D41" s="2995">
        <v>98.91</v>
      </c>
      <c r="E41" s="2994" t="s">
        <v>3054</v>
      </c>
      <c r="F41" s="2994" t="s">
        <v>27</v>
      </c>
      <c r="G41" s="2996" t="s">
        <v>3479</v>
      </c>
      <c r="H41" s="2996" t="s">
        <v>3480</v>
      </c>
      <c r="I41" s="2996" t="s">
        <v>3127</v>
      </c>
      <c r="J41" s="2999">
        <f ca="1">典型户型修正!R182</f>
        <v>9960</v>
      </c>
      <c r="K41" s="2999">
        <f ca="1">典型户型修正!S182</f>
        <v>52</v>
      </c>
    </row>
    <row r="42" spans="1:11" ht="25.5" customHeight="1">
      <c r="A42" s="2994">
        <v>37</v>
      </c>
      <c r="B42" s="2994" t="s">
        <v>3477</v>
      </c>
      <c r="C42" s="2997" t="s">
        <v>3481</v>
      </c>
      <c r="D42" s="2995">
        <v>98.91</v>
      </c>
      <c r="E42" s="2994" t="s">
        <v>3054</v>
      </c>
      <c r="F42" s="2994" t="s">
        <v>27</v>
      </c>
      <c r="G42" s="2996" t="s">
        <v>3482</v>
      </c>
      <c r="H42" s="2996" t="s">
        <v>3483</v>
      </c>
      <c r="I42" s="2996" t="s">
        <v>3127</v>
      </c>
      <c r="J42" s="2999">
        <f ca="1">典型户型修正!R183</f>
        <v>9960</v>
      </c>
      <c r="K42" s="2999">
        <f ca="1">典型户型修正!S183</f>
        <v>52</v>
      </c>
    </row>
    <row r="43" spans="1:11" ht="25.5" customHeight="1">
      <c r="A43" s="2994">
        <v>38</v>
      </c>
      <c r="B43" s="2994" t="s">
        <v>3477</v>
      </c>
      <c r="C43" s="2997" t="s">
        <v>3484</v>
      </c>
      <c r="D43" s="2995">
        <v>98.91</v>
      </c>
      <c r="E43" s="2994" t="s">
        <v>3054</v>
      </c>
      <c r="F43" s="2994" t="s">
        <v>27</v>
      </c>
      <c r="G43" s="2996" t="s">
        <v>3485</v>
      </c>
      <c r="H43" s="2996" t="s">
        <v>3486</v>
      </c>
      <c r="I43" s="2996" t="s">
        <v>3127</v>
      </c>
      <c r="J43" s="2999">
        <f ca="1">典型户型修正!R184</f>
        <v>9960</v>
      </c>
      <c r="K43" s="2999">
        <f ca="1">典型户型修正!S184</f>
        <v>52</v>
      </c>
    </row>
    <row r="44" spans="1:11" ht="25.5" customHeight="1">
      <c r="A44" s="2994">
        <v>39</v>
      </c>
      <c r="B44" s="2994" t="s">
        <v>3477</v>
      </c>
      <c r="C44" s="2997" t="s">
        <v>3487</v>
      </c>
      <c r="D44" s="2995">
        <v>98.91</v>
      </c>
      <c r="E44" s="2994" t="s">
        <v>3054</v>
      </c>
      <c r="F44" s="2994" t="s">
        <v>27</v>
      </c>
      <c r="G44" s="2996" t="s">
        <v>3488</v>
      </c>
      <c r="H44" s="2996" t="s">
        <v>3489</v>
      </c>
      <c r="I44" s="2996" t="s">
        <v>3127</v>
      </c>
      <c r="J44" s="2999">
        <f ca="1">典型户型修正!R185</f>
        <v>9960</v>
      </c>
      <c r="K44" s="2999">
        <f ca="1">典型户型修正!S185</f>
        <v>52</v>
      </c>
    </row>
    <row r="45" spans="1:11" ht="25.5" customHeight="1">
      <c r="A45" s="2994">
        <v>40</v>
      </c>
      <c r="B45" s="2994" t="s">
        <v>3477</v>
      </c>
      <c r="C45" s="2997" t="s">
        <v>3490</v>
      </c>
      <c r="D45" s="2995">
        <v>49.45</v>
      </c>
      <c r="E45" s="2994" t="s">
        <v>3054</v>
      </c>
      <c r="F45" s="2994" t="s">
        <v>27</v>
      </c>
      <c r="G45" s="2996" t="s">
        <v>3491</v>
      </c>
      <c r="H45" s="2996" t="s">
        <v>3492</v>
      </c>
      <c r="I45" s="2996" t="s">
        <v>3127</v>
      </c>
      <c r="J45" s="2999">
        <f ca="1">典型户型修正!R186</f>
        <v>9960</v>
      </c>
      <c r="K45" s="2999">
        <f ca="1">典型户型修正!S186</f>
        <v>52</v>
      </c>
    </row>
    <row r="46" spans="1:11" ht="25.5" customHeight="1">
      <c r="A46" s="2994">
        <v>41</v>
      </c>
      <c r="B46" s="2994" t="s">
        <v>3477</v>
      </c>
      <c r="C46" s="2997" t="s">
        <v>3493</v>
      </c>
      <c r="D46" s="2995">
        <v>76.540000000000006</v>
      </c>
      <c r="E46" s="2994" t="s">
        <v>3054</v>
      </c>
      <c r="F46" s="2994" t="s">
        <v>27</v>
      </c>
      <c r="G46" s="2996" t="s">
        <v>3494</v>
      </c>
      <c r="H46" s="2996" t="s">
        <v>3495</v>
      </c>
      <c r="I46" s="2996" t="s">
        <v>3127</v>
      </c>
      <c r="J46" s="2999">
        <f ca="1">典型户型修正!R187</f>
        <v>9960</v>
      </c>
      <c r="K46" s="2999">
        <f ca="1">典型户型修正!S187</f>
        <v>52</v>
      </c>
    </row>
    <row r="47" spans="1:11" ht="25.5" customHeight="1">
      <c r="A47" s="2994">
        <v>42</v>
      </c>
      <c r="B47" s="2994" t="s">
        <v>3477</v>
      </c>
      <c r="C47" s="2997" t="s">
        <v>3496</v>
      </c>
      <c r="D47" s="2995">
        <v>135.76</v>
      </c>
      <c r="E47" s="2994" t="s">
        <v>3054</v>
      </c>
      <c r="F47" s="2994" t="s">
        <v>27</v>
      </c>
      <c r="G47" s="2996" t="s">
        <v>3497</v>
      </c>
      <c r="H47" s="2996" t="s">
        <v>3498</v>
      </c>
      <c r="I47" s="2996" t="s">
        <v>3127</v>
      </c>
      <c r="J47" s="2999">
        <f ca="1">典型户型修正!R188</f>
        <v>9861</v>
      </c>
      <c r="K47" s="2999">
        <f ca="1">典型户型修正!S188</f>
        <v>80</v>
      </c>
    </row>
    <row r="48" spans="1:11" ht="25.5" customHeight="1">
      <c r="A48" s="2994">
        <v>43</v>
      </c>
      <c r="B48" s="2994" t="s">
        <v>3477</v>
      </c>
      <c r="C48" s="2997" t="s">
        <v>3499</v>
      </c>
      <c r="D48" s="2995">
        <v>80.73</v>
      </c>
      <c r="E48" s="2994" t="s">
        <v>3054</v>
      </c>
      <c r="F48" s="2994" t="s">
        <v>27</v>
      </c>
      <c r="G48" s="2996" t="s">
        <v>3500</v>
      </c>
      <c r="H48" s="2996" t="s">
        <v>3501</v>
      </c>
      <c r="I48" s="2996" t="s">
        <v>3127</v>
      </c>
      <c r="J48" s="2999">
        <f ca="1">典型户型修正!R189</f>
        <v>9861</v>
      </c>
      <c r="K48" s="2999">
        <f ca="1">典型户型修正!S189</f>
        <v>92</v>
      </c>
    </row>
    <row r="49" spans="1:11" ht="25.5" customHeight="1">
      <c r="A49" s="2994">
        <v>44</v>
      </c>
      <c r="B49" s="2994" t="s">
        <v>3477</v>
      </c>
      <c r="C49" s="2997" t="s">
        <v>3502</v>
      </c>
      <c r="D49" s="2995">
        <v>52.17</v>
      </c>
      <c r="E49" s="2994" t="s">
        <v>3054</v>
      </c>
      <c r="F49" s="2994" t="s">
        <v>27</v>
      </c>
      <c r="G49" s="2996" t="s">
        <v>3503</v>
      </c>
      <c r="H49" s="2996" t="s">
        <v>3504</v>
      </c>
      <c r="I49" s="2996" t="s">
        <v>3127</v>
      </c>
      <c r="J49" s="2999">
        <f ca="1">典型户型修正!R190</f>
        <v>9861</v>
      </c>
      <c r="K49" s="2999">
        <f ca="1">典型户型修正!S190</f>
        <v>92</v>
      </c>
    </row>
    <row r="50" spans="1:11" ht="25.5" customHeight="1">
      <c r="A50" s="2994">
        <v>45</v>
      </c>
      <c r="B50" s="2994" t="s">
        <v>3477</v>
      </c>
      <c r="C50" s="2997" t="s">
        <v>3505</v>
      </c>
      <c r="D50" s="2995">
        <v>52.17</v>
      </c>
      <c r="E50" s="2994" t="s">
        <v>3054</v>
      </c>
      <c r="F50" s="2994" t="s">
        <v>27</v>
      </c>
      <c r="G50" s="2996" t="s">
        <v>3506</v>
      </c>
      <c r="H50" s="2996" t="s">
        <v>3507</v>
      </c>
      <c r="I50" s="2996" t="s">
        <v>3127</v>
      </c>
      <c r="J50" s="2999">
        <f ca="1">典型户型修正!R191</f>
        <v>9861</v>
      </c>
      <c r="K50" s="2999">
        <f ca="1">典型户型修正!S191</f>
        <v>80</v>
      </c>
    </row>
    <row r="51" spans="1:11" ht="25.5" customHeight="1">
      <c r="A51" s="2994">
        <v>46</v>
      </c>
      <c r="B51" s="2994" t="s">
        <v>3477</v>
      </c>
      <c r="C51" s="2997" t="s">
        <v>3508</v>
      </c>
      <c r="D51" s="2995">
        <v>52.17</v>
      </c>
      <c r="E51" s="2994" t="s">
        <v>3054</v>
      </c>
      <c r="F51" s="2994" t="s">
        <v>27</v>
      </c>
      <c r="G51" s="2996" t="s">
        <v>3509</v>
      </c>
      <c r="H51" s="2996" t="s">
        <v>3510</v>
      </c>
      <c r="I51" s="2996" t="s">
        <v>3127</v>
      </c>
      <c r="J51" s="2999">
        <f ca="1">典型户型修正!R192</f>
        <v>9960</v>
      </c>
      <c r="K51" s="2999">
        <f ca="1">典型户型修正!S192</f>
        <v>52</v>
      </c>
    </row>
    <row r="52" spans="1:11" ht="25.5" customHeight="1">
      <c r="A52" s="2994">
        <v>47</v>
      </c>
      <c r="B52" s="2994" t="s">
        <v>3477</v>
      </c>
      <c r="C52" s="2997" t="s">
        <v>3511</v>
      </c>
      <c r="D52" s="2995">
        <v>52.17</v>
      </c>
      <c r="E52" s="2994" t="s">
        <v>3054</v>
      </c>
      <c r="F52" s="2994" t="s">
        <v>27</v>
      </c>
      <c r="G52" s="2996" t="s">
        <v>3512</v>
      </c>
      <c r="H52" s="2996" t="s">
        <v>3513</v>
      </c>
      <c r="I52" s="2996" t="s">
        <v>3127</v>
      </c>
      <c r="J52" s="2999">
        <f ca="1">典型户型修正!R193</f>
        <v>9960</v>
      </c>
      <c r="K52" s="2999">
        <f ca="1">典型户型修正!S193</f>
        <v>52</v>
      </c>
    </row>
    <row r="53" spans="1:11" ht="25.5" customHeight="1">
      <c r="A53" s="2994">
        <v>48</v>
      </c>
      <c r="B53" s="2994" t="s">
        <v>3370</v>
      </c>
      <c r="C53" s="2997" t="s">
        <v>3514</v>
      </c>
      <c r="D53" s="2995">
        <v>52.17</v>
      </c>
      <c r="E53" s="2994" t="s">
        <v>3054</v>
      </c>
      <c r="F53" s="2994" t="s">
        <v>27</v>
      </c>
      <c r="G53" s="2996" t="s">
        <v>3515</v>
      </c>
      <c r="H53" s="2996" t="s">
        <v>3516</v>
      </c>
      <c r="I53" s="2996" t="s">
        <v>3127</v>
      </c>
      <c r="J53" s="2999">
        <f ca="1">典型户型修正!R194</f>
        <v>9960</v>
      </c>
      <c r="K53" s="2999">
        <f ca="1">典型户型修正!S194</f>
        <v>52</v>
      </c>
    </row>
    <row r="54" spans="1:11" ht="25.5" customHeight="1">
      <c r="A54" s="2994">
        <v>49</v>
      </c>
      <c r="B54" s="2994" t="s">
        <v>3370</v>
      </c>
      <c r="C54" s="2997" t="s">
        <v>3517</v>
      </c>
      <c r="D54" s="2995">
        <v>52.17</v>
      </c>
      <c r="E54" s="2994" t="s">
        <v>3054</v>
      </c>
      <c r="F54" s="2994" t="s">
        <v>27</v>
      </c>
      <c r="G54" s="2996" t="s">
        <v>3518</v>
      </c>
      <c r="H54" s="2996" t="s">
        <v>3519</v>
      </c>
      <c r="I54" s="2996" t="s">
        <v>3127</v>
      </c>
      <c r="J54" s="2999">
        <f ca="1">典型户型修正!R195</f>
        <v>9960</v>
      </c>
      <c r="K54" s="2999">
        <f ca="1">典型户型修正!S195</f>
        <v>52</v>
      </c>
    </row>
    <row r="55" spans="1:11" ht="25.5" customHeight="1">
      <c r="A55" s="2994">
        <v>50</v>
      </c>
      <c r="B55" s="2994" t="s">
        <v>3370</v>
      </c>
      <c r="C55" s="2997" t="s">
        <v>3520</v>
      </c>
      <c r="D55" s="2995">
        <v>52.17</v>
      </c>
      <c r="E55" s="2994" t="s">
        <v>3054</v>
      </c>
      <c r="F55" s="2994" t="s">
        <v>27</v>
      </c>
      <c r="G55" s="2996" t="s">
        <v>3521</v>
      </c>
      <c r="H55" s="2996" t="s">
        <v>3522</v>
      </c>
      <c r="I55" s="2996" t="s">
        <v>3127</v>
      </c>
      <c r="J55" s="2999">
        <f ca="1">典型户型修正!R196</f>
        <v>9960</v>
      </c>
      <c r="K55" s="2999">
        <f ca="1">典型户型修正!S196</f>
        <v>52</v>
      </c>
    </row>
    <row r="56" spans="1:11" ht="25.5" customHeight="1">
      <c r="A56" s="2994">
        <v>51</v>
      </c>
      <c r="B56" s="2994" t="s">
        <v>3370</v>
      </c>
      <c r="C56" s="2997" t="s">
        <v>3523</v>
      </c>
      <c r="D56" s="2995">
        <v>80.73</v>
      </c>
      <c r="E56" s="2994" t="s">
        <v>3054</v>
      </c>
      <c r="F56" s="2994" t="s">
        <v>27</v>
      </c>
      <c r="G56" s="2996" t="s">
        <v>3524</v>
      </c>
      <c r="H56" s="2996" t="s">
        <v>3525</v>
      </c>
      <c r="I56" s="2996" t="s">
        <v>3127</v>
      </c>
      <c r="J56" s="2999">
        <f ca="1">典型户型修正!R197</f>
        <v>9960</v>
      </c>
      <c r="K56" s="2999">
        <f ca="1">典型户型修正!S197</f>
        <v>52</v>
      </c>
    </row>
    <row r="57" spans="1:11" ht="25.5" customHeight="1">
      <c r="A57" s="2994">
        <v>52</v>
      </c>
      <c r="B57" s="2994" t="s">
        <v>3370</v>
      </c>
      <c r="C57" s="2997" t="s">
        <v>3526</v>
      </c>
      <c r="D57" s="2995">
        <v>52.17</v>
      </c>
      <c r="E57" s="2994" t="s">
        <v>3054</v>
      </c>
      <c r="F57" s="2994" t="s">
        <v>27</v>
      </c>
      <c r="G57" s="2996" t="s">
        <v>3527</v>
      </c>
      <c r="H57" s="2996" t="s">
        <v>3528</v>
      </c>
      <c r="I57" s="2996" t="s">
        <v>3127</v>
      </c>
      <c r="J57" s="2999">
        <f ca="1">典型户型修正!R198</f>
        <v>9960</v>
      </c>
      <c r="K57" s="2999">
        <f ca="1">典型户型修正!S198</f>
        <v>52</v>
      </c>
    </row>
    <row r="58" spans="1:11" ht="25.5" customHeight="1">
      <c r="A58" s="2994">
        <v>53</v>
      </c>
      <c r="B58" s="2994" t="s">
        <v>3370</v>
      </c>
      <c r="C58" s="2997" t="s">
        <v>3529</v>
      </c>
      <c r="D58" s="2995">
        <v>52.17</v>
      </c>
      <c r="E58" s="2994" t="s">
        <v>3054</v>
      </c>
      <c r="F58" s="2994" t="s">
        <v>27</v>
      </c>
      <c r="G58" s="2996" t="s">
        <v>3530</v>
      </c>
      <c r="H58" s="2996" t="s">
        <v>3531</v>
      </c>
      <c r="I58" s="2996" t="s">
        <v>3127</v>
      </c>
      <c r="J58" s="2999">
        <f ca="1">典型户型修正!R199</f>
        <v>9960</v>
      </c>
      <c r="K58" s="2999">
        <f ca="1">典型户型修正!S199</f>
        <v>52</v>
      </c>
    </row>
    <row r="59" spans="1:11" ht="25.5" customHeight="1">
      <c r="A59" s="2994">
        <v>54</v>
      </c>
      <c r="B59" s="2994" t="s">
        <v>3370</v>
      </c>
      <c r="C59" s="2997" t="s">
        <v>3532</v>
      </c>
      <c r="D59" s="2995">
        <v>52.17</v>
      </c>
      <c r="E59" s="2994" t="s">
        <v>3054</v>
      </c>
      <c r="F59" s="2994" t="s">
        <v>27</v>
      </c>
      <c r="G59" s="2996" t="s">
        <v>3533</v>
      </c>
      <c r="H59" s="2996" t="s">
        <v>3534</v>
      </c>
      <c r="I59" s="2996" t="s">
        <v>3127</v>
      </c>
      <c r="J59" s="2999">
        <f ca="1">典型户型修正!R200</f>
        <v>9960</v>
      </c>
      <c r="K59" s="2999">
        <f ca="1">典型户型修正!S200</f>
        <v>52</v>
      </c>
    </row>
    <row r="60" spans="1:11" ht="25.5" customHeight="1">
      <c r="A60" s="2994">
        <v>55</v>
      </c>
      <c r="B60" s="2994" t="s">
        <v>3370</v>
      </c>
      <c r="C60" s="2997" t="s">
        <v>3535</v>
      </c>
      <c r="D60" s="2995">
        <v>52.17</v>
      </c>
      <c r="E60" s="2994" t="s">
        <v>3054</v>
      </c>
      <c r="F60" s="2994" t="s">
        <v>27</v>
      </c>
      <c r="G60" s="2996" t="s">
        <v>3536</v>
      </c>
      <c r="H60" s="2996" t="s">
        <v>3537</v>
      </c>
      <c r="I60" s="2996" t="s">
        <v>3127</v>
      </c>
      <c r="J60" s="2999">
        <f ca="1">典型户型修正!R201</f>
        <v>9960</v>
      </c>
      <c r="K60" s="2999">
        <f ca="1">典型户型修正!S201</f>
        <v>52</v>
      </c>
    </row>
    <row r="61" spans="1:11" ht="25.5" customHeight="1">
      <c r="A61" s="2994">
        <v>56</v>
      </c>
      <c r="B61" s="2994" t="s">
        <v>3370</v>
      </c>
      <c r="C61" s="2997" t="s">
        <v>3538</v>
      </c>
      <c r="D61" s="2995">
        <v>52.17</v>
      </c>
      <c r="E61" s="2994" t="s">
        <v>3054</v>
      </c>
      <c r="F61" s="2994" t="s">
        <v>27</v>
      </c>
      <c r="G61" s="2996" t="s">
        <v>3539</v>
      </c>
      <c r="H61" s="2996" t="s">
        <v>3540</v>
      </c>
      <c r="I61" s="2996" t="s">
        <v>3127</v>
      </c>
      <c r="J61" s="2999">
        <f ca="1">典型户型修正!R202</f>
        <v>9861</v>
      </c>
      <c r="K61" s="2999">
        <f ca="1">典型户型修正!S202</f>
        <v>80</v>
      </c>
    </row>
    <row r="62" spans="1:11" ht="25.5" customHeight="1">
      <c r="A62" s="2994">
        <v>57</v>
      </c>
      <c r="B62" s="2994" t="s">
        <v>3370</v>
      </c>
      <c r="C62" s="2997" t="s">
        <v>3541</v>
      </c>
      <c r="D62" s="2995">
        <v>52.17</v>
      </c>
      <c r="E62" s="2994" t="s">
        <v>3054</v>
      </c>
      <c r="F62" s="2994" t="s">
        <v>27</v>
      </c>
      <c r="G62" s="2996" t="s">
        <v>3542</v>
      </c>
      <c r="H62" s="2996" t="s">
        <v>3543</v>
      </c>
      <c r="I62" s="2996" t="s">
        <v>3127</v>
      </c>
      <c r="J62" s="2999">
        <f ca="1">典型户型修正!R203</f>
        <v>9861</v>
      </c>
      <c r="K62" s="2999">
        <f ca="1">典型户型修正!S203</f>
        <v>66</v>
      </c>
    </row>
    <row r="63" spans="1:11" ht="25.5" customHeight="1">
      <c r="A63" s="2994">
        <v>58</v>
      </c>
      <c r="B63" s="2994" t="s">
        <v>3370</v>
      </c>
      <c r="C63" s="2997" t="s">
        <v>3544</v>
      </c>
      <c r="D63" s="2995">
        <v>52.17</v>
      </c>
      <c r="E63" s="2994" t="s">
        <v>3054</v>
      </c>
      <c r="F63" s="2994" t="s">
        <v>27</v>
      </c>
      <c r="G63" s="2996" t="s">
        <v>3545</v>
      </c>
      <c r="H63" s="2996" t="s">
        <v>3546</v>
      </c>
      <c r="I63" s="2996" t="s">
        <v>3127</v>
      </c>
      <c r="J63" s="2999">
        <f ca="1">典型户型修正!R204</f>
        <v>9861</v>
      </c>
      <c r="K63" s="2999">
        <f ca="1">典型户型修正!S204</f>
        <v>66</v>
      </c>
    </row>
    <row r="64" spans="1:11" ht="25.5" customHeight="1">
      <c r="A64" s="2994">
        <v>59</v>
      </c>
      <c r="B64" s="2994" t="s">
        <v>3370</v>
      </c>
      <c r="C64" s="2997" t="s">
        <v>3547</v>
      </c>
      <c r="D64" s="2995">
        <v>52.17</v>
      </c>
      <c r="E64" s="2994" t="s">
        <v>3054</v>
      </c>
      <c r="F64" s="2994" t="s">
        <v>27</v>
      </c>
      <c r="G64" s="2996" t="s">
        <v>3548</v>
      </c>
      <c r="H64" s="2996" t="s">
        <v>3549</v>
      </c>
      <c r="I64" s="2996" t="s">
        <v>3127</v>
      </c>
      <c r="J64" s="2999">
        <f ca="1">典型户型修正!R205</f>
        <v>9861</v>
      </c>
      <c r="K64" s="2999">
        <f ca="1">典型户型修正!S205</f>
        <v>80</v>
      </c>
    </row>
    <row r="65" spans="1:11" ht="25.5" customHeight="1">
      <c r="A65" s="2994">
        <v>60</v>
      </c>
      <c r="B65" s="2994" t="s">
        <v>3370</v>
      </c>
      <c r="C65" s="2997" t="s">
        <v>3550</v>
      </c>
      <c r="D65" s="2995">
        <v>52.17</v>
      </c>
      <c r="E65" s="2994" t="s">
        <v>3054</v>
      </c>
      <c r="F65" s="2994" t="s">
        <v>27</v>
      </c>
      <c r="G65" s="2996" t="s">
        <v>3551</v>
      </c>
      <c r="H65" s="2996" t="s">
        <v>3552</v>
      </c>
      <c r="I65" s="2996" t="s">
        <v>3127</v>
      </c>
      <c r="J65" s="2999">
        <f ca="1">典型户型修正!R206</f>
        <v>9960</v>
      </c>
      <c r="K65" s="2999">
        <f ca="1">典型户型修正!S206</f>
        <v>52</v>
      </c>
    </row>
    <row r="66" spans="1:11" ht="25.5" customHeight="1">
      <c r="A66" s="2994">
        <v>61</v>
      </c>
      <c r="B66" s="2994" t="s">
        <v>3370</v>
      </c>
      <c r="C66" s="2997" t="s">
        <v>3553</v>
      </c>
      <c r="D66" s="2995">
        <v>52.17</v>
      </c>
      <c r="E66" s="2994" t="s">
        <v>3054</v>
      </c>
      <c r="F66" s="2994" t="s">
        <v>27</v>
      </c>
      <c r="G66" s="2996" t="s">
        <v>3554</v>
      </c>
      <c r="H66" s="2996" t="s">
        <v>3555</v>
      </c>
      <c r="I66" s="2996" t="s">
        <v>3127</v>
      </c>
      <c r="J66" s="2999">
        <f ca="1">典型户型修正!R207</f>
        <v>9960</v>
      </c>
      <c r="K66" s="2999">
        <f ca="1">典型户型修正!S207</f>
        <v>52</v>
      </c>
    </row>
    <row r="67" spans="1:11" ht="25.5" customHeight="1">
      <c r="A67" s="2994">
        <v>62</v>
      </c>
      <c r="B67" s="2994" t="s">
        <v>3370</v>
      </c>
      <c r="C67" s="2997" t="s">
        <v>3556</v>
      </c>
      <c r="D67" s="2995">
        <v>80.73</v>
      </c>
      <c r="E67" s="2994" t="s">
        <v>3054</v>
      </c>
      <c r="F67" s="2994" t="s">
        <v>27</v>
      </c>
      <c r="G67" s="2996" t="s">
        <v>3557</v>
      </c>
      <c r="H67" s="2996" t="s">
        <v>3558</v>
      </c>
      <c r="I67" s="2996" t="s">
        <v>3127</v>
      </c>
      <c r="J67" s="2999">
        <f ca="1">典型户型修正!R208</f>
        <v>9960</v>
      </c>
      <c r="K67" s="2999">
        <f ca="1">典型户型修正!S208</f>
        <v>52</v>
      </c>
    </row>
    <row r="68" spans="1:11" ht="25.5" customHeight="1">
      <c r="A68" s="2994">
        <v>63</v>
      </c>
      <c r="B68" s="2994" t="s">
        <v>3370</v>
      </c>
      <c r="C68" s="2997" t="s">
        <v>3559</v>
      </c>
      <c r="D68" s="2995">
        <v>66.040000000000006</v>
      </c>
      <c r="E68" s="2994" t="s">
        <v>3054</v>
      </c>
      <c r="F68" s="2994" t="s">
        <v>27</v>
      </c>
      <c r="G68" s="2996" t="s">
        <v>3560</v>
      </c>
      <c r="H68" s="2996" t="s">
        <v>3561</v>
      </c>
      <c r="I68" s="2996" t="s">
        <v>3127</v>
      </c>
      <c r="J68" s="2999">
        <f ca="1">典型户型修正!R209</f>
        <v>9960</v>
      </c>
      <c r="K68" s="2999">
        <f ca="1">典型户型修正!S209</f>
        <v>52</v>
      </c>
    </row>
    <row r="69" spans="1:11" ht="25.5" customHeight="1">
      <c r="A69" s="2994">
        <v>64</v>
      </c>
      <c r="B69" s="2994" t="s">
        <v>3562</v>
      </c>
      <c r="C69" s="2997" t="s">
        <v>3563</v>
      </c>
      <c r="D69" s="2995">
        <v>66.040000000000006</v>
      </c>
      <c r="E69" s="2994" t="s">
        <v>3054</v>
      </c>
      <c r="F69" s="2994" t="s">
        <v>27</v>
      </c>
      <c r="G69" s="2996" t="s">
        <v>3564</v>
      </c>
      <c r="H69" s="2996" t="s">
        <v>3565</v>
      </c>
      <c r="I69" s="2996" t="s">
        <v>3127</v>
      </c>
      <c r="J69" s="2999">
        <f ca="1">典型户型修正!R210</f>
        <v>9960</v>
      </c>
      <c r="K69" s="2999">
        <f ca="1">典型户型修正!S210</f>
        <v>52</v>
      </c>
    </row>
    <row r="70" spans="1:11" ht="25.5" customHeight="1">
      <c r="A70" s="2994">
        <v>65</v>
      </c>
      <c r="B70" s="2994" t="s">
        <v>3562</v>
      </c>
      <c r="C70" s="2997" t="s">
        <v>3566</v>
      </c>
      <c r="D70" s="2995">
        <v>80.73</v>
      </c>
      <c r="E70" s="2994" t="s">
        <v>3054</v>
      </c>
      <c r="F70" s="2994" t="s">
        <v>27</v>
      </c>
      <c r="G70" s="2996" t="s">
        <v>3567</v>
      </c>
      <c r="H70" s="2996" t="s">
        <v>3568</v>
      </c>
      <c r="I70" s="2996" t="s">
        <v>3127</v>
      </c>
      <c r="J70" s="2999">
        <f ca="1">典型户型修正!R211</f>
        <v>9960</v>
      </c>
      <c r="K70" s="2999">
        <f ca="1">典型户型修正!S211</f>
        <v>52</v>
      </c>
    </row>
    <row r="71" spans="1:11" ht="25.5" customHeight="1">
      <c r="A71" s="2994">
        <v>66</v>
      </c>
      <c r="B71" s="2994" t="s">
        <v>3562</v>
      </c>
      <c r="C71" s="2997" t="s">
        <v>3569</v>
      </c>
      <c r="D71" s="2995">
        <v>52.17</v>
      </c>
      <c r="E71" s="2994" t="s">
        <v>3054</v>
      </c>
      <c r="F71" s="2994" t="s">
        <v>27</v>
      </c>
      <c r="G71" s="2996" t="s">
        <v>3570</v>
      </c>
      <c r="H71" s="2996" t="s">
        <v>3571</v>
      </c>
      <c r="I71" s="2996" t="s">
        <v>3127</v>
      </c>
      <c r="J71" s="2999">
        <f ca="1">典型户型修正!R212</f>
        <v>9960</v>
      </c>
      <c r="K71" s="2999">
        <f ca="1">典型户型修正!S212</f>
        <v>52</v>
      </c>
    </row>
    <row r="72" spans="1:11" ht="25.5" customHeight="1">
      <c r="A72" s="2994">
        <v>67</v>
      </c>
      <c r="B72" s="2994" t="s">
        <v>3562</v>
      </c>
      <c r="C72" s="2997" t="s">
        <v>3572</v>
      </c>
      <c r="D72" s="2995">
        <v>52.17</v>
      </c>
      <c r="E72" s="2994" t="s">
        <v>3054</v>
      </c>
      <c r="F72" s="2994" t="s">
        <v>27</v>
      </c>
      <c r="G72" s="2996" t="s">
        <v>3573</v>
      </c>
      <c r="H72" s="2996" t="s">
        <v>3574</v>
      </c>
      <c r="I72" s="2996" t="s">
        <v>3127</v>
      </c>
      <c r="J72" s="2999">
        <f ca="1">典型户型修正!R213</f>
        <v>9960</v>
      </c>
      <c r="K72" s="2999">
        <f ca="1">典型户型修正!S213</f>
        <v>52</v>
      </c>
    </row>
    <row r="73" spans="1:11" ht="25.5" customHeight="1">
      <c r="A73" s="2994">
        <v>68</v>
      </c>
      <c r="B73" s="2994" t="s">
        <v>3562</v>
      </c>
      <c r="C73" s="2997" t="s">
        <v>3575</v>
      </c>
      <c r="D73" s="2995">
        <v>52.17</v>
      </c>
      <c r="E73" s="2994" t="s">
        <v>3054</v>
      </c>
      <c r="F73" s="2994" t="s">
        <v>27</v>
      </c>
      <c r="G73" s="2996" t="s">
        <v>3576</v>
      </c>
      <c r="H73" s="2996" t="s">
        <v>3577</v>
      </c>
      <c r="I73" s="2996" t="s">
        <v>3127</v>
      </c>
      <c r="J73" s="2999">
        <f ca="1">典型户型修正!R214</f>
        <v>9960</v>
      </c>
      <c r="K73" s="2999">
        <f ca="1">典型户型修正!S214</f>
        <v>52</v>
      </c>
    </row>
    <row r="74" spans="1:11" ht="25.5" customHeight="1">
      <c r="A74" s="2994">
        <v>69</v>
      </c>
      <c r="B74" s="2994" t="s">
        <v>3562</v>
      </c>
      <c r="C74" s="2997" t="s">
        <v>3578</v>
      </c>
      <c r="D74" s="2995">
        <v>52.17</v>
      </c>
      <c r="E74" s="2994" t="s">
        <v>3054</v>
      </c>
      <c r="F74" s="2994" t="s">
        <v>27</v>
      </c>
      <c r="G74" s="2996" t="s">
        <v>3579</v>
      </c>
      <c r="H74" s="2996" t="s">
        <v>3580</v>
      </c>
      <c r="I74" s="2996" t="s">
        <v>3127</v>
      </c>
      <c r="J74" s="2999">
        <f ca="1">典型户型修正!R215</f>
        <v>9960</v>
      </c>
      <c r="K74" s="2999">
        <f ca="1">典型户型修正!S215</f>
        <v>52</v>
      </c>
    </row>
    <row r="75" spans="1:11" ht="25.5" customHeight="1">
      <c r="A75" s="2994">
        <v>70</v>
      </c>
      <c r="B75" s="2994" t="s">
        <v>3562</v>
      </c>
      <c r="C75" s="2997" t="s">
        <v>3581</v>
      </c>
      <c r="D75" s="2995">
        <v>52.17</v>
      </c>
      <c r="E75" s="2994" t="s">
        <v>3054</v>
      </c>
      <c r="F75" s="2994" t="s">
        <v>27</v>
      </c>
      <c r="G75" s="2996" t="s">
        <v>3582</v>
      </c>
      <c r="H75" s="2996" t="s">
        <v>3583</v>
      </c>
      <c r="I75" s="2996" t="s">
        <v>3127</v>
      </c>
      <c r="J75" s="2999">
        <f ca="1">典型户型修正!R216</f>
        <v>9861</v>
      </c>
      <c r="K75" s="2999">
        <f ca="1">典型户型修正!S216</f>
        <v>80</v>
      </c>
    </row>
    <row r="76" spans="1:11" ht="25.5" customHeight="1">
      <c r="A76" s="2994">
        <v>71</v>
      </c>
      <c r="B76" s="2994" t="s">
        <v>3562</v>
      </c>
      <c r="C76" s="2997" t="s">
        <v>3584</v>
      </c>
      <c r="D76" s="2995">
        <v>52.17</v>
      </c>
      <c r="E76" s="2994" t="s">
        <v>3054</v>
      </c>
      <c r="F76" s="2994" t="s">
        <v>27</v>
      </c>
      <c r="G76" s="2996" t="s">
        <v>3585</v>
      </c>
      <c r="H76" s="2996" t="s">
        <v>3586</v>
      </c>
      <c r="I76" s="2996" t="s">
        <v>3127</v>
      </c>
      <c r="J76" s="2999">
        <f ca="1">典型户型修正!R217</f>
        <v>9861</v>
      </c>
      <c r="K76" s="2999">
        <f ca="1">典型户型修正!S217</f>
        <v>92</v>
      </c>
    </row>
    <row r="77" spans="1:11" ht="25.5" customHeight="1">
      <c r="A77" s="2994">
        <v>72</v>
      </c>
      <c r="B77" s="2994" t="s">
        <v>3562</v>
      </c>
      <c r="C77" s="2997" t="s">
        <v>3587</v>
      </c>
      <c r="D77" s="2995">
        <v>52.17</v>
      </c>
      <c r="E77" s="2994" t="s">
        <v>3054</v>
      </c>
      <c r="F77" s="2994" t="s">
        <v>27</v>
      </c>
      <c r="G77" s="2996" t="s">
        <v>3588</v>
      </c>
      <c r="H77" s="2996" t="s">
        <v>3589</v>
      </c>
      <c r="I77" s="2996" t="s">
        <v>3127</v>
      </c>
      <c r="J77" s="2999">
        <f ca="1">典型户型修正!R218</f>
        <v>9861</v>
      </c>
      <c r="K77" s="2999">
        <f ca="1">典型户型修正!S218</f>
        <v>92</v>
      </c>
    </row>
    <row r="78" spans="1:11" ht="25.5" customHeight="1">
      <c r="A78" s="2994">
        <v>73</v>
      </c>
      <c r="B78" s="2994" t="s">
        <v>3562</v>
      </c>
      <c r="C78" s="2997" t="s">
        <v>3590</v>
      </c>
      <c r="D78" s="2995">
        <v>52.17</v>
      </c>
      <c r="E78" s="2994" t="s">
        <v>3054</v>
      </c>
      <c r="F78" s="2994" t="s">
        <v>27</v>
      </c>
      <c r="G78" s="2996" t="s">
        <v>3591</v>
      </c>
      <c r="H78" s="2996" t="s">
        <v>3592</v>
      </c>
      <c r="I78" s="2996" t="s">
        <v>3127</v>
      </c>
      <c r="J78" s="2999">
        <f ca="1">典型户型修正!R219</f>
        <v>9861</v>
      </c>
      <c r="K78" s="2999">
        <f ca="1">典型户型修正!S219</f>
        <v>80</v>
      </c>
    </row>
    <row r="79" spans="1:11" ht="25.5" customHeight="1">
      <c r="A79" s="2994">
        <v>74</v>
      </c>
      <c r="B79" s="2994" t="s">
        <v>3562</v>
      </c>
      <c r="C79" s="2997" t="s">
        <v>3593</v>
      </c>
      <c r="D79" s="2995">
        <v>52.17</v>
      </c>
      <c r="E79" s="2994" t="s">
        <v>3054</v>
      </c>
      <c r="F79" s="2994" t="s">
        <v>27</v>
      </c>
      <c r="G79" s="2996" t="s">
        <v>3594</v>
      </c>
      <c r="H79" s="2996" t="s">
        <v>3595</v>
      </c>
      <c r="I79" s="2996" t="s">
        <v>3127</v>
      </c>
      <c r="J79" s="2999">
        <f ca="1">典型户型修正!R220</f>
        <v>9960</v>
      </c>
      <c r="K79" s="2999">
        <f ca="1">典型户型修正!S220</f>
        <v>52</v>
      </c>
    </row>
    <row r="80" spans="1:11" ht="25.5" customHeight="1">
      <c r="A80" s="2994">
        <v>75</v>
      </c>
      <c r="B80" s="2994" t="s">
        <v>3562</v>
      </c>
      <c r="C80" s="2997" t="s">
        <v>3596</v>
      </c>
      <c r="D80" s="2995">
        <v>52.17</v>
      </c>
      <c r="E80" s="2994" t="s">
        <v>3054</v>
      </c>
      <c r="F80" s="2994" t="s">
        <v>27</v>
      </c>
      <c r="G80" s="2996" t="s">
        <v>3597</v>
      </c>
      <c r="H80" s="2996" t="s">
        <v>3598</v>
      </c>
      <c r="I80" s="2996" t="s">
        <v>3127</v>
      </c>
      <c r="J80" s="2999">
        <f ca="1">典型户型修正!R221</f>
        <v>9960</v>
      </c>
      <c r="K80" s="2999">
        <f ca="1">典型户型修正!S221</f>
        <v>52</v>
      </c>
    </row>
    <row r="81" spans="1:11" ht="25.5" customHeight="1">
      <c r="A81" s="2994">
        <v>76</v>
      </c>
      <c r="B81" s="2994" t="s">
        <v>3599</v>
      </c>
      <c r="C81" s="2997" t="s">
        <v>3600</v>
      </c>
      <c r="D81" s="2995">
        <v>80.73</v>
      </c>
      <c r="E81" s="2994" t="s">
        <v>3054</v>
      </c>
      <c r="F81" s="2994" t="s">
        <v>27</v>
      </c>
      <c r="G81" s="2996" t="s">
        <v>3601</v>
      </c>
      <c r="H81" s="2996" t="s">
        <v>3602</v>
      </c>
      <c r="I81" s="2996" t="s">
        <v>3127</v>
      </c>
      <c r="J81" s="2999">
        <f ca="1">典型户型修正!R222</f>
        <v>9960</v>
      </c>
      <c r="K81" s="2999">
        <f ca="1">典型户型修正!S222</f>
        <v>52</v>
      </c>
    </row>
    <row r="82" spans="1:11" ht="25.5" customHeight="1">
      <c r="A82" s="2994">
        <v>77</v>
      </c>
      <c r="B82" s="2994" t="s">
        <v>3599</v>
      </c>
      <c r="C82" s="2997" t="s">
        <v>3603</v>
      </c>
      <c r="D82" s="2995">
        <v>93.08</v>
      </c>
      <c r="E82" s="2994" t="s">
        <v>3054</v>
      </c>
      <c r="F82" s="2994" t="s">
        <v>27</v>
      </c>
      <c r="G82" s="2996" t="s">
        <v>3604</v>
      </c>
      <c r="H82" s="2996" t="s">
        <v>3605</v>
      </c>
      <c r="I82" s="2996" t="s">
        <v>3127</v>
      </c>
      <c r="J82" s="2999">
        <f ca="1">典型户型修正!R223</f>
        <v>9960</v>
      </c>
      <c r="K82" s="2999">
        <f ca="1">典型户型修正!S223</f>
        <v>52</v>
      </c>
    </row>
    <row r="83" spans="1:11" ht="25.5" customHeight="1">
      <c r="A83" s="2994">
        <v>78</v>
      </c>
      <c r="B83" s="2994" t="s">
        <v>3599</v>
      </c>
      <c r="C83" s="2997" t="s">
        <v>3606</v>
      </c>
      <c r="D83" s="2995">
        <v>93.08</v>
      </c>
      <c r="E83" s="2994" t="s">
        <v>3054</v>
      </c>
      <c r="F83" s="2994" t="s">
        <v>27</v>
      </c>
      <c r="G83" s="2996" t="s">
        <v>3607</v>
      </c>
      <c r="H83" s="2996" t="s">
        <v>3608</v>
      </c>
      <c r="I83" s="2996" t="s">
        <v>3127</v>
      </c>
      <c r="J83" s="2999">
        <f ca="1">典型户型修正!R224</f>
        <v>9960</v>
      </c>
      <c r="K83" s="2999">
        <f ca="1">典型户型修正!S224</f>
        <v>52</v>
      </c>
    </row>
    <row r="84" spans="1:11" ht="25.5" customHeight="1">
      <c r="A84" s="2994">
        <v>79</v>
      </c>
      <c r="B84" s="2994" t="s">
        <v>3599</v>
      </c>
      <c r="C84" s="2997" t="s">
        <v>3609</v>
      </c>
      <c r="D84" s="2995">
        <v>80.73</v>
      </c>
      <c r="E84" s="2994" t="s">
        <v>3054</v>
      </c>
      <c r="F84" s="2994" t="s">
        <v>27</v>
      </c>
      <c r="G84" s="2996" t="s">
        <v>3610</v>
      </c>
      <c r="H84" s="2996" t="s">
        <v>3611</v>
      </c>
      <c r="I84" s="2996" t="s">
        <v>3127</v>
      </c>
      <c r="J84" s="2999">
        <f ca="1">典型户型修正!R225</f>
        <v>9960</v>
      </c>
      <c r="K84" s="2999">
        <f ca="1">典型户型修正!S225</f>
        <v>52</v>
      </c>
    </row>
    <row r="85" spans="1:11" ht="25.5" customHeight="1">
      <c r="A85" s="2994">
        <v>80</v>
      </c>
      <c r="B85" s="2994" t="s">
        <v>3599</v>
      </c>
      <c r="C85" s="2997" t="s">
        <v>3612</v>
      </c>
      <c r="D85" s="2995">
        <v>52.17</v>
      </c>
      <c r="E85" s="2994" t="s">
        <v>3054</v>
      </c>
      <c r="F85" s="2994" t="s">
        <v>27</v>
      </c>
      <c r="G85" s="2996" t="s">
        <v>3613</v>
      </c>
      <c r="H85" s="2996" t="s">
        <v>3614</v>
      </c>
      <c r="I85" s="2996" t="s">
        <v>3127</v>
      </c>
      <c r="J85" s="2999">
        <f ca="1">典型户型修正!R226</f>
        <v>9960</v>
      </c>
      <c r="K85" s="2999">
        <f ca="1">典型户型修正!S226</f>
        <v>52</v>
      </c>
    </row>
    <row r="86" spans="1:11" ht="25.5" customHeight="1">
      <c r="A86" s="2994">
        <v>81</v>
      </c>
      <c r="B86" s="2994" t="s">
        <v>3599</v>
      </c>
      <c r="C86" s="2997" t="s">
        <v>3615</v>
      </c>
      <c r="D86" s="2995">
        <v>52.17</v>
      </c>
      <c r="E86" s="2994" t="s">
        <v>3054</v>
      </c>
      <c r="F86" s="2994" t="s">
        <v>27</v>
      </c>
      <c r="G86" s="2996" t="s">
        <v>3616</v>
      </c>
      <c r="H86" s="2996" t="s">
        <v>3617</v>
      </c>
      <c r="I86" s="2996" t="s">
        <v>3127</v>
      </c>
      <c r="J86" s="2999">
        <f ca="1">典型户型修正!R227</f>
        <v>9960</v>
      </c>
      <c r="K86" s="2999">
        <f ca="1">典型户型修正!S227</f>
        <v>52</v>
      </c>
    </row>
    <row r="87" spans="1:11" ht="25.5" customHeight="1">
      <c r="A87" s="2994">
        <v>82</v>
      </c>
      <c r="B87" s="2994" t="s">
        <v>3599</v>
      </c>
      <c r="C87" s="2997" t="s">
        <v>3618</v>
      </c>
      <c r="D87" s="2995">
        <v>52.17</v>
      </c>
      <c r="E87" s="2994" t="s">
        <v>3054</v>
      </c>
      <c r="F87" s="2994" t="s">
        <v>27</v>
      </c>
      <c r="G87" s="2996" t="s">
        <v>3619</v>
      </c>
      <c r="H87" s="2996" t="s">
        <v>3620</v>
      </c>
      <c r="I87" s="2996" t="s">
        <v>3127</v>
      </c>
      <c r="J87" s="2999">
        <f ca="1">典型户型修正!R228</f>
        <v>9960</v>
      </c>
      <c r="K87" s="2999">
        <f ca="1">典型户型修正!S228</f>
        <v>52</v>
      </c>
    </row>
    <row r="88" spans="1:11" ht="25.5" customHeight="1">
      <c r="A88" s="2994">
        <v>83</v>
      </c>
      <c r="B88" s="2994" t="s">
        <v>3599</v>
      </c>
      <c r="C88" s="2997" t="s">
        <v>3621</v>
      </c>
      <c r="D88" s="2995">
        <v>52.17</v>
      </c>
      <c r="E88" s="2994" t="s">
        <v>3054</v>
      </c>
      <c r="F88" s="2994" t="s">
        <v>27</v>
      </c>
      <c r="G88" s="2996" t="s">
        <v>3622</v>
      </c>
      <c r="H88" s="2996" t="s">
        <v>3623</v>
      </c>
      <c r="I88" s="2996" t="s">
        <v>3127</v>
      </c>
      <c r="J88" s="2999">
        <f ca="1">典型户型修正!R229</f>
        <v>9960</v>
      </c>
      <c r="K88" s="2999">
        <f ca="1">典型户型修正!S229</f>
        <v>52</v>
      </c>
    </row>
    <row r="89" spans="1:11" ht="25.5" customHeight="1">
      <c r="A89" s="2994">
        <v>84</v>
      </c>
      <c r="B89" s="2994" t="s">
        <v>3599</v>
      </c>
      <c r="C89" s="2997" t="s">
        <v>3624</v>
      </c>
      <c r="D89" s="2995">
        <v>52.17</v>
      </c>
      <c r="E89" s="2994" t="s">
        <v>3054</v>
      </c>
      <c r="F89" s="2994" t="s">
        <v>27</v>
      </c>
      <c r="G89" s="2996" t="s">
        <v>3625</v>
      </c>
      <c r="H89" s="2996" t="s">
        <v>3626</v>
      </c>
      <c r="I89" s="2996" t="s">
        <v>3127</v>
      </c>
      <c r="J89" s="2999">
        <f ca="1">典型户型修正!R230</f>
        <v>9861</v>
      </c>
      <c r="K89" s="2999">
        <f ca="1">典型户型修正!S230</f>
        <v>80</v>
      </c>
    </row>
    <row r="90" spans="1:11" ht="25.5" customHeight="1">
      <c r="A90" s="2994">
        <v>85</v>
      </c>
      <c r="B90" s="2994" t="s">
        <v>3627</v>
      </c>
      <c r="C90" s="2997" t="s">
        <v>3628</v>
      </c>
      <c r="D90" s="2995">
        <v>52.17</v>
      </c>
      <c r="E90" s="2994" t="s">
        <v>3054</v>
      </c>
      <c r="F90" s="2994" t="s">
        <v>27</v>
      </c>
      <c r="G90" s="2996" t="s">
        <v>3629</v>
      </c>
      <c r="H90" s="2996" t="s">
        <v>3630</v>
      </c>
      <c r="I90" s="2996" t="s">
        <v>3127</v>
      </c>
      <c r="J90" s="2999">
        <f ca="1">典型户型修正!R231</f>
        <v>9861</v>
      </c>
      <c r="K90" s="2999">
        <f ca="1">典型户型修正!S231</f>
        <v>66</v>
      </c>
    </row>
    <row r="91" spans="1:11" ht="25.5" customHeight="1">
      <c r="A91" s="2994">
        <v>86</v>
      </c>
      <c r="B91" s="2994" t="s">
        <v>3627</v>
      </c>
      <c r="C91" s="2997" t="s">
        <v>3631</v>
      </c>
      <c r="D91" s="2995">
        <v>52.17</v>
      </c>
      <c r="E91" s="2994" t="s">
        <v>3054</v>
      </c>
      <c r="F91" s="2994" t="s">
        <v>27</v>
      </c>
      <c r="G91" s="2996" t="s">
        <v>3632</v>
      </c>
      <c r="H91" s="2996" t="s">
        <v>3633</v>
      </c>
      <c r="I91" s="2996" t="s">
        <v>3127</v>
      </c>
      <c r="J91" s="2999">
        <f ca="1">典型户型修正!R232</f>
        <v>9861</v>
      </c>
      <c r="K91" s="2999">
        <f ca="1">典型户型修正!S232</f>
        <v>66</v>
      </c>
    </row>
    <row r="92" spans="1:11" ht="25.5" customHeight="1">
      <c r="A92" s="2994">
        <v>87</v>
      </c>
      <c r="B92" s="2994" t="s">
        <v>3627</v>
      </c>
      <c r="C92" s="2997" t="s">
        <v>3634</v>
      </c>
      <c r="D92" s="2995">
        <v>52.17</v>
      </c>
      <c r="E92" s="2994" t="s">
        <v>3054</v>
      </c>
      <c r="F92" s="2994" t="s">
        <v>27</v>
      </c>
      <c r="G92" s="2996" t="s">
        <v>3635</v>
      </c>
      <c r="H92" s="2996" t="s">
        <v>3636</v>
      </c>
      <c r="I92" s="2996" t="s">
        <v>3127</v>
      </c>
      <c r="J92" s="2999">
        <f ca="1">典型户型修正!R233</f>
        <v>9861</v>
      </c>
      <c r="K92" s="2999">
        <f ca="1">典型户型修正!S233</f>
        <v>80</v>
      </c>
    </row>
    <row r="93" spans="1:11" ht="25.5" customHeight="1">
      <c r="A93" s="2994">
        <v>88</v>
      </c>
      <c r="B93" s="2994" t="s">
        <v>3627</v>
      </c>
      <c r="C93" s="2997" t="s">
        <v>3637</v>
      </c>
      <c r="D93" s="2995">
        <v>52.17</v>
      </c>
      <c r="E93" s="2994" t="s">
        <v>3054</v>
      </c>
      <c r="F93" s="2994" t="s">
        <v>27</v>
      </c>
      <c r="G93" s="2996" t="s">
        <v>3638</v>
      </c>
      <c r="H93" s="2996" t="s">
        <v>3639</v>
      </c>
      <c r="I93" s="2996" t="s">
        <v>3127</v>
      </c>
      <c r="J93" s="2999">
        <f ca="1">典型户型修正!R234</f>
        <v>9960</v>
      </c>
      <c r="K93" s="2999">
        <f ca="1">典型户型修正!S234</f>
        <v>52</v>
      </c>
    </row>
    <row r="94" spans="1:11" ht="25.5" customHeight="1">
      <c r="A94" s="2994">
        <v>89</v>
      </c>
      <c r="B94" s="2994" t="s">
        <v>3627</v>
      </c>
      <c r="C94" s="2997" t="s">
        <v>3640</v>
      </c>
      <c r="D94" s="2995">
        <v>52.17</v>
      </c>
      <c r="E94" s="2994" t="s">
        <v>3054</v>
      </c>
      <c r="F94" s="2994" t="s">
        <v>27</v>
      </c>
      <c r="G94" s="2996" t="s">
        <v>3641</v>
      </c>
      <c r="H94" s="2996" t="s">
        <v>3642</v>
      </c>
      <c r="I94" s="2996" t="s">
        <v>3127</v>
      </c>
      <c r="J94" s="2999">
        <f ca="1">典型户型修正!R235</f>
        <v>9960</v>
      </c>
      <c r="K94" s="2999">
        <f ca="1">典型户型修正!S235</f>
        <v>52</v>
      </c>
    </row>
    <row r="95" spans="1:11" ht="25.5" customHeight="1">
      <c r="A95" s="2994">
        <v>90</v>
      </c>
      <c r="B95" s="2994" t="s">
        <v>3643</v>
      </c>
      <c r="C95" s="2997" t="s">
        <v>3644</v>
      </c>
      <c r="D95" s="2995">
        <v>52.17</v>
      </c>
      <c r="E95" s="2994" t="s">
        <v>3054</v>
      </c>
      <c r="F95" s="2994" t="s">
        <v>27</v>
      </c>
      <c r="G95" s="2996" t="s">
        <v>3645</v>
      </c>
      <c r="H95" s="2996" t="s">
        <v>3646</v>
      </c>
      <c r="I95" s="2996" t="s">
        <v>3127</v>
      </c>
      <c r="J95" s="2999">
        <f ca="1">典型户型修正!R236</f>
        <v>9960</v>
      </c>
      <c r="K95" s="2999">
        <f ca="1">典型户型修正!S236</f>
        <v>52</v>
      </c>
    </row>
    <row r="96" spans="1:11" ht="25.5" customHeight="1">
      <c r="A96" s="2994">
        <v>91</v>
      </c>
      <c r="B96" s="2994" t="s">
        <v>3643</v>
      </c>
      <c r="C96" s="2997" t="s">
        <v>3647</v>
      </c>
      <c r="D96" s="2995">
        <v>52.17</v>
      </c>
      <c r="E96" s="2994" t="s">
        <v>3054</v>
      </c>
      <c r="F96" s="2994" t="s">
        <v>27</v>
      </c>
      <c r="G96" s="2996" t="s">
        <v>3648</v>
      </c>
      <c r="H96" s="2996" t="s">
        <v>3649</v>
      </c>
      <c r="I96" s="2996" t="s">
        <v>3127</v>
      </c>
      <c r="J96" s="2999">
        <f ca="1">典型户型修正!R237</f>
        <v>9960</v>
      </c>
      <c r="K96" s="2999">
        <f ca="1">典型户型修正!S237</f>
        <v>52</v>
      </c>
    </row>
    <row r="97" spans="1:11" ht="25.5" customHeight="1">
      <c r="A97" s="2994">
        <v>92</v>
      </c>
      <c r="B97" s="2994" t="s">
        <v>3643</v>
      </c>
      <c r="C97" s="2997" t="s">
        <v>3650</v>
      </c>
      <c r="D97" s="2995">
        <v>52.17</v>
      </c>
      <c r="E97" s="2994" t="s">
        <v>3054</v>
      </c>
      <c r="F97" s="2994" t="s">
        <v>27</v>
      </c>
      <c r="G97" s="2996" t="s">
        <v>3651</v>
      </c>
      <c r="H97" s="2996" t="s">
        <v>3652</v>
      </c>
      <c r="I97" s="2996" t="s">
        <v>3127</v>
      </c>
      <c r="J97" s="2999">
        <f ca="1">典型户型修正!R238</f>
        <v>9960</v>
      </c>
      <c r="K97" s="2999">
        <f ca="1">典型户型修正!S238</f>
        <v>52</v>
      </c>
    </row>
    <row r="98" spans="1:11" ht="25.5" customHeight="1">
      <c r="A98" s="2994">
        <v>93</v>
      </c>
      <c r="B98" s="2994" t="s">
        <v>3643</v>
      </c>
      <c r="C98" s="2997" t="s">
        <v>3653</v>
      </c>
      <c r="D98" s="2995">
        <v>93.08</v>
      </c>
      <c r="E98" s="2994" t="s">
        <v>3054</v>
      </c>
      <c r="F98" s="2994" t="s">
        <v>27</v>
      </c>
      <c r="G98" s="2996" t="s">
        <v>3654</v>
      </c>
      <c r="H98" s="2996" t="s">
        <v>3655</v>
      </c>
      <c r="I98" s="2996" t="s">
        <v>3127</v>
      </c>
      <c r="J98" s="2999">
        <f ca="1">典型户型修正!R239</f>
        <v>9960</v>
      </c>
      <c r="K98" s="2999">
        <f ca="1">典型户型修正!S239</f>
        <v>52</v>
      </c>
    </row>
    <row r="99" spans="1:11" ht="25.5" customHeight="1">
      <c r="A99" s="2994">
        <v>94</v>
      </c>
      <c r="B99" s="2994" t="s">
        <v>3643</v>
      </c>
      <c r="C99" s="2997" t="s">
        <v>3656</v>
      </c>
      <c r="D99" s="2995">
        <v>93.08</v>
      </c>
      <c r="E99" s="2994" t="s">
        <v>3054</v>
      </c>
      <c r="F99" s="2994" t="s">
        <v>27</v>
      </c>
      <c r="G99" s="2996" t="s">
        <v>3657</v>
      </c>
      <c r="H99" s="2996" t="s">
        <v>3658</v>
      </c>
      <c r="I99" s="2996" t="s">
        <v>3127</v>
      </c>
      <c r="J99" s="2999">
        <f ca="1">典型户型修正!R240</f>
        <v>9960</v>
      </c>
      <c r="K99" s="2999">
        <f ca="1">典型户型修正!S240</f>
        <v>52</v>
      </c>
    </row>
    <row r="100" spans="1:11" ht="25.5" customHeight="1">
      <c r="A100" s="2994">
        <v>95</v>
      </c>
      <c r="B100" s="2994" t="s">
        <v>3643</v>
      </c>
      <c r="C100" s="2997" t="s">
        <v>3659</v>
      </c>
      <c r="D100" s="2995">
        <v>80.73</v>
      </c>
      <c r="E100" s="2994" t="s">
        <v>3054</v>
      </c>
      <c r="F100" s="2994" t="s">
        <v>27</v>
      </c>
      <c r="G100" s="2996" t="s">
        <v>3660</v>
      </c>
      <c r="H100" s="2996" t="s">
        <v>3661</v>
      </c>
      <c r="I100" s="2996" t="s">
        <v>3127</v>
      </c>
      <c r="J100" s="2999">
        <f ca="1">典型户型修正!R241</f>
        <v>9960</v>
      </c>
      <c r="K100" s="2999">
        <f ca="1">典型户型修正!S241</f>
        <v>52</v>
      </c>
    </row>
    <row r="101" spans="1:11" ht="25.5" customHeight="1">
      <c r="A101" s="2994">
        <v>96</v>
      </c>
      <c r="B101" s="2994" t="s">
        <v>3643</v>
      </c>
      <c r="C101" s="2997" t="s">
        <v>3662</v>
      </c>
      <c r="D101" s="2995">
        <v>52.17</v>
      </c>
      <c r="E101" s="2994" t="s">
        <v>3054</v>
      </c>
      <c r="F101" s="2994" t="s">
        <v>27</v>
      </c>
      <c r="G101" s="2996" t="s">
        <v>3663</v>
      </c>
      <c r="H101" s="2996" t="s">
        <v>3664</v>
      </c>
      <c r="I101" s="2996" t="s">
        <v>3127</v>
      </c>
      <c r="J101" s="2999">
        <f ca="1">典型户型修正!R242</f>
        <v>9960</v>
      </c>
      <c r="K101" s="2999">
        <f ca="1">典型户型修正!S242</f>
        <v>52</v>
      </c>
    </row>
    <row r="102" spans="1:11" ht="25.5" customHeight="1">
      <c r="A102" s="2994">
        <v>97</v>
      </c>
      <c r="B102" s="2994" t="s">
        <v>3643</v>
      </c>
      <c r="C102" s="2997" t="s">
        <v>3665</v>
      </c>
      <c r="D102" s="2995">
        <v>52.17</v>
      </c>
      <c r="E102" s="2994" t="s">
        <v>3054</v>
      </c>
      <c r="F102" s="2994" t="s">
        <v>27</v>
      </c>
      <c r="G102" s="2996" t="s">
        <v>3666</v>
      </c>
      <c r="H102" s="2996" t="s">
        <v>3667</v>
      </c>
      <c r="I102" s="2996" t="s">
        <v>3127</v>
      </c>
      <c r="J102" s="2999">
        <f ca="1">典型户型修正!R243</f>
        <v>9960</v>
      </c>
      <c r="K102" s="2999">
        <f ca="1">典型户型修正!S243</f>
        <v>52</v>
      </c>
    </row>
    <row r="103" spans="1:11" ht="25.5" customHeight="1">
      <c r="A103" s="2994">
        <v>98</v>
      </c>
      <c r="B103" s="2994" t="s">
        <v>3643</v>
      </c>
      <c r="C103" s="2997" t="s">
        <v>3668</v>
      </c>
      <c r="D103" s="2995">
        <v>52.17</v>
      </c>
      <c r="E103" s="2994" t="s">
        <v>3054</v>
      </c>
      <c r="F103" s="2994" t="s">
        <v>27</v>
      </c>
      <c r="G103" s="2996" t="s">
        <v>3669</v>
      </c>
      <c r="H103" s="2996" t="s">
        <v>3670</v>
      </c>
      <c r="I103" s="2996" t="s">
        <v>3127</v>
      </c>
      <c r="J103" s="2999">
        <f ca="1">典型户型修正!R244</f>
        <v>9861</v>
      </c>
      <c r="K103" s="2999">
        <f ca="1">典型户型修正!S244</f>
        <v>80</v>
      </c>
    </row>
    <row r="104" spans="1:11" ht="25.5" customHeight="1">
      <c r="A104" s="2994">
        <v>99</v>
      </c>
      <c r="B104" s="2994" t="s">
        <v>3643</v>
      </c>
      <c r="C104" s="2997" t="s">
        <v>3671</v>
      </c>
      <c r="D104" s="2995">
        <v>52.17</v>
      </c>
      <c r="E104" s="2994" t="s">
        <v>3054</v>
      </c>
      <c r="F104" s="2994" t="s">
        <v>27</v>
      </c>
      <c r="G104" s="2996" t="s">
        <v>3672</v>
      </c>
      <c r="H104" s="2996" t="s">
        <v>3673</v>
      </c>
      <c r="I104" s="2996" t="s">
        <v>3127</v>
      </c>
      <c r="J104" s="2999">
        <f ca="1">典型户型修正!R245</f>
        <v>9861</v>
      </c>
      <c r="K104" s="2999">
        <f ca="1">典型户型修正!S245</f>
        <v>92</v>
      </c>
    </row>
    <row r="105" spans="1:11" ht="25.5" customHeight="1">
      <c r="A105" s="2994">
        <v>100</v>
      </c>
      <c r="B105" s="2994" t="s">
        <v>3643</v>
      </c>
      <c r="C105" s="2997" t="s">
        <v>3674</v>
      </c>
      <c r="D105" s="2995">
        <v>52.17</v>
      </c>
      <c r="E105" s="2994" t="s">
        <v>3054</v>
      </c>
      <c r="F105" s="2994" t="s">
        <v>27</v>
      </c>
      <c r="G105" s="2996" t="s">
        <v>3675</v>
      </c>
      <c r="H105" s="2996" t="s">
        <v>3676</v>
      </c>
      <c r="I105" s="2996" t="s">
        <v>3127</v>
      </c>
      <c r="J105" s="2999">
        <f ca="1">典型户型修正!R246</f>
        <v>9861</v>
      </c>
      <c r="K105" s="2999">
        <f ca="1">典型户型修正!S246</f>
        <v>92</v>
      </c>
    </row>
    <row r="106" spans="1:11" ht="25.5" customHeight="1">
      <c r="A106" s="2994">
        <v>101</v>
      </c>
      <c r="B106" s="2993" t="s">
        <v>3643</v>
      </c>
      <c r="C106" s="2994" t="s">
        <v>3677</v>
      </c>
      <c r="D106" s="2995">
        <v>52.17</v>
      </c>
      <c r="E106" s="2994" t="s">
        <v>3678</v>
      </c>
      <c r="F106" s="2997" t="s">
        <v>3679</v>
      </c>
      <c r="G106" s="2996" t="s">
        <v>3680</v>
      </c>
      <c r="H106" s="2996" t="s">
        <v>3681</v>
      </c>
      <c r="I106" s="2996" t="s">
        <v>3127</v>
      </c>
      <c r="J106" s="2999">
        <f ca="1">典型户型修正!R247</f>
        <v>9861</v>
      </c>
      <c r="K106" s="2999">
        <f ca="1">典型户型修正!S247</f>
        <v>80</v>
      </c>
    </row>
    <row r="107" spans="1:11" ht="25.5" customHeight="1">
      <c r="A107" s="2994">
        <v>102</v>
      </c>
      <c r="B107" s="2994" t="s">
        <v>3370</v>
      </c>
      <c r="C107" s="2994" t="s">
        <v>3682</v>
      </c>
      <c r="D107" s="2995">
        <v>52.17</v>
      </c>
      <c r="E107" s="2994" t="s">
        <v>3678</v>
      </c>
      <c r="F107" s="2997" t="s">
        <v>3679</v>
      </c>
      <c r="G107" s="2996" t="s">
        <v>3683</v>
      </c>
      <c r="H107" s="2996" t="s">
        <v>3684</v>
      </c>
      <c r="I107" s="2996" t="s">
        <v>3127</v>
      </c>
      <c r="J107" s="2999">
        <f ca="1">典型户型修正!R248</f>
        <v>9960</v>
      </c>
      <c r="K107" s="2999">
        <f ca="1">典型户型修正!S248</f>
        <v>52</v>
      </c>
    </row>
    <row r="108" spans="1:11" ht="25.5" customHeight="1">
      <c r="A108" s="2994">
        <v>103</v>
      </c>
      <c r="B108" s="2994" t="s">
        <v>3370</v>
      </c>
      <c r="C108" s="2994" t="s">
        <v>3685</v>
      </c>
      <c r="D108" s="2995">
        <v>52.17</v>
      </c>
      <c r="E108" s="2994" t="s">
        <v>3678</v>
      </c>
      <c r="F108" s="2997" t="s">
        <v>3679</v>
      </c>
      <c r="G108" s="2996" t="s">
        <v>3686</v>
      </c>
      <c r="H108" s="2996" t="s">
        <v>3687</v>
      </c>
      <c r="I108" s="2996" t="s">
        <v>3127</v>
      </c>
      <c r="J108" s="2999">
        <f ca="1">典型户型修正!R249</f>
        <v>9960</v>
      </c>
      <c r="K108" s="2999">
        <f ca="1">典型户型修正!S249</f>
        <v>52</v>
      </c>
    </row>
    <row r="109" spans="1:11" ht="25.5" customHeight="1">
      <c r="A109" s="2994">
        <v>104</v>
      </c>
      <c r="B109" s="2994" t="s">
        <v>3370</v>
      </c>
      <c r="C109" s="2994" t="s">
        <v>3688</v>
      </c>
      <c r="D109" s="2995">
        <v>52.17</v>
      </c>
      <c r="E109" s="2994" t="s">
        <v>3678</v>
      </c>
      <c r="F109" s="2997" t="s">
        <v>3679</v>
      </c>
      <c r="G109" s="2996" t="s">
        <v>3689</v>
      </c>
      <c r="H109" s="2996" t="s">
        <v>3690</v>
      </c>
      <c r="I109" s="2996" t="s">
        <v>3127</v>
      </c>
      <c r="J109" s="2999">
        <f ca="1">典型户型修正!R250</f>
        <v>9960</v>
      </c>
      <c r="K109" s="2999">
        <f ca="1">典型户型修正!S250</f>
        <v>52</v>
      </c>
    </row>
    <row r="110" spans="1:11" ht="25.5" customHeight="1">
      <c r="A110" s="2994">
        <v>105</v>
      </c>
      <c r="B110" s="2994" t="s">
        <v>3370</v>
      </c>
      <c r="C110" s="2994" t="s">
        <v>3691</v>
      </c>
      <c r="D110" s="2995">
        <v>52.17</v>
      </c>
      <c r="E110" s="2994" t="s">
        <v>3678</v>
      </c>
      <c r="F110" s="2997" t="s">
        <v>3679</v>
      </c>
      <c r="G110" s="2996" t="s">
        <v>3692</v>
      </c>
      <c r="H110" s="2996" t="s">
        <v>3693</v>
      </c>
      <c r="I110" s="2996" t="s">
        <v>3127</v>
      </c>
      <c r="J110" s="2999">
        <f ca="1">典型户型修正!R251</f>
        <v>9960</v>
      </c>
      <c r="K110" s="2999">
        <f ca="1">典型户型修正!S251</f>
        <v>52</v>
      </c>
    </row>
    <row r="111" spans="1:11" ht="25.5" customHeight="1">
      <c r="A111" s="2994">
        <v>106</v>
      </c>
      <c r="B111" s="2994" t="s">
        <v>3370</v>
      </c>
      <c r="C111" s="2994" t="s">
        <v>3694</v>
      </c>
      <c r="D111" s="2995">
        <v>52.17</v>
      </c>
      <c r="E111" s="2994" t="s">
        <v>3678</v>
      </c>
      <c r="F111" s="2997" t="s">
        <v>3679</v>
      </c>
      <c r="G111" s="2996" t="s">
        <v>3695</v>
      </c>
      <c r="H111" s="2996" t="s">
        <v>3696</v>
      </c>
      <c r="I111" s="2996" t="s">
        <v>3127</v>
      </c>
      <c r="J111" s="2999">
        <f ca="1">典型户型修正!R252</f>
        <v>9960</v>
      </c>
      <c r="K111" s="2999">
        <f ca="1">典型户型修正!S252</f>
        <v>52</v>
      </c>
    </row>
    <row r="112" spans="1:11" ht="25.5" customHeight="1">
      <c r="A112" s="2994">
        <v>107</v>
      </c>
      <c r="B112" s="2994" t="s">
        <v>3370</v>
      </c>
      <c r="C112" s="2994" t="s">
        <v>3697</v>
      </c>
      <c r="D112" s="2995">
        <v>52.17</v>
      </c>
      <c r="E112" s="2994" t="s">
        <v>3678</v>
      </c>
      <c r="F112" s="2997" t="s">
        <v>3679</v>
      </c>
      <c r="G112" s="2996" t="s">
        <v>3698</v>
      </c>
      <c r="H112" s="2996" t="s">
        <v>3699</v>
      </c>
      <c r="I112" s="2996" t="s">
        <v>3127</v>
      </c>
      <c r="J112" s="2999">
        <f ca="1">典型户型修正!R253</f>
        <v>9960</v>
      </c>
      <c r="K112" s="2999">
        <f ca="1">典型户型修正!S253</f>
        <v>52</v>
      </c>
    </row>
    <row r="113" spans="1:11" ht="25.5" customHeight="1">
      <c r="A113" s="2994">
        <v>108</v>
      </c>
      <c r="B113" s="2994" t="s">
        <v>3477</v>
      </c>
      <c r="C113" s="2994" t="s">
        <v>3700</v>
      </c>
      <c r="D113" s="2995">
        <v>52.17</v>
      </c>
      <c r="E113" s="2994" t="s">
        <v>3701</v>
      </c>
      <c r="F113" s="2997" t="s">
        <v>3702</v>
      </c>
      <c r="G113" s="2996" t="s">
        <v>3703</v>
      </c>
      <c r="H113" s="2996" t="s">
        <v>3704</v>
      </c>
      <c r="I113" s="2996" t="s">
        <v>3127</v>
      </c>
      <c r="J113" s="2999">
        <f ca="1">典型户型修正!R254</f>
        <v>9960</v>
      </c>
      <c r="K113" s="2999">
        <f ca="1">典型户型修正!S254</f>
        <v>52</v>
      </c>
    </row>
    <row r="114" spans="1:11" ht="25.5" customHeight="1">
      <c r="A114" s="2994">
        <v>109</v>
      </c>
      <c r="B114" s="2994" t="s">
        <v>3477</v>
      </c>
      <c r="C114" s="2994" t="s">
        <v>3705</v>
      </c>
      <c r="D114" s="2995">
        <v>52.17</v>
      </c>
      <c r="E114" s="2994" t="s">
        <v>3701</v>
      </c>
      <c r="F114" s="2997" t="s">
        <v>3702</v>
      </c>
      <c r="G114" s="2996" t="s">
        <v>3706</v>
      </c>
      <c r="H114" s="2996" t="s">
        <v>3707</v>
      </c>
      <c r="I114" s="2996" t="s">
        <v>3127</v>
      </c>
      <c r="J114" s="2999">
        <f ca="1">典型户型修正!R255</f>
        <v>9960</v>
      </c>
      <c r="K114" s="2999">
        <f ca="1">典型户型修正!S255</f>
        <v>52</v>
      </c>
    </row>
    <row r="115" spans="1:11" ht="25.5" customHeight="1">
      <c r="A115" s="2994">
        <v>110</v>
      </c>
      <c r="B115" s="2994" t="s">
        <v>3477</v>
      </c>
      <c r="C115" s="2994" t="s">
        <v>3708</v>
      </c>
      <c r="D115" s="2995">
        <v>80.73</v>
      </c>
      <c r="E115" s="2994" t="s">
        <v>3701</v>
      </c>
      <c r="F115" s="2997" t="s">
        <v>3702</v>
      </c>
      <c r="G115" s="2996" t="s">
        <v>3709</v>
      </c>
      <c r="H115" s="2996" t="s">
        <v>3710</v>
      </c>
      <c r="I115" s="2996" t="s">
        <v>3127</v>
      </c>
      <c r="J115" s="2999">
        <f ca="1">典型户型修正!R256</f>
        <v>9960</v>
      </c>
      <c r="K115" s="2999">
        <f ca="1">典型户型修正!S256</f>
        <v>52</v>
      </c>
    </row>
    <row r="116" spans="1:11" ht="25.5" customHeight="1">
      <c r="A116" s="2994">
        <v>111</v>
      </c>
      <c r="B116" s="2994" t="s">
        <v>3477</v>
      </c>
      <c r="C116" s="2994" t="s">
        <v>3711</v>
      </c>
      <c r="D116" s="2995">
        <v>93.08</v>
      </c>
      <c r="E116" s="2994" t="s">
        <v>3678</v>
      </c>
      <c r="F116" s="2997" t="s">
        <v>3679</v>
      </c>
      <c r="G116" s="2996" t="s">
        <v>3712</v>
      </c>
      <c r="H116" s="2996" t="s">
        <v>3713</v>
      </c>
      <c r="I116" s="2996" t="s">
        <v>3127</v>
      </c>
      <c r="J116" s="2999">
        <f ca="1">典型户型修正!R257</f>
        <v>9960</v>
      </c>
      <c r="K116" s="2999">
        <f ca="1">典型户型修正!S257</f>
        <v>52</v>
      </c>
    </row>
    <row r="117" spans="1:11" ht="25.5" customHeight="1">
      <c r="A117" s="2994">
        <v>112</v>
      </c>
      <c r="B117" s="2994" t="s">
        <v>3370</v>
      </c>
      <c r="C117" s="2994" t="s">
        <v>3714</v>
      </c>
      <c r="D117" s="2995">
        <v>93.08</v>
      </c>
      <c r="E117" s="2994" t="s">
        <v>3678</v>
      </c>
      <c r="F117" s="2997" t="s">
        <v>3679</v>
      </c>
      <c r="G117" s="2996" t="s">
        <v>3715</v>
      </c>
      <c r="H117" s="2996" t="s">
        <v>3716</v>
      </c>
      <c r="I117" s="2996" t="s">
        <v>3127</v>
      </c>
      <c r="J117" s="2999">
        <f ca="1">典型户型修正!R258</f>
        <v>9861</v>
      </c>
      <c r="K117" s="2999">
        <f ca="1">典型户型修正!S258</f>
        <v>80</v>
      </c>
    </row>
    <row r="118" spans="1:11" ht="25.5" customHeight="1">
      <c r="A118" s="2994">
        <v>113</v>
      </c>
      <c r="B118" s="2994" t="s">
        <v>3370</v>
      </c>
      <c r="C118" s="2994" t="s">
        <v>3717</v>
      </c>
      <c r="D118" s="2995">
        <v>66.040000000000006</v>
      </c>
      <c r="E118" s="2994" t="s">
        <v>3678</v>
      </c>
      <c r="F118" s="2997" t="s">
        <v>3679</v>
      </c>
      <c r="G118" s="2996" t="s">
        <v>3718</v>
      </c>
      <c r="H118" s="2996" t="s">
        <v>3719</v>
      </c>
      <c r="I118" s="2996" t="s">
        <v>3127</v>
      </c>
      <c r="J118" s="2999">
        <f ca="1">典型户型修正!R259</f>
        <v>9861</v>
      </c>
      <c r="K118" s="2999">
        <f ca="1">典型户型修正!S259</f>
        <v>66</v>
      </c>
    </row>
    <row r="119" spans="1:11" ht="25.5" customHeight="1">
      <c r="A119" s="2994">
        <v>114</v>
      </c>
      <c r="B119" s="2994" t="s">
        <v>3370</v>
      </c>
      <c r="C119" s="2994" t="s">
        <v>3720</v>
      </c>
      <c r="D119" s="2995">
        <v>66.040000000000006</v>
      </c>
      <c r="E119" s="2994" t="s">
        <v>3678</v>
      </c>
      <c r="F119" s="2997" t="s">
        <v>3679</v>
      </c>
      <c r="G119" s="2996" t="s">
        <v>3721</v>
      </c>
      <c r="H119" s="2996" t="s">
        <v>3722</v>
      </c>
      <c r="I119" s="2996" t="s">
        <v>3127</v>
      </c>
      <c r="J119" s="2999">
        <f ca="1">典型户型修正!R260</f>
        <v>9861</v>
      </c>
      <c r="K119" s="2999">
        <f ca="1">典型户型修正!S260</f>
        <v>66</v>
      </c>
    </row>
    <row r="120" spans="1:11" ht="25.5" customHeight="1">
      <c r="A120" s="2994">
        <v>115</v>
      </c>
      <c r="B120" s="2994" t="s">
        <v>3370</v>
      </c>
      <c r="C120" s="2994" t="s">
        <v>3723</v>
      </c>
      <c r="D120" s="2995">
        <v>80.73</v>
      </c>
      <c r="E120" s="2994" t="s">
        <v>3678</v>
      </c>
      <c r="F120" s="2997" t="s">
        <v>3679</v>
      </c>
      <c r="G120" s="2996" t="s">
        <v>3724</v>
      </c>
      <c r="H120" s="2996" t="s">
        <v>3725</v>
      </c>
      <c r="I120" s="2996" t="s">
        <v>3127</v>
      </c>
      <c r="J120" s="2999">
        <f ca="1">典型户型修正!R261</f>
        <v>9861</v>
      </c>
      <c r="K120" s="2999">
        <f ca="1">典型户型修正!S261</f>
        <v>80</v>
      </c>
    </row>
    <row r="121" spans="1:11" ht="25.5" customHeight="1">
      <c r="A121" s="2994">
        <v>116</v>
      </c>
      <c r="B121" s="2994" t="s">
        <v>3477</v>
      </c>
      <c r="C121" s="2994" t="s">
        <v>3726</v>
      </c>
      <c r="D121" s="2995">
        <v>52.17</v>
      </c>
      <c r="E121" s="2994" t="s">
        <v>3701</v>
      </c>
      <c r="F121" s="2997" t="s">
        <v>3702</v>
      </c>
      <c r="G121" s="2996" t="s">
        <v>3727</v>
      </c>
      <c r="H121" s="2996" t="s">
        <v>3728</v>
      </c>
      <c r="I121" s="2996" t="s">
        <v>3127</v>
      </c>
      <c r="J121" s="2999">
        <f ca="1">典型户型修正!R262</f>
        <v>9960</v>
      </c>
      <c r="K121" s="2999">
        <f ca="1">典型户型修正!S262</f>
        <v>52</v>
      </c>
    </row>
    <row r="122" spans="1:11" ht="25.5" customHeight="1">
      <c r="A122" s="2994">
        <v>117</v>
      </c>
      <c r="B122" s="2994" t="s">
        <v>3477</v>
      </c>
      <c r="C122" s="2994" t="s">
        <v>3729</v>
      </c>
      <c r="D122" s="2995">
        <v>52.17</v>
      </c>
      <c r="E122" s="2994" t="s">
        <v>3701</v>
      </c>
      <c r="F122" s="2997" t="s">
        <v>3702</v>
      </c>
      <c r="G122" s="2996" t="s">
        <v>3730</v>
      </c>
      <c r="H122" s="2996" t="s">
        <v>3731</v>
      </c>
      <c r="I122" s="2996" t="s">
        <v>3127</v>
      </c>
      <c r="J122" s="2999">
        <f ca="1">典型户型修正!R263</f>
        <v>9960</v>
      </c>
      <c r="K122" s="2999">
        <f ca="1">典型户型修正!S263</f>
        <v>52</v>
      </c>
    </row>
    <row r="123" spans="1:11" ht="25.5" customHeight="1">
      <c r="A123" s="2994">
        <v>118</v>
      </c>
      <c r="B123" s="2994" t="s">
        <v>3477</v>
      </c>
      <c r="C123" s="2994" t="s">
        <v>3732</v>
      </c>
      <c r="D123" s="2995">
        <v>52.17</v>
      </c>
      <c r="E123" s="2994" t="s">
        <v>3701</v>
      </c>
      <c r="F123" s="2997" t="s">
        <v>3702</v>
      </c>
      <c r="G123" s="2996" t="s">
        <v>3733</v>
      </c>
      <c r="H123" s="2996" t="s">
        <v>3734</v>
      </c>
      <c r="I123" s="2996" t="s">
        <v>3127</v>
      </c>
      <c r="J123" s="2999">
        <f ca="1">典型户型修正!R264</f>
        <v>9960</v>
      </c>
      <c r="K123" s="2999">
        <f ca="1">典型户型修正!S264</f>
        <v>52</v>
      </c>
    </row>
    <row r="124" spans="1:11" ht="25.5" customHeight="1">
      <c r="A124" s="2994">
        <v>119</v>
      </c>
      <c r="B124" s="2994" t="s">
        <v>3477</v>
      </c>
      <c r="C124" s="2994" t="s">
        <v>3735</v>
      </c>
      <c r="D124" s="2995">
        <v>52.17</v>
      </c>
      <c r="E124" s="2994" t="s">
        <v>3701</v>
      </c>
      <c r="F124" s="2997" t="s">
        <v>3702</v>
      </c>
      <c r="G124" s="2996" t="s">
        <v>3736</v>
      </c>
      <c r="H124" s="2996" t="s">
        <v>3737</v>
      </c>
      <c r="I124" s="2996" t="s">
        <v>3127</v>
      </c>
      <c r="J124" s="2999">
        <f ca="1">典型户型修正!R265</f>
        <v>9960</v>
      </c>
      <c r="K124" s="2999">
        <f ca="1">典型户型修正!S265</f>
        <v>52</v>
      </c>
    </row>
    <row r="125" spans="1:11" ht="25.5" customHeight="1">
      <c r="A125" s="2994">
        <v>120</v>
      </c>
      <c r="B125" s="2994" t="s">
        <v>3477</v>
      </c>
      <c r="C125" s="2994" t="s">
        <v>3738</v>
      </c>
      <c r="D125" s="2995">
        <v>52.17</v>
      </c>
      <c r="E125" s="2994" t="s">
        <v>3701</v>
      </c>
      <c r="F125" s="2997" t="s">
        <v>3702</v>
      </c>
      <c r="G125" s="2996" t="s">
        <v>3739</v>
      </c>
      <c r="H125" s="2996" t="s">
        <v>3740</v>
      </c>
      <c r="I125" s="2996" t="s">
        <v>3127</v>
      </c>
      <c r="J125" s="2999">
        <f ca="1">典型户型修正!R266</f>
        <v>9960</v>
      </c>
      <c r="K125" s="2999">
        <f ca="1">典型户型修正!S266</f>
        <v>52</v>
      </c>
    </row>
    <row r="126" spans="1:11" ht="25.5" customHeight="1">
      <c r="A126" s="2994">
        <v>121</v>
      </c>
      <c r="B126" s="2994" t="s">
        <v>3477</v>
      </c>
      <c r="C126" s="2994" t="s">
        <v>3741</v>
      </c>
      <c r="D126" s="2995">
        <v>52.17</v>
      </c>
      <c r="E126" s="2994" t="s">
        <v>3701</v>
      </c>
      <c r="F126" s="2997" t="s">
        <v>3702</v>
      </c>
      <c r="G126" s="2996" t="s">
        <v>3742</v>
      </c>
      <c r="H126" s="2996" t="s">
        <v>3743</v>
      </c>
      <c r="I126" s="2996" t="s">
        <v>3127</v>
      </c>
      <c r="J126" s="2999">
        <f ca="1">典型户型修正!R267</f>
        <v>9960</v>
      </c>
      <c r="K126" s="2999">
        <f ca="1">典型户型修正!S267</f>
        <v>52</v>
      </c>
    </row>
    <row r="127" spans="1:11" ht="25.5" customHeight="1">
      <c r="A127" s="2994">
        <v>122</v>
      </c>
      <c r="B127" s="2994" t="s">
        <v>3477</v>
      </c>
      <c r="C127" s="2994" t="s">
        <v>3744</v>
      </c>
      <c r="D127" s="2995">
        <v>52.17</v>
      </c>
      <c r="E127" s="2994" t="s">
        <v>3701</v>
      </c>
      <c r="F127" s="2997" t="s">
        <v>3702</v>
      </c>
      <c r="G127" s="2996" t="s">
        <v>3745</v>
      </c>
      <c r="H127" s="2996" t="s">
        <v>3746</v>
      </c>
      <c r="I127" s="2996" t="s">
        <v>3127</v>
      </c>
      <c r="J127" s="2999">
        <f ca="1">典型户型修正!R268</f>
        <v>9960</v>
      </c>
      <c r="K127" s="2999">
        <f ca="1">典型户型修正!S268</f>
        <v>52</v>
      </c>
    </row>
    <row r="128" spans="1:11" ht="25.5" customHeight="1">
      <c r="A128" s="2994">
        <v>123</v>
      </c>
      <c r="B128" s="2994" t="s">
        <v>3477</v>
      </c>
      <c r="C128" s="2994" t="s">
        <v>3747</v>
      </c>
      <c r="D128" s="2995">
        <v>52.17</v>
      </c>
      <c r="E128" s="2994" t="s">
        <v>3701</v>
      </c>
      <c r="F128" s="2997" t="s">
        <v>3702</v>
      </c>
      <c r="G128" s="2996" t="s">
        <v>3748</v>
      </c>
      <c r="H128" s="2996" t="s">
        <v>3749</v>
      </c>
      <c r="I128" s="2996" t="s">
        <v>3127</v>
      </c>
      <c r="J128" s="2999">
        <f ca="1">典型户型修正!R269</f>
        <v>9960</v>
      </c>
      <c r="K128" s="2999">
        <f ca="1">典型户型修正!S269</f>
        <v>52</v>
      </c>
    </row>
    <row r="129" spans="1:11" ht="25.5" customHeight="1">
      <c r="A129" s="2994">
        <v>124</v>
      </c>
      <c r="B129" s="2994" t="s">
        <v>3477</v>
      </c>
      <c r="C129" s="2994" t="s">
        <v>3750</v>
      </c>
      <c r="D129" s="2995">
        <v>52.17</v>
      </c>
      <c r="E129" s="2994" t="s">
        <v>3701</v>
      </c>
      <c r="F129" s="2997" t="s">
        <v>3702</v>
      </c>
      <c r="G129" s="2996" t="s">
        <v>3751</v>
      </c>
      <c r="H129" s="2996" t="s">
        <v>3752</v>
      </c>
      <c r="I129" s="2996" t="s">
        <v>3127</v>
      </c>
      <c r="J129" s="2999">
        <f ca="1">典型户型修正!R270</f>
        <v>9960</v>
      </c>
      <c r="K129" s="2999">
        <f ca="1">典型户型修正!S270</f>
        <v>52</v>
      </c>
    </row>
    <row r="130" spans="1:11" ht="25.5" customHeight="1">
      <c r="A130" s="2994">
        <v>125</v>
      </c>
      <c r="B130" s="2994" t="s">
        <v>3477</v>
      </c>
      <c r="C130" s="2994" t="s">
        <v>3753</v>
      </c>
      <c r="D130" s="2995">
        <v>52.17</v>
      </c>
      <c r="E130" s="2994" t="s">
        <v>3701</v>
      </c>
      <c r="F130" s="2997" t="s">
        <v>3702</v>
      </c>
      <c r="G130" s="2996" t="s">
        <v>3754</v>
      </c>
      <c r="H130" s="2996" t="s">
        <v>3755</v>
      </c>
      <c r="I130" s="2996" t="s">
        <v>3127</v>
      </c>
      <c r="J130" s="2999">
        <f ca="1">典型户型修正!R271</f>
        <v>9960</v>
      </c>
      <c r="K130" s="2999">
        <f ca="1">典型户型修正!S271</f>
        <v>52</v>
      </c>
    </row>
    <row r="131" spans="1:11" ht="25.5" customHeight="1">
      <c r="A131" s="2994">
        <v>126</v>
      </c>
      <c r="B131" s="2994" t="s">
        <v>3477</v>
      </c>
      <c r="C131" s="2994" t="s">
        <v>3756</v>
      </c>
      <c r="D131" s="2995">
        <v>80.73</v>
      </c>
      <c r="E131" s="2994" t="s">
        <v>3701</v>
      </c>
      <c r="F131" s="2997" t="s">
        <v>3702</v>
      </c>
      <c r="G131" s="2996" t="s">
        <v>3757</v>
      </c>
      <c r="H131" s="2996" t="s">
        <v>3758</v>
      </c>
      <c r="I131" s="2996" t="s">
        <v>3127</v>
      </c>
      <c r="J131" s="2999">
        <f ca="1">典型户型修正!R272</f>
        <v>9861</v>
      </c>
      <c r="K131" s="2999">
        <f ca="1">典型户型修正!S272</f>
        <v>80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A271" zoomScale="80" zoomScaleNormal="80" workbookViewId="0">
      <selection activeCell="A4" sqref="A4:K287"/>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111" t="s">
        <v>3364</v>
      </c>
      <c r="B1" s="3112"/>
      <c r="C1" s="3112"/>
      <c r="D1" s="3112"/>
      <c r="E1" s="3112"/>
      <c r="F1" s="3112"/>
      <c r="G1" s="3112"/>
      <c r="H1" s="3112"/>
      <c r="I1" s="3112"/>
      <c r="J1" s="3112"/>
      <c r="K1" s="3112"/>
    </row>
    <row r="2" spans="1:13" ht="14.25">
      <c r="A2" s="3113" t="s">
        <v>3365</v>
      </c>
      <c r="B2" s="3112"/>
      <c r="C2" s="3112"/>
      <c r="D2" s="3112"/>
      <c r="E2" s="3112"/>
      <c r="F2" s="3112"/>
      <c r="G2" s="3112"/>
      <c r="H2" s="3112"/>
      <c r="I2" s="3112"/>
      <c r="J2" s="3112"/>
      <c r="K2" s="3112"/>
    </row>
    <row r="3" spans="1:13" ht="14.25">
      <c r="A3" s="3113" t="s">
        <v>3761</v>
      </c>
      <c r="B3" s="3112"/>
      <c r="C3" s="3112"/>
      <c r="D3" s="3112"/>
      <c r="E3" s="3112"/>
      <c r="F3" s="3112"/>
      <c r="G3" s="3112"/>
      <c r="H3" s="3112"/>
      <c r="I3" s="3112"/>
      <c r="J3" s="3112"/>
      <c r="K3" s="3112"/>
    </row>
    <row r="4" spans="1:13" ht="14.25" customHeight="1">
      <c r="A4" s="3114" t="s">
        <v>3048</v>
      </c>
      <c r="B4" s="3114" t="s">
        <v>3049</v>
      </c>
      <c r="C4" s="3114" t="s">
        <v>3050</v>
      </c>
      <c r="D4" s="3106" t="s">
        <v>4611</v>
      </c>
      <c r="E4" s="3115" t="s">
        <v>3051</v>
      </c>
      <c r="F4" s="3104" t="s">
        <v>4610</v>
      </c>
      <c r="G4" s="3114" t="s">
        <v>3052</v>
      </c>
      <c r="H4" s="3114" t="s">
        <v>3053</v>
      </c>
      <c r="I4" s="3114" t="s">
        <v>3762</v>
      </c>
      <c r="J4" s="3114" t="s">
        <v>3763</v>
      </c>
      <c r="K4" s="3114" t="s">
        <v>3764</v>
      </c>
      <c r="L4" s="3103" t="s">
        <v>3360</v>
      </c>
      <c r="M4" s="3103" t="s">
        <v>4609</v>
      </c>
    </row>
    <row r="5" spans="1:13" ht="14.25" customHeight="1">
      <c r="A5" s="3114"/>
      <c r="B5" s="3114"/>
      <c r="C5" s="3114"/>
      <c r="D5" s="3107"/>
      <c r="E5" s="3115"/>
      <c r="F5" s="3105"/>
      <c r="G5" s="3114"/>
      <c r="H5" s="3114"/>
      <c r="I5" s="3114"/>
      <c r="J5" s="3114"/>
      <c r="K5" s="3114"/>
      <c r="L5" s="3103"/>
      <c r="M5" s="3103"/>
    </row>
    <row r="6" spans="1:13" ht="30.75" customHeight="1">
      <c r="A6" s="3012">
        <v>1</v>
      </c>
      <c r="B6" s="3007" t="s">
        <v>3765</v>
      </c>
      <c r="C6" s="3008" t="s">
        <v>3766</v>
      </c>
      <c r="D6" s="3008" t="s">
        <v>4612</v>
      </c>
      <c r="E6" s="3010">
        <v>80.73</v>
      </c>
      <c r="F6" s="3010">
        <f>'数据-基础表'!E13</f>
        <v>4.24</v>
      </c>
      <c r="G6" s="3007" t="s">
        <v>3054</v>
      </c>
      <c r="H6" s="3009" t="s">
        <v>27</v>
      </c>
      <c r="I6" s="3006" t="s">
        <v>3767</v>
      </c>
      <c r="J6" s="3006" t="s">
        <v>3768</v>
      </c>
      <c r="K6" s="3012" t="s">
        <v>3127</v>
      </c>
      <c r="L6" s="3004">
        <f ca="1">典型户型修正!R24</f>
        <v>9668</v>
      </c>
      <c r="M6" s="3004">
        <f ca="1">典型户型修正!S24</f>
        <v>78</v>
      </c>
    </row>
    <row r="7" spans="1:13" ht="30.75" customHeight="1">
      <c r="A7" s="3012">
        <v>2</v>
      </c>
      <c r="B7" s="3007" t="s">
        <v>3765</v>
      </c>
      <c r="C7" s="3007" t="s">
        <v>3769</v>
      </c>
      <c r="D7" s="3008" t="s">
        <v>4612</v>
      </c>
      <c r="E7" s="3010">
        <v>52.17</v>
      </c>
      <c r="F7" s="3010">
        <f>'数据-基础表'!E14</f>
        <v>2.74</v>
      </c>
      <c r="G7" s="3007" t="s">
        <v>3054</v>
      </c>
      <c r="H7" s="3009" t="s">
        <v>27</v>
      </c>
      <c r="I7" s="3006" t="s">
        <v>3770</v>
      </c>
      <c r="J7" s="3006" t="s">
        <v>3771</v>
      </c>
      <c r="K7" s="3012" t="s">
        <v>3127</v>
      </c>
      <c r="L7" s="3004">
        <f ca="1">典型户型修正!R25</f>
        <v>9765</v>
      </c>
      <c r="M7" s="3004">
        <f ca="1">典型户型修正!S25</f>
        <v>51</v>
      </c>
    </row>
    <row r="8" spans="1:13" ht="30.75" customHeight="1">
      <c r="A8" s="3012">
        <v>3</v>
      </c>
      <c r="B8" s="3007" t="s">
        <v>3765</v>
      </c>
      <c r="C8" s="3007" t="s">
        <v>3772</v>
      </c>
      <c r="D8" s="3008" t="s">
        <v>4612</v>
      </c>
      <c r="E8" s="3010">
        <v>52.17</v>
      </c>
      <c r="F8" s="3010">
        <f>'数据-基础表'!E15</f>
        <v>2.74</v>
      </c>
      <c r="G8" s="3007" t="s">
        <v>3054</v>
      </c>
      <c r="H8" s="3009" t="s">
        <v>27</v>
      </c>
      <c r="I8" s="3006" t="s">
        <v>3773</v>
      </c>
      <c r="J8" s="3006" t="s">
        <v>3774</v>
      </c>
      <c r="K8" s="3012" t="s">
        <v>3127</v>
      </c>
      <c r="L8" s="3004">
        <f ca="1">典型户型修正!R26</f>
        <v>9765</v>
      </c>
      <c r="M8" s="3004">
        <f ca="1">典型户型修正!S26</f>
        <v>51</v>
      </c>
    </row>
    <row r="9" spans="1:13" ht="30.75" customHeight="1">
      <c r="A9" s="3012">
        <v>4</v>
      </c>
      <c r="B9" s="3007" t="s">
        <v>3765</v>
      </c>
      <c r="C9" s="3007" t="s">
        <v>3775</v>
      </c>
      <c r="D9" s="3008" t="s">
        <v>4612</v>
      </c>
      <c r="E9" s="3010">
        <v>52.17</v>
      </c>
      <c r="F9" s="3010">
        <f>'数据-基础表'!E16</f>
        <v>2.74</v>
      </c>
      <c r="G9" s="3007" t="s">
        <v>3054</v>
      </c>
      <c r="H9" s="3009" t="s">
        <v>27</v>
      </c>
      <c r="I9" s="3006" t="s">
        <v>3776</v>
      </c>
      <c r="J9" s="3006" t="s">
        <v>3777</v>
      </c>
      <c r="K9" s="3012" t="s">
        <v>3127</v>
      </c>
      <c r="L9" s="3004">
        <f ca="1">典型户型修正!R27</f>
        <v>9765</v>
      </c>
      <c r="M9" s="3004">
        <f ca="1">典型户型修正!S27</f>
        <v>51</v>
      </c>
    </row>
    <row r="10" spans="1:13" ht="30.75" customHeight="1">
      <c r="A10" s="3012">
        <v>5</v>
      </c>
      <c r="B10" s="3007" t="s">
        <v>3765</v>
      </c>
      <c r="C10" s="3007" t="s">
        <v>3778</v>
      </c>
      <c r="D10" s="3008" t="s">
        <v>4612</v>
      </c>
      <c r="E10" s="3010">
        <v>52.17</v>
      </c>
      <c r="F10" s="3010">
        <f>'数据-基础表'!E17</f>
        <v>2.74</v>
      </c>
      <c r="G10" s="3007" t="s">
        <v>3054</v>
      </c>
      <c r="H10" s="3009" t="s">
        <v>27</v>
      </c>
      <c r="I10" s="3006" t="s">
        <v>3779</v>
      </c>
      <c r="J10" s="3006" t="s">
        <v>3780</v>
      </c>
      <c r="K10" s="3012" t="s">
        <v>3127</v>
      </c>
      <c r="L10" s="3004">
        <f ca="1">典型户型修正!R28</f>
        <v>9765</v>
      </c>
      <c r="M10" s="3004">
        <f ca="1">典型户型修正!S28</f>
        <v>51</v>
      </c>
    </row>
    <row r="11" spans="1:13" ht="30.75" customHeight="1">
      <c r="A11" s="3012">
        <v>6</v>
      </c>
      <c r="B11" s="3007" t="s">
        <v>3765</v>
      </c>
      <c r="C11" s="3007" t="s">
        <v>3781</v>
      </c>
      <c r="D11" s="3008" t="s">
        <v>4612</v>
      </c>
      <c r="E11" s="3010">
        <v>52.17</v>
      </c>
      <c r="F11" s="3010">
        <f>'数据-基础表'!E18</f>
        <v>2.74</v>
      </c>
      <c r="G11" s="3007" t="s">
        <v>3054</v>
      </c>
      <c r="H11" s="3009" t="s">
        <v>27</v>
      </c>
      <c r="I11" s="3006" t="s">
        <v>3782</v>
      </c>
      <c r="J11" s="3006" t="s">
        <v>3783</v>
      </c>
      <c r="K11" s="3012" t="s">
        <v>3127</v>
      </c>
      <c r="L11" s="3004">
        <f ca="1">典型户型修正!R29</f>
        <v>9765</v>
      </c>
      <c r="M11" s="3004">
        <f ca="1">典型户型修正!S29</f>
        <v>51</v>
      </c>
    </row>
    <row r="12" spans="1:13" ht="30.75" customHeight="1">
      <c r="A12" s="3012">
        <v>7</v>
      </c>
      <c r="B12" s="3007" t="s">
        <v>3765</v>
      </c>
      <c r="C12" s="3007" t="s">
        <v>3784</v>
      </c>
      <c r="D12" s="3008" t="s">
        <v>4612</v>
      </c>
      <c r="E12" s="3010">
        <v>52.17</v>
      </c>
      <c r="F12" s="3010">
        <f>'数据-基础表'!E19</f>
        <v>2.74</v>
      </c>
      <c r="G12" s="3007" t="s">
        <v>3054</v>
      </c>
      <c r="H12" s="3009" t="s">
        <v>27</v>
      </c>
      <c r="I12" s="3006" t="s">
        <v>3785</v>
      </c>
      <c r="J12" s="3006" t="s">
        <v>3786</v>
      </c>
      <c r="K12" s="3012" t="s">
        <v>3127</v>
      </c>
      <c r="L12" s="3004">
        <f ca="1">典型户型修正!R30</f>
        <v>9765</v>
      </c>
      <c r="M12" s="3004">
        <f ca="1">典型户型修正!S30</f>
        <v>51</v>
      </c>
    </row>
    <row r="13" spans="1:13" ht="30.75" customHeight="1">
      <c r="A13" s="3012">
        <v>8</v>
      </c>
      <c r="B13" s="3007" t="s">
        <v>3765</v>
      </c>
      <c r="C13" s="3007" t="s">
        <v>3787</v>
      </c>
      <c r="D13" s="3008" t="s">
        <v>4612</v>
      </c>
      <c r="E13" s="3010">
        <v>52.17</v>
      </c>
      <c r="F13" s="3010">
        <f>'数据-基础表'!E20</f>
        <v>2.74</v>
      </c>
      <c r="G13" s="3007" t="s">
        <v>3054</v>
      </c>
      <c r="H13" s="3009" t="s">
        <v>27</v>
      </c>
      <c r="I13" s="3006" t="s">
        <v>3788</v>
      </c>
      <c r="J13" s="3006" t="s">
        <v>3789</v>
      </c>
      <c r="K13" s="3012" t="s">
        <v>3127</v>
      </c>
      <c r="L13" s="3004">
        <f ca="1">典型户型修正!R31</f>
        <v>9765</v>
      </c>
      <c r="M13" s="3004">
        <f ca="1">典型户型修正!S31</f>
        <v>51</v>
      </c>
    </row>
    <row r="14" spans="1:13" ht="30.75" customHeight="1">
      <c r="A14" s="3012">
        <v>9</v>
      </c>
      <c r="B14" s="3007" t="s">
        <v>3765</v>
      </c>
      <c r="C14" s="3007" t="s">
        <v>3790</v>
      </c>
      <c r="D14" s="3008" t="s">
        <v>4612</v>
      </c>
      <c r="E14" s="3010">
        <v>52.17</v>
      </c>
      <c r="F14" s="3010">
        <f>'数据-基础表'!E21</f>
        <v>2.74</v>
      </c>
      <c r="G14" s="3007" t="s">
        <v>3054</v>
      </c>
      <c r="H14" s="3009" t="s">
        <v>27</v>
      </c>
      <c r="I14" s="3006" t="s">
        <v>3791</v>
      </c>
      <c r="J14" s="3006" t="s">
        <v>3792</v>
      </c>
      <c r="K14" s="3012" t="s">
        <v>3127</v>
      </c>
      <c r="L14" s="3004">
        <f ca="1">典型户型修正!R32</f>
        <v>9765</v>
      </c>
      <c r="M14" s="3004">
        <f ca="1">典型户型修正!S32</f>
        <v>51</v>
      </c>
    </row>
    <row r="15" spans="1:13" ht="30.75" customHeight="1">
      <c r="A15" s="3012">
        <v>10</v>
      </c>
      <c r="B15" s="3007" t="s">
        <v>3765</v>
      </c>
      <c r="C15" s="3007" t="s">
        <v>3793</v>
      </c>
      <c r="D15" s="3008" t="s">
        <v>4612</v>
      </c>
      <c r="E15" s="3010">
        <v>52.17</v>
      </c>
      <c r="F15" s="3010">
        <f>'数据-基础表'!E22</f>
        <v>2.74</v>
      </c>
      <c r="G15" s="3007" t="s">
        <v>3054</v>
      </c>
      <c r="H15" s="3009" t="s">
        <v>27</v>
      </c>
      <c r="I15" s="3006" t="s">
        <v>3794</v>
      </c>
      <c r="J15" s="3006" t="s">
        <v>3795</v>
      </c>
      <c r="K15" s="3012" t="s">
        <v>3127</v>
      </c>
      <c r="L15" s="3004">
        <f ca="1">典型户型修正!R33</f>
        <v>9765</v>
      </c>
      <c r="M15" s="3004">
        <f ca="1">典型户型修正!S33</f>
        <v>51</v>
      </c>
    </row>
    <row r="16" spans="1:13" ht="30.75" customHeight="1">
      <c r="A16" s="3012">
        <v>11</v>
      </c>
      <c r="B16" s="3007" t="s">
        <v>3765</v>
      </c>
      <c r="C16" s="3007" t="s">
        <v>3796</v>
      </c>
      <c r="D16" s="3008" t="s">
        <v>4612</v>
      </c>
      <c r="E16" s="3010">
        <v>52.17</v>
      </c>
      <c r="F16" s="3010">
        <f>'数据-基础表'!E23</f>
        <v>2.74</v>
      </c>
      <c r="G16" s="3007" t="s">
        <v>3054</v>
      </c>
      <c r="H16" s="3009" t="s">
        <v>27</v>
      </c>
      <c r="I16" s="3006" t="s">
        <v>3797</v>
      </c>
      <c r="J16" s="3006" t="s">
        <v>3798</v>
      </c>
      <c r="K16" s="3012" t="s">
        <v>3127</v>
      </c>
      <c r="L16" s="3004">
        <f ca="1">典型户型修正!R34</f>
        <v>9765</v>
      </c>
      <c r="M16" s="3004">
        <f ca="1">典型户型修正!S34</f>
        <v>51</v>
      </c>
    </row>
    <row r="17" spans="1:13" ht="30.75" customHeight="1">
      <c r="A17" s="3012">
        <v>12</v>
      </c>
      <c r="B17" s="3007" t="s">
        <v>3765</v>
      </c>
      <c r="C17" s="3007" t="s">
        <v>3799</v>
      </c>
      <c r="D17" s="3008" t="s">
        <v>4612</v>
      </c>
      <c r="E17" s="3010">
        <v>80.73</v>
      </c>
      <c r="F17" s="3010">
        <f>'数据-基础表'!E24</f>
        <v>4.24</v>
      </c>
      <c r="G17" s="3007" t="s">
        <v>3054</v>
      </c>
      <c r="H17" s="3009" t="s">
        <v>27</v>
      </c>
      <c r="I17" s="3006" t="s">
        <v>3800</v>
      </c>
      <c r="J17" s="3006" t="s">
        <v>3801</v>
      </c>
      <c r="K17" s="3012" t="s">
        <v>3127</v>
      </c>
      <c r="L17" s="3004">
        <f ca="1">典型户型修正!R35</f>
        <v>9668</v>
      </c>
      <c r="M17" s="3004">
        <f ca="1">典型户型修正!S35</f>
        <v>78</v>
      </c>
    </row>
    <row r="18" spans="1:13" ht="30.75" customHeight="1">
      <c r="A18" s="3012">
        <v>13</v>
      </c>
      <c r="B18" s="3007" t="s">
        <v>3765</v>
      </c>
      <c r="C18" s="3007" t="s">
        <v>3802</v>
      </c>
      <c r="D18" s="3008" t="s">
        <v>4612</v>
      </c>
      <c r="E18" s="3010">
        <v>66.040000000000006</v>
      </c>
      <c r="F18" s="3010">
        <f>'数据-基础表'!E25</f>
        <v>3.47</v>
      </c>
      <c r="G18" s="3007" t="s">
        <v>3054</v>
      </c>
      <c r="H18" s="3009" t="s">
        <v>27</v>
      </c>
      <c r="I18" s="3006" t="s">
        <v>3803</v>
      </c>
      <c r="J18" s="3006" t="s">
        <v>3804</v>
      </c>
      <c r="K18" s="3012" t="s">
        <v>3127</v>
      </c>
      <c r="L18" s="3004">
        <f ca="1">典型户型修正!R36</f>
        <v>9668</v>
      </c>
      <c r="M18" s="3004">
        <f ca="1">典型户型修正!S36</f>
        <v>64</v>
      </c>
    </row>
    <row r="19" spans="1:13" ht="30.75" customHeight="1">
      <c r="A19" s="3012">
        <v>14</v>
      </c>
      <c r="B19" s="3007" t="s">
        <v>3765</v>
      </c>
      <c r="C19" s="3007" t="s">
        <v>3805</v>
      </c>
      <c r="D19" s="3008" t="s">
        <v>4612</v>
      </c>
      <c r="E19" s="3010">
        <v>66.040000000000006</v>
      </c>
      <c r="F19" s="3010">
        <f>'数据-基础表'!E26</f>
        <v>3.47</v>
      </c>
      <c r="G19" s="3007" t="s">
        <v>3054</v>
      </c>
      <c r="H19" s="3009" t="s">
        <v>27</v>
      </c>
      <c r="I19" s="3006" t="s">
        <v>3806</v>
      </c>
      <c r="J19" s="3006" t="s">
        <v>3807</v>
      </c>
      <c r="K19" s="3012" t="s">
        <v>3127</v>
      </c>
      <c r="L19" s="3004">
        <f ca="1">典型户型修正!R37</f>
        <v>9668</v>
      </c>
      <c r="M19" s="3004">
        <f ca="1">典型户型修正!S37</f>
        <v>64</v>
      </c>
    </row>
    <row r="20" spans="1:13" ht="30.75" customHeight="1">
      <c r="A20" s="3012">
        <v>15</v>
      </c>
      <c r="B20" s="3007" t="s">
        <v>3765</v>
      </c>
      <c r="C20" s="3007" t="s">
        <v>3808</v>
      </c>
      <c r="D20" s="3008" t="s">
        <v>4612</v>
      </c>
      <c r="E20" s="3010">
        <v>80.73</v>
      </c>
      <c r="F20" s="3010">
        <f>'数据-基础表'!E27</f>
        <v>4.24</v>
      </c>
      <c r="G20" s="3007" t="s">
        <v>3054</v>
      </c>
      <c r="H20" s="3009" t="s">
        <v>27</v>
      </c>
      <c r="I20" s="3006" t="s">
        <v>3809</v>
      </c>
      <c r="J20" s="3006" t="s">
        <v>3810</v>
      </c>
      <c r="K20" s="3012" t="s">
        <v>3127</v>
      </c>
      <c r="L20" s="3004">
        <f ca="1">典型户型修正!R38</f>
        <v>9668</v>
      </c>
      <c r="M20" s="3004">
        <f ca="1">典型户型修正!S38</f>
        <v>78</v>
      </c>
    </row>
    <row r="21" spans="1:13" ht="30.75" customHeight="1">
      <c r="A21" s="3012">
        <v>16</v>
      </c>
      <c r="B21" s="3007" t="s">
        <v>3765</v>
      </c>
      <c r="C21" s="3007" t="s">
        <v>3811</v>
      </c>
      <c r="D21" s="3008" t="s">
        <v>4612</v>
      </c>
      <c r="E21" s="3010">
        <v>52.17</v>
      </c>
      <c r="F21" s="3010">
        <f>'数据-基础表'!E28</f>
        <v>2.74</v>
      </c>
      <c r="G21" s="3007" t="s">
        <v>3054</v>
      </c>
      <c r="H21" s="3009" t="s">
        <v>27</v>
      </c>
      <c r="I21" s="3006" t="s">
        <v>3812</v>
      </c>
      <c r="J21" s="3006" t="s">
        <v>3813</v>
      </c>
      <c r="K21" s="3012" t="s">
        <v>3127</v>
      </c>
      <c r="L21" s="3004">
        <f ca="1">典型户型修正!R39</f>
        <v>9765</v>
      </c>
      <c r="M21" s="3004">
        <f ca="1">典型户型修正!S39</f>
        <v>51</v>
      </c>
    </row>
    <row r="22" spans="1:13" ht="30.75" customHeight="1">
      <c r="A22" s="3012">
        <v>17</v>
      </c>
      <c r="B22" s="3007" t="s">
        <v>3765</v>
      </c>
      <c r="C22" s="3007" t="s">
        <v>3814</v>
      </c>
      <c r="D22" s="3008" t="s">
        <v>4612</v>
      </c>
      <c r="E22" s="3010">
        <v>52.17</v>
      </c>
      <c r="F22" s="3010">
        <f>'数据-基础表'!E29</f>
        <v>2.74</v>
      </c>
      <c r="G22" s="3007" t="s">
        <v>3054</v>
      </c>
      <c r="H22" s="3009" t="s">
        <v>27</v>
      </c>
      <c r="I22" s="3006" t="s">
        <v>3815</v>
      </c>
      <c r="J22" s="3006" t="s">
        <v>3816</v>
      </c>
      <c r="K22" s="3012" t="s">
        <v>3127</v>
      </c>
      <c r="L22" s="3004">
        <f ca="1">典型户型修正!R40</f>
        <v>9765</v>
      </c>
      <c r="M22" s="3004">
        <f ca="1">典型户型修正!S40</f>
        <v>51</v>
      </c>
    </row>
    <row r="23" spans="1:13" ht="30.75" customHeight="1">
      <c r="A23" s="3012">
        <v>18</v>
      </c>
      <c r="B23" s="3007" t="s">
        <v>3765</v>
      </c>
      <c r="C23" s="3007" t="s">
        <v>3817</v>
      </c>
      <c r="D23" s="3008" t="s">
        <v>4612</v>
      </c>
      <c r="E23" s="3010">
        <v>52.17</v>
      </c>
      <c r="F23" s="3010">
        <f>'数据-基础表'!E30</f>
        <v>2.74</v>
      </c>
      <c r="G23" s="3007" t="s">
        <v>3054</v>
      </c>
      <c r="H23" s="3009" t="s">
        <v>27</v>
      </c>
      <c r="I23" s="3006" t="s">
        <v>3818</v>
      </c>
      <c r="J23" s="3006" t="s">
        <v>3819</v>
      </c>
      <c r="K23" s="3012" t="s">
        <v>3127</v>
      </c>
      <c r="L23" s="3004">
        <f ca="1">典型户型修正!R41</f>
        <v>9765</v>
      </c>
      <c r="M23" s="3004">
        <f ca="1">典型户型修正!S41</f>
        <v>51</v>
      </c>
    </row>
    <row r="24" spans="1:13" ht="30.75" customHeight="1">
      <c r="A24" s="3012">
        <v>19</v>
      </c>
      <c r="B24" s="3007" t="s">
        <v>3765</v>
      </c>
      <c r="C24" s="3007" t="s">
        <v>3820</v>
      </c>
      <c r="D24" s="3008" t="s">
        <v>4612</v>
      </c>
      <c r="E24" s="3010">
        <v>52.17</v>
      </c>
      <c r="F24" s="3010">
        <f>'数据-基础表'!E31</f>
        <v>2.74</v>
      </c>
      <c r="G24" s="3007" t="s">
        <v>3054</v>
      </c>
      <c r="H24" s="3009" t="s">
        <v>27</v>
      </c>
      <c r="I24" s="3006" t="s">
        <v>3821</v>
      </c>
      <c r="J24" s="3006" t="s">
        <v>3822</v>
      </c>
      <c r="K24" s="3012" t="s">
        <v>3127</v>
      </c>
      <c r="L24" s="3004">
        <f ca="1">典型户型修正!R42</f>
        <v>9765</v>
      </c>
      <c r="M24" s="3004">
        <f ca="1">典型户型修正!S42</f>
        <v>51</v>
      </c>
    </row>
    <row r="25" spans="1:13" ht="30.75" customHeight="1">
      <c r="A25" s="3012">
        <v>20</v>
      </c>
      <c r="B25" s="3007" t="s">
        <v>3765</v>
      </c>
      <c r="C25" s="3007" t="s">
        <v>3823</v>
      </c>
      <c r="D25" s="3008" t="s">
        <v>4612</v>
      </c>
      <c r="E25" s="3010">
        <v>52.17</v>
      </c>
      <c r="F25" s="3010">
        <f>'数据-基础表'!E32</f>
        <v>2.74</v>
      </c>
      <c r="G25" s="3007" t="s">
        <v>3054</v>
      </c>
      <c r="H25" s="3009" t="s">
        <v>27</v>
      </c>
      <c r="I25" s="3006" t="s">
        <v>3824</v>
      </c>
      <c r="J25" s="3006" t="s">
        <v>3825</v>
      </c>
      <c r="K25" s="3012" t="s">
        <v>3127</v>
      </c>
      <c r="L25" s="3004">
        <f ca="1">典型户型修正!R43</f>
        <v>9765</v>
      </c>
      <c r="M25" s="3004">
        <f ca="1">典型户型修正!S43</f>
        <v>51</v>
      </c>
    </row>
    <row r="26" spans="1:13" ht="30.75" customHeight="1">
      <c r="A26" s="3012">
        <v>21</v>
      </c>
      <c r="B26" s="3007" t="s">
        <v>3765</v>
      </c>
      <c r="C26" s="3007" t="s">
        <v>3826</v>
      </c>
      <c r="D26" s="3008" t="s">
        <v>4612</v>
      </c>
      <c r="E26" s="3010">
        <v>52.17</v>
      </c>
      <c r="F26" s="3010">
        <f>'数据-基础表'!E33</f>
        <v>2.74</v>
      </c>
      <c r="G26" s="3007" t="s">
        <v>3054</v>
      </c>
      <c r="H26" s="3009" t="s">
        <v>27</v>
      </c>
      <c r="I26" s="3006" t="s">
        <v>3827</v>
      </c>
      <c r="J26" s="3006" t="s">
        <v>3828</v>
      </c>
      <c r="K26" s="3012" t="s">
        <v>3127</v>
      </c>
      <c r="L26" s="3004">
        <f ca="1">典型户型修正!R44</f>
        <v>9765</v>
      </c>
      <c r="M26" s="3004">
        <f ca="1">典型户型修正!S44</f>
        <v>51</v>
      </c>
    </row>
    <row r="27" spans="1:13" ht="30.75" customHeight="1">
      <c r="A27" s="3012">
        <v>22</v>
      </c>
      <c r="B27" s="3007" t="s">
        <v>3765</v>
      </c>
      <c r="C27" s="3007" t="s">
        <v>3829</v>
      </c>
      <c r="D27" s="3008" t="s">
        <v>4612</v>
      </c>
      <c r="E27" s="3010">
        <v>52.17</v>
      </c>
      <c r="F27" s="3010">
        <f>'数据-基础表'!E34</f>
        <v>2.74</v>
      </c>
      <c r="G27" s="3007" t="s">
        <v>3054</v>
      </c>
      <c r="H27" s="3009" t="s">
        <v>27</v>
      </c>
      <c r="I27" s="3006" t="s">
        <v>3830</v>
      </c>
      <c r="J27" s="3006" t="s">
        <v>3831</v>
      </c>
      <c r="K27" s="3012" t="s">
        <v>3127</v>
      </c>
      <c r="L27" s="3004">
        <f ca="1">典型户型修正!R45</f>
        <v>9765</v>
      </c>
      <c r="M27" s="3004">
        <f ca="1">典型户型修正!S45</f>
        <v>51</v>
      </c>
    </row>
    <row r="28" spans="1:13" ht="30.75" customHeight="1">
      <c r="A28" s="3012">
        <v>23</v>
      </c>
      <c r="B28" s="3007" t="s">
        <v>3765</v>
      </c>
      <c r="C28" s="3007" t="s">
        <v>3832</v>
      </c>
      <c r="D28" s="3008" t="s">
        <v>4612</v>
      </c>
      <c r="E28" s="3010">
        <v>52.17</v>
      </c>
      <c r="F28" s="3010">
        <f>'数据-基础表'!E35</f>
        <v>2.74</v>
      </c>
      <c r="G28" s="3007" t="s">
        <v>3054</v>
      </c>
      <c r="H28" s="3009" t="s">
        <v>27</v>
      </c>
      <c r="I28" s="3006" t="s">
        <v>3833</v>
      </c>
      <c r="J28" s="3006" t="s">
        <v>3834</v>
      </c>
      <c r="K28" s="3012" t="s">
        <v>3127</v>
      </c>
      <c r="L28" s="3004">
        <f ca="1">典型户型修正!R46</f>
        <v>9765</v>
      </c>
      <c r="M28" s="3004">
        <f ca="1">典型户型修正!S46</f>
        <v>51</v>
      </c>
    </row>
    <row r="29" spans="1:13" ht="30.75" customHeight="1">
      <c r="A29" s="3012">
        <v>24</v>
      </c>
      <c r="B29" s="3007" t="s">
        <v>3765</v>
      </c>
      <c r="C29" s="3007" t="s">
        <v>3835</v>
      </c>
      <c r="D29" s="3008" t="s">
        <v>4612</v>
      </c>
      <c r="E29" s="3010">
        <v>52.17</v>
      </c>
      <c r="F29" s="3010">
        <f>'数据-基础表'!E36</f>
        <v>2.74</v>
      </c>
      <c r="G29" s="3007" t="s">
        <v>3054</v>
      </c>
      <c r="H29" s="3009" t="s">
        <v>27</v>
      </c>
      <c r="I29" s="3006" t="s">
        <v>3836</v>
      </c>
      <c r="J29" s="3006" t="s">
        <v>3837</v>
      </c>
      <c r="K29" s="3012" t="s">
        <v>3127</v>
      </c>
      <c r="L29" s="3004">
        <f ca="1">典型户型修正!R47</f>
        <v>9765</v>
      </c>
      <c r="M29" s="3004">
        <f ca="1">典型户型修正!S47</f>
        <v>51</v>
      </c>
    </row>
    <row r="30" spans="1:13" ht="30.75" customHeight="1">
      <c r="A30" s="3012">
        <v>25</v>
      </c>
      <c r="B30" s="3007" t="s">
        <v>3765</v>
      </c>
      <c r="C30" s="3007" t="s">
        <v>3838</v>
      </c>
      <c r="D30" s="3008" t="s">
        <v>4612</v>
      </c>
      <c r="E30" s="3010">
        <v>52.17</v>
      </c>
      <c r="F30" s="3010">
        <f>'数据-基础表'!E37</f>
        <v>2.74</v>
      </c>
      <c r="G30" s="3007" t="s">
        <v>3054</v>
      </c>
      <c r="H30" s="3009" t="s">
        <v>27</v>
      </c>
      <c r="I30" s="3006" t="s">
        <v>3839</v>
      </c>
      <c r="J30" s="3006" t="s">
        <v>3840</v>
      </c>
      <c r="K30" s="3012" t="s">
        <v>3127</v>
      </c>
      <c r="L30" s="3004">
        <f ca="1">典型户型修正!R48</f>
        <v>9765</v>
      </c>
      <c r="M30" s="3004">
        <f ca="1">典型户型修正!S48</f>
        <v>51</v>
      </c>
    </row>
    <row r="31" spans="1:13" ht="30.75" customHeight="1">
      <c r="A31" s="3012">
        <v>26</v>
      </c>
      <c r="B31" s="3007" t="s">
        <v>3765</v>
      </c>
      <c r="C31" s="3007" t="s">
        <v>3841</v>
      </c>
      <c r="D31" s="3008" t="s">
        <v>4612</v>
      </c>
      <c r="E31" s="3010">
        <v>80.73</v>
      </c>
      <c r="F31" s="3010">
        <f>'数据-基础表'!E38</f>
        <v>4.24</v>
      </c>
      <c r="G31" s="3007" t="s">
        <v>3054</v>
      </c>
      <c r="H31" s="3009" t="s">
        <v>27</v>
      </c>
      <c r="I31" s="3006" t="s">
        <v>3842</v>
      </c>
      <c r="J31" s="3006" t="s">
        <v>3843</v>
      </c>
      <c r="K31" s="3012" t="s">
        <v>3127</v>
      </c>
      <c r="L31" s="3004">
        <f ca="1">典型户型修正!R49</f>
        <v>9668</v>
      </c>
      <c r="M31" s="3004">
        <f ca="1">典型户型修正!S49</f>
        <v>78</v>
      </c>
    </row>
    <row r="32" spans="1:13" ht="30.75" customHeight="1">
      <c r="A32" s="3012">
        <v>27</v>
      </c>
      <c r="B32" s="3007" t="s">
        <v>3765</v>
      </c>
      <c r="C32" s="3007" t="s">
        <v>3844</v>
      </c>
      <c r="D32" s="3008" t="s">
        <v>4612</v>
      </c>
      <c r="E32" s="3010">
        <v>93.08</v>
      </c>
      <c r="F32" s="3010">
        <f>'数据-基础表'!E39</f>
        <v>4.8899999999999997</v>
      </c>
      <c r="G32" s="3007" t="s">
        <v>3054</v>
      </c>
      <c r="H32" s="3009" t="s">
        <v>27</v>
      </c>
      <c r="I32" s="3006" t="s">
        <v>3845</v>
      </c>
      <c r="J32" s="3006" t="s">
        <v>3846</v>
      </c>
      <c r="K32" s="3012" t="s">
        <v>3127</v>
      </c>
      <c r="L32" s="3004">
        <f ca="1">典型户型修正!R50</f>
        <v>9668</v>
      </c>
      <c r="M32" s="3004">
        <f ca="1">典型户型修正!S50</f>
        <v>90</v>
      </c>
    </row>
    <row r="33" spans="1:13" ht="30.75" customHeight="1">
      <c r="A33" s="3012">
        <v>28</v>
      </c>
      <c r="B33" s="3007" t="s">
        <v>3765</v>
      </c>
      <c r="C33" s="3007" t="s">
        <v>3847</v>
      </c>
      <c r="D33" s="3008" t="s">
        <v>4612</v>
      </c>
      <c r="E33" s="3010">
        <v>93.08</v>
      </c>
      <c r="F33" s="3010">
        <f>'数据-基础表'!E40</f>
        <v>4.8899999999999997</v>
      </c>
      <c r="G33" s="3007" t="s">
        <v>3054</v>
      </c>
      <c r="H33" s="3009" t="s">
        <v>27</v>
      </c>
      <c r="I33" s="3006" t="s">
        <v>3848</v>
      </c>
      <c r="J33" s="3006" t="s">
        <v>3849</v>
      </c>
      <c r="K33" s="3012" t="s">
        <v>3127</v>
      </c>
      <c r="L33" s="3004">
        <f ca="1">典型户型修正!R51</f>
        <v>9668</v>
      </c>
      <c r="M33" s="3004">
        <f ca="1">典型户型修正!S51</f>
        <v>90</v>
      </c>
    </row>
    <row r="34" spans="1:13" ht="30.75" customHeight="1">
      <c r="A34" s="3012">
        <v>29</v>
      </c>
      <c r="B34" s="3007" t="s">
        <v>3765</v>
      </c>
      <c r="C34" s="3007" t="s">
        <v>3850</v>
      </c>
      <c r="D34" s="3007" t="s">
        <v>4613</v>
      </c>
      <c r="E34" s="3010">
        <v>80.73</v>
      </c>
      <c r="F34" s="3010">
        <f>'数据-基础表'!E41</f>
        <v>4.24</v>
      </c>
      <c r="G34" s="3007" t="s">
        <v>3054</v>
      </c>
      <c r="H34" s="3009" t="s">
        <v>27</v>
      </c>
      <c r="I34" s="3006" t="s">
        <v>3851</v>
      </c>
      <c r="J34" s="3006" t="s">
        <v>3852</v>
      </c>
      <c r="K34" s="3012" t="s">
        <v>3127</v>
      </c>
      <c r="L34" s="3004">
        <f ca="1">典型户型修正!R52</f>
        <v>9861</v>
      </c>
      <c r="M34" s="3004">
        <f ca="1">典型户型修正!S52</f>
        <v>80</v>
      </c>
    </row>
    <row r="35" spans="1:13" ht="30.75" customHeight="1">
      <c r="A35" s="3012">
        <v>30</v>
      </c>
      <c r="B35" s="3007" t="s">
        <v>3765</v>
      </c>
      <c r="C35" s="3007" t="s">
        <v>3853</v>
      </c>
      <c r="D35" s="3007" t="s">
        <v>4613</v>
      </c>
      <c r="E35" s="3010">
        <v>52.17</v>
      </c>
      <c r="F35" s="3010">
        <f>'数据-基础表'!E42</f>
        <v>2.74</v>
      </c>
      <c r="G35" s="3007" t="s">
        <v>3054</v>
      </c>
      <c r="H35" s="3009" t="s">
        <v>27</v>
      </c>
      <c r="I35" s="3006" t="s">
        <v>3854</v>
      </c>
      <c r="J35" s="3006" t="s">
        <v>3855</v>
      </c>
      <c r="K35" s="3012" t="s">
        <v>3127</v>
      </c>
      <c r="L35" s="3004">
        <f ca="1">典型户型修正!R53</f>
        <v>9960</v>
      </c>
      <c r="M35" s="3004">
        <f ca="1">典型户型修正!S53</f>
        <v>52</v>
      </c>
    </row>
    <row r="36" spans="1:13" ht="30.75" customHeight="1">
      <c r="A36" s="3012">
        <v>31</v>
      </c>
      <c r="B36" s="3007" t="s">
        <v>3765</v>
      </c>
      <c r="C36" s="3007" t="s">
        <v>3856</v>
      </c>
      <c r="D36" s="3007" t="s">
        <v>4613</v>
      </c>
      <c r="E36" s="3010">
        <v>52.17</v>
      </c>
      <c r="F36" s="3010">
        <f>'数据-基础表'!E43</f>
        <v>2.74</v>
      </c>
      <c r="G36" s="3007" t="s">
        <v>3054</v>
      </c>
      <c r="H36" s="3009" t="s">
        <v>27</v>
      </c>
      <c r="I36" s="3006" t="s">
        <v>3857</v>
      </c>
      <c r="J36" s="3006" t="s">
        <v>3858</v>
      </c>
      <c r="K36" s="3012" t="s">
        <v>3127</v>
      </c>
      <c r="L36" s="3004">
        <f ca="1">典型户型修正!R54</f>
        <v>9960</v>
      </c>
      <c r="M36" s="3004">
        <f ca="1">典型户型修正!S54</f>
        <v>52</v>
      </c>
    </row>
    <row r="37" spans="1:13" ht="30.75" customHeight="1">
      <c r="A37" s="3012">
        <v>32</v>
      </c>
      <c r="B37" s="3007" t="s">
        <v>3765</v>
      </c>
      <c r="C37" s="3007" t="s">
        <v>3859</v>
      </c>
      <c r="D37" s="3007" t="s">
        <v>4613</v>
      </c>
      <c r="E37" s="3010">
        <v>52.17</v>
      </c>
      <c r="F37" s="3010">
        <f>'数据-基础表'!E44</f>
        <v>2.74</v>
      </c>
      <c r="G37" s="3007" t="s">
        <v>3054</v>
      </c>
      <c r="H37" s="3009" t="s">
        <v>27</v>
      </c>
      <c r="I37" s="3006" t="s">
        <v>3860</v>
      </c>
      <c r="J37" s="3006" t="s">
        <v>3861</v>
      </c>
      <c r="K37" s="3012" t="s">
        <v>3127</v>
      </c>
      <c r="L37" s="3004">
        <f ca="1">典型户型修正!R55</f>
        <v>9960</v>
      </c>
      <c r="M37" s="3004">
        <f ca="1">典型户型修正!S55</f>
        <v>52</v>
      </c>
    </row>
    <row r="38" spans="1:13" ht="30.75" customHeight="1">
      <c r="A38" s="3012">
        <v>33</v>
      </c>
      <c r="B38" s="3007" t="s">
        <v>3765</v>
      </c>
      <c r="C38" s="3007" t="s">
        <v>3862</v>
      </c>
      <c r="D38" s="3007" t="s">
        <v>4613</v>
      </c>
      <c r="E38" s="3010">
        <v>52.17</v>
      </c>
      <c r="F38" s="3010">
        <f>'数据-基础表'!E45</f>
        <v>2.74</v>
      </c>
      <c r="G38" s="3007" t="s">
        <v>3054</v>
      </c>
      <c r="H38" s="3009" t="s">
        <v>27</v>
      </c>
      <c r="I38" s="3006" t="s">
        <v>3863</v>
      </c>
      <c r="J38" s="3006" t="s">
        <v>3864</v>
      </c>
      <c r="K38" s="3012" t="s">
        <v>3127</v>
      </c>
      <c r="L38" s="3004">
        <f ca="1">典型户型修正!R56</f>
        <v>9960</v>
      </c>
      <c r="M38" s="3004">
        <f ca="1">典型户型修正!S56</f>
        <v>52</v>
      </c>
    </row>
    <row r="39" spans="1:13" ht="30.75" customHeight="1">
      <c r="A39" s="3012">
        <v>34</v>
      </c>
      <c r="B39" s="3007" t="s">
        <v>3765</v>
      </c>
      <c r="C39" s="3007" t="s">
        <v>3865</v>
      </c>
      <c r="D39" s="3007" t="s">
        <v>4613</v>
      </c>
      <c r="E39" s="3010">
        <v>52.17</v>
      </c>
      <c r="F39" s="3010">
        <f>'数据-基础表'!E46</f>
        <v>2.74</v>
      </c>
      <c r="G39" s="3007" t="s">
        <v>3054</v>
      </c>
      <c r="H39" s="3009" t="s">
        <v>27</v>
      </c>
      <c r="I39" s="3006" t="s">
        <v>3866</v>
      </c>
      <c r="J39" s="3006" t="s">
        <v>3867</v>
      </c>
      <c r="K39" s="3012" t="s">
        <v>3127</v>
      </c>
      <c r="L39" s="3004">
        <f ca="1">典型户型修正!R57</f>
        <v>9960</v>
      </c>
      <c r="M39" s="3004">
        <f ca="1">典型户型修正!S57</f>
        <v>52</v>
      </c>
    </row>
    <row r="40" spans="1:13" ht="30.75" customHeight="1">
      <c r="A40" s="3012">
        <v>35</v>
      </c>
      <c r="B40" s="3007" t="s">
        <v>3765</v>
      </c>
      <c r="C40" s="3007" t="s">
        <v>3868</v>
      </c>
      <c r="D40" s="3007" t="s">
        <v>4613</v>
      </c>
      <c r="E40" s="3010">
        <v>52.17</v>
      </c>
      <c r="F40" s="3010">
        <f>'数据-基础表'!E47</f>
        <v>2.74</v>
      </c>
      <c r="G40" s="3007" t="s">
        <v>3054</v>
      </c>
      <c r="H40" s="3009" t="s">
        <v>27</v>
      </c>
      <c r="I40" s="3006" t="s">
        <v>3869</v>
      </c>
      <c r="J40" s="3006" t="s">
        <v>3870</v>
      </c>
      <c r="K40" s="3012" t="s">
        <v>3127</v>
      </c>
      <c r="L40" s="3004">
        <f ca="1">典型户型修正!R58</f>
        <v>9960</v>
      </c>
      <c r="M40" s="3004">
        <f ca="1">典型户型修正!S58</f>
        <v>52</v>
      </c>
    </row>
    <row r="41" spans="1:13" ht="30.75" customHeight="1">
      <c r="A41" s="3012">
        <v>36</v>
      </c>
      <c r="B41" s="3007" t="s">
        <v>3765</v>
      </c>
      <c r="C41" s="3007" t="s">
        <v>3871</v>
      </c>
      <c r="D41" s="3007" t="s">
        <v>4613</v>
      </c>
      <c r="E41" s="3010">
        <v>52.17</v>
      </c>
      <c r="F41" s="3010">
        <f>'数据-基础表'!E48</f>
        <v>2.74</v>
      </c>
      <c r="G41" s="3007" t="s">
        <v>3054</v>
      </c>
      <c r="H41" s="3009" t="s">
        <v>27</v>
      </c>
      <c r="I41" s="3006" t="s">
        <v>3872</v>
      </c>
      <c r="J41" s="3006" t="s">
        <v>3873</v>
      </c>
      <c r="K41" s="3012" t="s">
        <v>3127</v>
      </c>
      <c r="L41" s="3004">
        <f ca="1">典型户型修正!R59</f>
        <v>9960</v>
      </c>
      <c r="M41" s="3004">
        <f ca="1">典型户型修正!S59</f>
        <v>52</v>
      </c>
    </row>
    <row r="42" spans="1:13" ht="30.75" customHeight="1">
      <c r="A42" s="3012">
        <v>37</v>
      </c>
      <c r="B42" s="3007" t="s">
        <v>3765</v>
      </c>
      <c r="C42" s="3007" t="s">
        <v>3874</v>
      </c>
      <c r="D42" s="3007" t="s">
        <v>4613</v>
      </c>
      <c r="E42" s="3010">
        <v>52.17</v>
      </c>
      <c r="F42" s="3010">
        <f>'数据-基础表'!E49</f>
        <v>2.74</v>
      </c>
      <c r="G42" s="3007" t="s">
        <v>3054</v>
      </c>
      <c r="H42" s="3009" t="s">
        <v>27</v>
      </c>
      <c r="I42" s="3006" t="s">
        <v>3875</v>
      </c>
      <c r="J42" s="3006" t="s">
        <v>3876</v>
      </c>
      <c r="K42" s="3012" t="s">
        <v>3127</v>
      </c>
      <c r="L42" s="3004">
        <f ca="1">典型户型修正!R60</f>
        <v>9960</v>
      </c>
      <c r="M42" s="3004">
        <f ca="1">典型户型修正!S60</f>
        <v>52</v>
      </c>
    </row>
    <row r="43" spans="1:13" ht="30.75" customHeight="1">
      <c r="A43" s="3012">
        <v>38</v>
      </c>
      <c r="B43" s="3007" t="s">
        <v>3765</v>
      </c>
      <c r="C43" s="3007" t="s">
        <v>3877</v>
      </c>
      <c r="D43" s="3007" t="s">
        <v>4613</v>
      </c>
      <c r="E43" s="3010">
        <v>52.17</v>
      </c>
      <c r="F43" s="3010">
        <f>'数据-基础表'!E50</f>
        <v>2.74</v>
      </c>
      <c r="G43" s="3007" t="s">
        <v>3054</v>
      </c>
      <c r="H43" s="3009" t="s">
        <v>27</v>
      </c>
      <c r="I43" s="3006" t="s">
        <v>3878</v>
      </c>
      <c r="J43" s="3006" t="s">
        <v>3879</v>
      </c>
      <c r="K43" s="3012" t="s">
        <v>3127</v>
      </c>
      <c r="L43" s="3004">
        <f ca="1">典型户型修正!R61</f>
        <v>9960</v>
      </c>
      <c r="M43" s="3004">
        <f ca="1">典型户型修正!S61</f>
        <v>52</v>
      </c>
    </row>
    <row r="44" spans="1:13" ht="30.75" customHeight="1">
      <c r="A44" s="3012">
        <v>39</v>
      </c>
      <c r="B44" s="3007" t="s">
        <v>3765</v>
      </c>
      <c r="C44" s="3007" t="s">
        <v>3880</v>
      </c>
      <c r="D44" s="3007" t="s">
        <v>4613</v>
      </c>
      <c r="E44" s="3010">
        <v>52.17</v>
      </c>
      <c r="F44" s="3010">
        <f>'数据-基础表'!E51</f>
        <v>2.74</v>
      </c>
      <c r="G44" s="3007" t="s">
        <v>3054</v>
      </c>
      <c r="H44" s="3009" t="s">
        <v>27</v>
      </c>
      <c r="I44" s="3006" t="s">
        <v>3881</v>
      </c>
      <c r="J44" s="3006" t="s">
        <v>3882</v>
      </c>
      <c r="K44" s="3012" t="s">
        <v>3127</v>
      </c>
      <c r="L44" s="3004">
        <f ca="1">典型户型修正!R62</f>
        <v>9960</v>
      </c>
      <c r="M44" s="3004">
        <f ca="1">典型户型修正!S62</f>
        <v>52</v>
      </c>
    </row>
    <row r="45" spans="1:13" ht="30.75" customHeight="1">
      <c r="A45" s="3012">
        <v>40</v>
      </c>
      <c r="B45" s="3007" t="s">
        <v>3765</v>
      </c>
      <c r="C45" s="3007" t="s">
        <v>3883</v>
      </c>
      <c r="D45" s="3007" t="s">
        <v>4613</v>
      </c>
      <c r="E45" s="3010">
        <v>80.73</v>
      </c>
      <c r="F45" s="3010">
        <f>'数据-基础表'!E52</f>
        <v>4.24</v>
      </c>
      <c r="G45" s="3007" t="s">
        <v>3054</v>
      </c>
      <c r="H45" s="3009" t="s">
        <v>27</v>
      </c>
      <c r="I45" s="3006" t="s">
        <v>3884</v>
      </c>
      <c r="J45" s="3006" t="s">
        <v>3885</v>
      </c>
      <c r="K45" s="3012" t="s">
        <v>3127</v>
      </c>
      <c r="L45" s="3004">
        <f ca="1">典型户型修正!R63</f>
        <v>9861</v>
      </c>
      <c r="M45" s="3004">
        <f ca="1">典型户型修正!S63</f>
        <v>80</v>
      </c>
    </row>
    <row r="46" spans="1:13" ht="30.75" customHeight="1">
      <c r="A46" s="3012">
        <v>41</v>
      </c>
      <c r="B46" s="3007" t="s">
        <v>3765</v>
      </c>
      <c r="C46" s="3007" t="s">
        <v>3886</v>
      </c>
      <c r="D46" s="3007" t="s">
        <v>4613</v>
      </c>
      <c r="E46" s="3010">
        <v>66.040000000000006</v>
      </c>
      <c r="F46" s="3010">
        <f>'数据-基础表'!E53</f>
        <v>3.47</v>
      </c>
      <c r="G46" s="3007" t="s">
        <v>3054</v>
      </c>
      <c r="H46" s="3009" t="s">
        <v>27</v>
      </c>
      <c r="I46" s="3006" t="s">
        <v>3887</v>
      </c>
      <c r="J46" s="3006" t="s">
        <v>3888</v>
      </c>
      <c r="K46" s="3012" t="s">
        <v>3127</v>
      </c>
      <c r="L46" s="3004">
        <f ca="1">典型户型修正!R64</f>
        <v>9861</v>
      </c>
      <c r="M46" s="3004">
        <f ca="1">典型户型修正!S64</f>
        <v>65</v>
      </c>
    </row>
    <row r="47" spans="1:13" ht="30.75" customHeight="1">
      <c r="A47" s="3012">
        <v>42</v>
      </c>
      <c r="B47" s="3007" t="s">
        <v>3765</v>
      </c>
      <c r="C47" s="3007" t="s">
        <v>3889</v>
      </c>
      <c r="D47" s="3007" t="s">
        <v>4613</v>
      </c>
      <c r="E47" s="3010">
        <v>66.040000000000006</v>
      </c>
      <c r="F47" s="3010">
        <f>'数据-基础表'!E54</f>
        <v>3.47</v>
      </c>
      <c r="G47" s="3007" t="s">
        <v>3054</v>
      </c>
      <c r="H47" s="3009" t="s">
        <v>27</v>
      </c>
      <c r="I47" s="3006" t="s">
        <v>3890</v>
      </c>
      <c r="J47" s="3006" t="s">
        <v>3891</v>
      </c>
      <c r="K47" s="3012" t="s">
        <v>3127</v>
      </c>
      <c r="L47" s="3004">
        <f ca="1">典型户型修正!R65</f>
        <v>9861</v>
      </c>
      <c r="M47" s="3004">
        <f ca="1">典型户型修正!S65</f>
        <v>65</v>
      </c>
    </row>
    <row r="48" spans="1:13" ht="30.75" customHeight="1">
      <c r="A48" s="3012">
        <v>43</v>
      </c>
      <c r="B48" s="3007" t="s">
        <v>3765</v>
      </c>
      <c r="C48" s="3007" t="s">
        <v>3892</v>
      </c>
      <c r="D48" s="3007" t="s">
        <v>4613</v>
      </c>
      <c r="E48" s="3010">
        <v>80.73</v>
      </c>
      <c r="F48" s="3010">
        <f>'数据-基础表'!E55</f>
        <v>4.24</v>
      </c>
      <c r="G48" s="3007" t="s">
        <v>3054</v>
      </c>
      <c r="H48" s="3009" t="s">
        <v>27</v>
      </c>
      <c r="I48" s="3006" t="s">
        <v>3893</v>
      </c>
      <c r="J48" s="3006" t="s">
        <v>3894</v>
      </c>
      <c r="K48" s="3012" t="s">
        <v>3127</v>
      </c>
      <c r="L48" s="3004">
        <f ca="1">典型户型修正!R66</f>
        <v>9861</v>
      </c>
      <c r="M48" s="3004">
        <f ca="1">典型户型修正!S66</f>
        <v>80</v>
      </c>
    </row>
    <row r="49" spans="1:13" ht="30.75" customHeight="1">
      <c r="A49" s="3012">
        <v>44</v>
      </c>
      <c r="B49" s="3007" t="s">
        <v>3765</v>
      </c>
      <c r="C49" s="3007" t="s">
        <v>3895</v>
      </c>
      <c r="D49" s="3007" t="s">
        <v>4613</v>
      </c>
      <c r="E49" s="3010">
        <v>52.17</v>
      </c>
      <c r="F49" s="3010">
        <f>'数据-基础表'!E56</f>
        <v>2.74</v>
      </c>
      <c r="G49" s="3007" t="s">
        <v>3054</v>
      </c>
      <c r="H49" s="3009" t="s">
        <v>27</v>
      </c>
      <c r="I49" s="3006" t="s">
        <v>3896</v>
      </c>
      <c r="J49" s="3006" t="s">
        <v>3897</v>
      </c>
      <c r="K49" s="3012" t="s">
        <v>3127</v>
      </c>
      <c r="L49" s="3004">
        <f ca="1">典型户型修正!R67</f>
        <v>9960</v>
      </c>
      <c r="M49" s="3004">
        <f ca="1">典型户型修正!S67</f>
        <v>52</v>
      </c>
    </row>
    <row r="50" spans="1:13" ht="30.75" customHeight="1">
      <c r="A50" s="3012">
        <v>45</v>
      </c>
      <c r="B50" s="3007" t="s">
        <v>3765</v>
      </c>
      <c r="C50" s="3007" t="s">
        <v>3898</v>
      </c>
      <c r="D50" s="3007" t="s">
        <v>4613</v>
      </c>
      <c r="E50" s="3010">
        <v>52.17</v>
      </c>
      <c r="F50" s="3010">
        <f>'数据-基础表'!E57</f>
        <v>2.74</v>
      </c>
      <c r="G50" s="3007" t="s">
        <v>3054</v>
      </c>
      <c r="H50" s="3009" t="s">
        <v>27</v>
      </c>
      <c r="I50" s="3006" t="s">
        <v>3899</v>
      </c>
      <c r="J50" s="3006" t="s">
        <v>3900</v>
      </c>
      <c r="K50" s="3012" t="s">
        <v>3127</v>
      </c>
      <c r="L50" s="3004">
        <f ca="1">典型户型修正!R68</f>
        <v>9960</v>
      </c>
      <c r="M50" s="3004">
        <f ca="1">典型户型修正!S68</f>
        <v>52</v>
      </c>
    </row>
    <row r="51" spans="1:13" ht="30.75" customHeight="1">
      <c r="A51" s="3012">
        <v>46</v>
      </c>
      <c r="B51" s="3007" t="s">
        <v>3765</v>
      </c>
      <c r="C51" s="3007" t="s">
        <v>3901</v>
      </c>
      <c r="D51" s="3007" t="s">
        <v>4613</v>
      </c>
      <c r="E51" s="3010">
        <v>52.17</v>
      </c>
      <c r="F51" s="3010">
        <f>'数据-基础表'!E58</f>
        <v>2.74</v>
      </c>
      <c r="G51" s="3007" t="s">
        <v>3054</v>
      </c>
      <c r="H51" s="3009" t="s">
        <v>27</v>
      </c>
      <c r="I51" s="3006" t="s">
        <v>3902</v>
      </c>
      <c r="J51" s="3006" t="s">
        <v>3903</v>
      </c>
      <c r="K51" s="3012" t="s">
        <v>3127</v>
      </c>
      <c r="L51" s="3004">
        <f ca="1">典型户型修正!R69</f>
        <v>9960</v>
      </c>
      <c r="M51" s="3004">
        <f ca="1">典型户型修正!S69</f>
        <v>52</v>
      </c>
    </row>
    <row r="52" spans="1:13" ht="30.75" customHeight="1">
      <c r="A52" s="3012">
        <v>47</v>
      </c>
      <c r="B52" s="3007" t="s">
        <v>3765</v>
      </c>
      <c r="C52" s="3007" t="s">
        <v>3904</v>
      </c>
      <c r="D52" s="3007" t="s">
        <v>4613</v>
      </c>
      <c r="E52" s="3010">
        <v>52.17</v>
      </c>
      <c r="F52" s="3010">
        <f>'数据-基础表'!E59</f>
        <v>2.74</v>
      </c>
      <c r="G52" s="3007" t="s">
        <v>3054</v>
      </c>
      <c r="H52" s="3009" t="s">
        <v>27</v>
      </c>
      <c r="I52" s="3006" t="s">
        <v>3905</v>
      </c>
      <c r="J52" s="3006" t="s">
        <v>3906</v>
      </c>
      <c r="K52" s="3012" t="s">
        <v>3127</v>
      </c>
      <c r="L52" s="3004">
        <f ca="1">典型户型修正!R70</f>
        <v>9960</v>
      </c>
      <c r="M52" s="3004">
        <f ca="1">典型户型修正!S70</f>
        <v>52</v>
      </c>
    </row>
    <row r="53" spans="1:13" ht="30.75" customHeight="1">
      <c r="A53" s="3012">
        <v>48</v>
      </c>
      <c r="B53" s="3007" t="s">
        <v>3765</v>
      </c>
      <c r="C53" s="3007" t="s">
        <v>3907</v>
      </c>
      <c r="D53" s="3007" t="s">
        <v>4613</v>
      </c>
      <c r="E53" s="3010">
        <v>52.17</v>
      </c>
      <c r="F53" s="3010">
        <f>'数据-基础表'!E60</f>
        <v>2.74</v>
      </c>
      <c r="G53" s="3007" t="s">
        <v>3054</v>
      </c>
      <c r="H53" s="3009" t="s">
        <v>27</v>
      </c>
      <c r="I53" s="3006" t="s">
        <v>3908</v>
      </c>
      <c r="J53" s="3006" t="s">
        <v>3909</v>
      </c>
      <c r="K53" s="3012" t="s">
        <v>3127</v>
      </c>
      <c r="L53" s="3004">
        <f ca="1">典型户型修正!R71</f>
        <v>9960</v>
      </c>
      <c r="M53" s="3004">
        <f ca="1">典型户型修正!S71</f>
        <v>52</v>
      </c>
    </row>
    <row r="54" spans="1:13" ht="30.75" customHeight="1">
      <c r="A54" s="3012">
        <v>49</v>
      </c>
      <c r="B54" s="3007" t="s">
        <v>3765</v>
      </c>
      <c r="C54" s="3007" t="s">
        <v>3910</v>
      </c>
      <c r="D54" s="3007" t="s">
        <v>4613</v>
      </c>
      <c r="E54" s="3010">
        <v>52.17</v>
      </c>
      <c r="F54" s="3010">
        <f>'数据-基础表'!E61</f>
        <v>2.74</v>
      </c>
      <c r="G54" s="3007" t="s">
        <v>3054</v>
      </c>
      <c r="H54" s="3009" t="s">
        <v>27</v>
      </c>
      <c r="I54" s="3006" t="s">
        <v>3911</v>
      </c>
      <c r="J54" s="3006" t="s">
        <v>3912</v>
      </c>
      <c r="K54" s="3012" t="s">
        <v>3127</v>
      </c>
      <c r="L54" s="3004">
        <f ca="1">典型户型修正!R72</f>
        <v>9960</v>
      </c>
      <c r="M54" s="3004">
        <f ca="1">典型户型修正!S72</f>
        <v>52</v>
      </c>
    </row>
    <row r="55" spans="1:13" ht="30.75" customHeight="1">
      <c r="A55" s="3012">
        <v>50</v>
      </c>
      <c r="B55" s="3007" t="s">
        <v>3765</v>
      </c>
      <c r="C55" s="3007" t="s">
        <v>3913</v>
      </c>
      <c r="D55" s="3007" t="s">
        <v>4613</v>
      </c>
      <c r="E55" s="3010">
        <v>52.17</v>
      </c>
      <c r="F55" s="3010">
        <f>'数据-基础表'!E62</f>
        <v>2.74</v>
      </c>
      <c r="G55" s="3007" t="s">
        <v>3054</v>
      </c>
      <c r="H55" s="3009" t="s">
        <v>27</v>
      </c>
      <c r="I55" s="3006" t="s">
        <v>3914</v>
      </c>
      <c r="J55" s="3006" t="s">
        <v>3915</v>
      </c>
      <c r="K55" s="3012" t="s">
        <v>3127</v>
      </c>
      <c r="L55" s="3004">
        <f ca="1">典型户型修正!R73</f>
        <v>9960</v>
      </c>
      <c r="M55" s="3004">
        <f ca="1">典型户型修正!S73</f>
        <v>52</v>
      </c>
    </row>
    <row r="56" spans="1:13" ht="30.75" customHeight="1">
      <c r="A56" s="3012">
        <v>51</v>
      </c>
      <c r="B56" s="3007" t="s">
        <v>3765</v>
      </c>
      <c r="C56" s="3007" t="s">
        <v>3916</v>
      </c>
      <c r="D56" s="3007" t="s">
        <v>4613</v>
      </c>
      <c r="E56" s="3010">
        <v>52.17</v>
      </c>
      <c r="F56" s="3010">
        <f>'数据-基础表'!E63</f>
        <v>2.74</v>
      </c>
      <c r="G56" s="3007" t="s">
        <v>3054</v>
      </c>
      <c r="H56" s="3009" t="s">
        <v>27</v>
      </c>
      <c r="I56" s="3006" t="s">
        <v>3917</v>
      </c>
      <c r="J56" s="3006" t="s">
        <v>3918</v>
      </c>
      <c r="K56" s="3012" t="s">
        <v>3127</v>
      </c>
      <c r="L56" s="3004">
        <f ca="1">典型户型修正!R74</f>
        <v>9960</v>
      </c>
      <c r="M56" s="3004">
        <f ca="1">典型户型修正!S74</f>
        <v>52</v>
      </c>
    </row>
    <row r="57" spans="1:13" ht="30.75" customHeight="1">
      <c r="A57" s="3012">
        <v>52</v>
      </c>
      <c r="B57" s="3007" t="s">
        <v>3765</v>
      </c>
      <c r="C57" s="3007" t="s">
        <v>3919</v>
      </c>
      <c r="D57" s="3007" t="s">
        <v>4613</v>
      </c>
      <c r="E57" s="3010">
        <v>52.17</v>
      </c>
      <c r="F57" s="3010">
        <f>'数据-基础表'!E64</f>
        <v>2.74</v>
      </c>
      <c r="G57" s="3007" t="s">
        <v>3054</v>
      </c>
      <c r="H57" s="3009" t="s">
        <v>27</v>
      </c>
      <c r="I57" s="3006" t="s">
        <v>3920</v>
      </c>
      <c r="J57" s="3006" t="s">
        <v>3921</v>
      </c>
      <c r="K57" s="3012" t="s">
        <v>3127</v>
      </c>
      <c r="L57" s="3004">
        <f ca="1">典型户型修正!R75</f>
        <v>9960</v>
      </c>
      <c r="M57" s="3004">
        <f ca="1">典型户型修正!S75</f>
        <v>52</v>
      </c>
    </row>
    <row r="58" spans="1:13" ht="30.75" customHeight="1">
      <c r="A58" s="3012">
        <v>53</v>
      </c>
      <c r="B58" s="3007" t="s">
        <v>3765</v>
      </c>
      <c r="C58" s="3007" t="s">
        <v>3922</v>
      </c>
      <c r="D58" s="3007" t="s">
        <v>4613</v>
      </c>
      <c r="E58" s="3010">
        <v>52.17</v>
      </c>
      <c r="F58" s="3010">
        <f>'数据-基础表'!E65</f>
        <v>2.74</v>
      </c>
      <c r="G58" s="3007" t="s">
        <v>3054</v>
      </c>
      <c r="H58" s="3009" t="s">
        <v>27</v>
      </c>
      <c r="I58" s="3006" t="s">
        <v>3923</v>
      </c>
      <c r="J58" s="3006" t="s">
        <v>3924</v>
      </c>
      <c r="K58" s="3012" t="s">
        <v>3127</v>
      </c>
      <c r="L58" s="3004">
        <f ca="1">典型户型修正!R76</f>
        <v>9960</v>
      </c>
      <c r="M58" s="3004">
        <f ca="1">典型户型修正!S76</f>
        <v>52</v>
      </c>
    </row>
    <row r="59" spans="1:13" ht="30.75" customHeight="1">
      <c r="A59" s="3012">
        <v>54</v>
      </c>
      <c r="B59" s="3007" t="s">
        <v>3765</v>
      </c>
      <c r="C59" s="3007" t="s">
        <v>3925</v>
      </c>
      <c r="D59" s="3007" t="s">
        <v>4613</v>
      </c>
      <c r="E59" s="3010">
        <v>80.73</v>
      </c>
      <c r="F59" s="3010">
        <f>'数据-基础表'!E66</f>
        <v>4.24</v>
      </c>
      <c r="G59" s="3007" t="s">
        <v>3054</v>
      </c>
      <c r="H59" s="3009" t="s">
        <v>27</v>
      </c>
      <c r="I59" s="3006" t="s">
        <v>3926</v>
      </c>
      <c r="J59" s="3006" t="s">
        <v>3927</v>
      </c>
      <c r="K59" s="3012" t="s">
        <v>3127</v>
      </c>
      <c r="L59" s="3004">
        <f ca="1">典型户型修正!R77</f>
        <v>9861</v>
      </c>
      <c r="M59" s="3004">
        <f ca="1">典型户型修正!S77</f>
        <v>80</v>
      </c>
    </row>
    <row r="60" spans="1:13" ht="30.75" customHeight="1">
      <c r="A60" s="3012">
        <v>55</v>
      </c>
      <c r="B60" s="3007" t="s">
        <v>3765</v>
      </c>
      <c r="C60" s="3007" t="s">
        <v>3928</v>
      </c>
      <c r="D60" s="3007" t="s">
        <v>4613</v>
      </c>
      <c r="E60" s="3010">
        <v>93.08</v>
      </c>
      <c r="F60" s="3010">
        <f>'数据-基础表'!E67</f>
        <v>4.8899999999999997</v>
      </c>
      <c r="G60" s="3007" t="s">
        <v>3054</v>
      </c>
      <c r="H60" s="3009" t="s">
        <v>27</v>
      </c>
      <c r="I60" s="3006" t="s">
        <v>3929</v>
      </c>
      <c r="J60" s="3006" t="s">
        <v>3930</v>
      </c>
      <c r="K60" s="3012" t="s">
        <v>3127</v>
      </c>
      <c r="L60" s="3004">
        <f ca="1">典型户型修正!R78</f>
        <v>9861</v>
      </c>
      <c r="M60" s="3004">
        <f ca="1">典型户型修正!S78</f>
        <v>92</v>
      </c>
    </row>
    <row r="61" spans="1:13" ht="30.75" customHeight="1">
      <c r="A61" s="3012">
        <v>56</v>
      </c>
      <c r="B61" s="3007" t="s">
        <v>3765</v>
      </c>
      <c r="C61" s="3007" t="s">
        <v>3931</v>
      </c>
      <c r="D61" s="3007" t="s">
        <v>4613</v>
      </c>
      <c r="E61" s="3010">
        <v>93.08</v>
      </c>
      <c r="F61" s="3010">
        <f>'数据-基础表'!E68</f>
        <v>4.8899999999999997</v>
      </c>
      <c r="G61" s="3007" t="s">
        <v>3054</v>
      </c>
      <c r="H61" s="3009" t="s">
        <v>27</v>
      </c>
      <c r="I61" s="3006" t="s">
        <v>3932</v>
      </c>
      <c r="J61" s="3006" t="s">
        <v>3933</v>
      </c>
      <c r="K61" s="3012" t="s">
        <v>3127</v>
      </c>
      <c r="L61" s="3004">
        <f ca="1">典型户型修正!R79</f>
        <v>9861</v>
      </c>
      <c r="M61" s="3004">
        <f ca="1">典型户型修正!S79</f>
        <v>92</v>
      </c>
    </row>
    <row r="62" spans="1:13" ht="30.75" customHeight="1">
      <c r="A62" s="3012">
        <v>57</v>
      </c>
      <c r="B62" s="3007" t="s">
        <v>3765</v>
      </c>
      <c r="C62" s="3007" t="s">
        <v>3934</v>
      </c>
      <c r="D62" s="3007" t="s">
        <v>4614</v>
      </c>
      <c r="E62" s="3010">
        <v>80.73</v>
      </c>
      <c r="F62" s="3010">
        <f>'数据-基础表'!E69</f>
        <v>4.24</v>
      </c>
      <c r="G62" s="3007" t="s">
        <v>3054</v>
      </c>
      <c r="H62" s="3009" t="s">
        <v>27</v>
      </c>
      <c r="I62" s="3006" t="s">
        <v>3935</v>
      </c>
      <c r="J62" s="3006" t="s">
        <v>3936</v>
      </c>
      <c r="K62" s="3012" t="s">
        <v>3127</v>
      </c>
      <c r="L62" s="3004">
        <f ca="1">典型户型修正!R80</f>
        <v>9861</v>
      </c>
      <c r="M62" s="3004">
        <f ca="1">典型户型修正!S80</f>
        <v>80</v>
      </c>
    </row>
    <row r="63" spans="1:13" ht="30.75" customHeight="1">
      <c r="A63" s="3012">
        <v>58</v>
      </c>
      <c r="B63" s="3007" t="s">
        <v>3765</v>
      </c>
      <c r="C63" s="3007" t="s">
        <v>3937</v>
      </c>
      <c r="D63" s="3007" t="s">
        <v>4614</v>
      </c>
      <c r="E63" s="3010">
        <v>52.17</v>
      </c>
      <c r="F63" s="3010">
        <f>'数据-基础表'!E70</f>
        <v>2.74</v>
      </c>
      <c r="G63" s="3007" t="s">
        <v>3054</v>
      </c>
      <c r="H63" s="3009" t="s">
        <v>27</v>
      </c>
      <c r="I63" s="3006" t="s">
        <v>3938</v>
      </c>
      <c r="J63" s="3006" t="s">
        <v>3939</v>
      </c>
      <c r="K63" s="3012" t="s">
        <v>3127</v>
      </c>
      <c r="L63" s="3004">
        <f ca="1">典型户型修正!R81</f>
        <v>9960</v>
      </c>
      <c r="M63" s="3004">
        <f ca="1">典型户型修正!S81</f>
        <v>52</v>
      </c>
    </row>
    <row r="64" spans="1:13" ht="30.75" customHeight="1">
      <c r="A64" s="3012">
        <v>59</v>
      </c>
      <c r="B64" s="3007" t="s">
        <v>3765</v>
      </c>
      <c r="C64" s="3007" t="s">
        <v>3940</v>
      </c>
      <c r="D64" s="3007" t="s">
        <v>4614</v>
      </c>
      <c r="E64" s="3010">
        <v>52.17</v>
      </c>
      <c r="F64" s="3010">
        <f>'数据-基础表'!E71</f>
        <v>2.74</v>
      </c>
      <c r="G64" s="3007" t="s">
        <v>3054</v>
      </c>
      <c r="H64" s="3009" t="s">
        <v>27</v>
      </c>
      <c r="I64" s="3006" t="s">
        <v>3941</v>
      </c>
      <c r="J64" s="3006" t="s">
        <v>3942</v>
      </c>
      <c r="K64" s="3012" t="s">
        <v>3127</v>
      </c>
      <c r="L64" s="3004">
        <f ca="1">典型户型修正!R82</f>
        <v>9960</v>
      </c>
      <c r="M64" s="3004">
        <f ca="1">典型户型修正!S82</f>
        <v>52</v>
      </c>
    </row>
    <row r="65" spans="1:13" ht="30.75" customHeight="1">
      <c r="A65" s="3012">
        <v>60</v>
      </c>
      <c r="B65" s="3007" t="s">
        <v>3765</v>
      </c>
      <c r="C65" s="3007" t="s">
        <v>3943</v>
      </c>
      <c r="D65" s="3007" t="s">
        <v>4614</v>
      </c>
      <c r="E65" s="3010">
        <v>52.17</v>
      </c>
      <c r="F65" s="3010">
        <f>'数据-基础表'!E72</f>
        <v>2.74</v>
      </c>
      <c r="G65" s="3007" t="s">
        <v>3054</v>
      </c>
      <c r="H65" s="3009" t="s">
        <v>27</v>
      </c>
      <c r="I65" s="3006" t="s">
        <v>3944</v>
      </c>
      <c r="J65" s="3006" t="s">
        <v>3945</v>
      </c>
      <c r="K65" s="3012" t="s">
        <v>3127</v>
      </c>
      <c r="L65" s="3004">
        <f ca="1">典型户型修正!R83</f>
        <v>9960</v>
      </c>
      <c r="M65" s="3004">
        <f ca="1">典型户型修正!S83</f>
        <v>52</v>
      </c>
    </row>
    <row r="66" spans="1:13" ht="30.75" customHeight="1">
      <c r="A66" s="3012">
        <v>61</v>
      </c>
      <c r="B66" s="3007" t="s">
        <v>3765</v>
      </c>
      <c r="C66" s="3007" t="s">
        <v>3946</v>
      </c>
      <c r="D66" s="3007" t="s">
        <v>4614</v>
      </c>
      <c r="E66" s="3010">
        <v>52.17</v>
      </c>
      <c r="F66" s="3010">
        <f>'数据-基础表'!E73</f>
        <v>2.74</v>
      </c>
      <c r="G66" s="3007" t="s">
        <v>3054</v>
      </c>
      <c r="H66" s="3009" t="s">
        <v>27</v>
      </c>
      <c r="I66" s="3006" t="s">
        <v>3947</v>
      </c>
      <c r="J66" s="3006" t="s">
        <v>3948</v>
      </c>
      <c r="K66" s="3012" t="s">
        <v>3127</v>
      </c>
      <c r="L66" s="3004">
        <f ca="1">典型户型修正!R84</f>
        <v>9960</v>
      </c>
      <c r="M66" s="3004">
        <f ca="1">典型户型修正!S84</f>
        <v>52</v>
      </c>
    </row>
    <row r="67" spans="1:13" ht="30.75" customHeight="1">
      <c r="A67" s="3012">
        <v>62</v>
      </c>
      <c r="B67" s="3007" t="s">
        <v>3765</v>
      </c>
      <c r="C67" s="3007" t="s">
        <v>3949</v>
      </c>
      <c r="D67" s="3007" t="s">
        <v>4614</v>
      </c>
      <c r="E67" s="3010">
        <v>52.17</v>
      </c>
      <c r="F67" s="3010">
        <f>'数据-基础表'!E74</f>
        <v>2.74</v>
      </c>
      <c r="G67" s="3007" t="s">
        <v>3054</v>
      </c>
      <c r="H67" s="3009" t="s">
        <v>27</v>
      </c>
      <c r="I67" s="3006" t="s">
        <v>3950</v>
      </c>
      <c r="J67" s="3006" t="s">
        <v>3951</v>
      </c>
      <c r="K67" s="3012" t="s">
        <v>3127</v>
      </c>
      <c r="L67" s="3004">
        <f ca="1">典型户型修正!R85</f>
        <v>9960</v>
      </c>
      <c r="M67" s="3004">
        <f ca="1">典型户型修正!S85</f>
        <v>52</v>
      </c>
    </row>
    <row r="68" spans="1:13" ht="30.75" customHeight="1">
      <c r="A68" s="3012">
        <v>63</v>
      </c>
      <c r="B68" s="3007" t="s">
        <v>3765</v>
      </c>
      <c r="C68" s="3007" t="s">
        <v>3952</v>
      </c>
      <c r="D68" s="3007" t="s">
        <v>4614</v>
      </c>
      <c r="E68" s="3010">
        <v>52.17</v>
      </c>
      <c r="F68" s="3010">
        <f>'数据-基础表'!E75</f>
        <v>2.74</v>
      </c>
      <c r="G68" s="3007" t="s">
        <v>3054</v>
      </c>
      <c r="H68" s="3009" t="s">
        <v>27</v>
      </c>
      <c r="I68" s="3006" t="s">
        <v>3953</v>
      </c>
      <c r="J68" s="3006" t="s">
        <v>3954</v>
      </c>
      <c r="K68" s="3012" t="s">
        <v>3127</v>
      </c>
      <c r="L68" s="3004">
        <f ca="1">典型户型修正!R86</f>
        <v>9960</v>
      </c>
      <c r="M68" s="3004">
        <f ca="1">典型户型修正!S86</f>
        <v>52</v>
      </c>
    </row>
    <row r="69" spans="1:13" ht="30.75" customHeight="1">
      <c r="A69" s="3012">
        <v>64</v>
      </c>
      <c r="B69" s="3007" t="s">
        <v>3765</v>
      </c>
      <c r="C69" s="3007" t="s">
        <v>3955</v>
      </c>
      <c r="D69" s="3007" t="s">
        <v>4614</v>
      </c>
      <c r="E69" s="3010">
        <v>52.17</v>
      </c>
      <c r="F69" s="3010">
        <f>'数据-基础表'!E76</f>
        <v>2.74</v>
      </c>
      <c r="G69" s="3007" t="s">
        <v>3054</v>
      </c>
      <c r="H69" s="3009" t="s">
        <v>27</v>
      </c>
      <c r="I69" s="3006" t="s">
        <v>3956</v>
      </c>
      <c r="J69" s="3006" t="s">
        <v>3957</v>
      </c>
      <c r="K69" s="3012" t="s">
        <v>3127</v>
      </c>
      <c r="L69" s="3004">
        <f ca="1">典型户型修正!R87</f>
        <v>9960</v>
      </c>
      <c r="M69" s="3004">
        <f ca="1">典型户型修正!S87</f>
        <v>52</v>
      </c>
    </row>
    <row r="70" spans="1:13" ht="30.75" customHeight="1">
      <c r="A70" s="3012">
        <v>65</v>
      </c>
      <c r="B70" s="3007" t="s">
        <v>3765</v>
      </c>
      <c r="C70" s="3007" t="s">
        <v>3958</v>
      </c>
      <c r="D70" s="3007" t="s">
        <v>4614</v>
      </c>
      <c r="E70" s="3010">
        <v>52.17</v>
      </c>
      <c r="F70" s="3010">
        <f>'数据-基础表'!E77</f>
        <v>2.74</v>
      </c>
      <c r="G70" s="3007" t="s">
        <v>3054</v>
      </c>
      <c r="H70" s="3009" t="s">
        <v>27</v>
      </c>
      <c r="I70" s="3006" t="s">
        <v>3959</v>
      </c>
      <c r="J70" s="3006" t="s">
        <v>3960</v>
      </c>
      <c r="K70" s="3012" t="s">
        <v>3127</v>
      </c>
      <c r="L70" s="3004">
        <f ca="1">典型户型修正!R88</f>
        <v>9960</v>
      </c>
      <c r="M70" s="3004">
        <f ca="1">典型户型修正!S88</f>
        <v>52</v>
      </c>
    </row>
    <row r="71" spans="1:13" ht="30.75" customHeight="1">
      <c r="A71" s="3012">
        <v>66</v>
      </c>
      <c r="B71" s="3007" t="s">
        <v>3765</v>
      </c>
      <c r="C71" s="3007" t="s">
        <v>3961</v>
      </c>
      <c r="D71" s="3007" t="s">
        <v>4614</v>
      </c>
      <c r="E71" s="3010">
        <v>52.17</v>
      </c>
      <c r="F71" s="3010">
        <f>'数据-基础表'!E78</f>
        <v>2.74</v>
      </c>
      <c r="G71" s="3007" t="s">
        <v>3054</v>
      </c>
      <c r="H71" s="3009" t="s">
        <v>27</v>
      </c>
      <c r="I71" s="3006" t="s">
        <v>3962</v>
      </c>
      <c r="J71" s="3006" t="s">
        <v>3963</v>
      </c>
      <c r="K71" s="3012" t="s">
        <v>3127</v>
      </c>
      <c r="L71" s="3004">
        <f ca="1">典型户型修正!R89</f>
        <v>9960</v>
      </c>
      <c r="M71" s="3004">
        <f ca="1">典型户型修正!S89</f>
        <v>52</v>
      </c>
    </row>
    <row r="72" spans="1:13" ht="30.75" customHeight="1">
      <c r="A72" s="3012">
        <v>67</v>
      </c>
      <c r="B72" s="3007" t="s">
        <v>3765</v>
      </c>
      <c r="C72" s="3007" t="s">
        <v>3964</v>
      </c>
      <c r="D72" s="3007" t="s">
        <v>4614</v>
      </c>
      <c r="E72" s="3010">
        <v>52.17</v>
      </c>
      <c r="F72" s="3010">
        <f>'数据-基础表'!E79</f>
        <v>2.74</v>
      </c>
      <c r="G72" s="3007" t="s">
        <v>3054</v>
      </c>
      <c r="H72" s="3009" t="s">
        <v>27</v>
      </c>
      <c r="I72" s="3006" t="s">
        <v>3965</v>
      </c>
      <c r="J72" s="3006" t="s">
        <v>3966</v>
      </c>
      <c r="K72" s="3012" t="s">
        <v>3127</v>
      </c>
      <c r="L72" s="3004">
        <f ca="1">典型户型修正!R90</f>
        <v>9960</v>
      </c>
      <c r="M72" s="3004">
        <f ca="1">典型户型修正!S90</f>
        <v>52</v>
      </c>
    </row>
    <row r="73" spans="1:13" ht="30.75" customHeight="1">
      <c r="A73" s="3012">
        <v>68</v>
      </c>
      <c r="B73" s="3007" t="s">
        <v>3765</v>
      </c>
      <c r="C73" s="3007" t="s">
        <v>3967</v>
      </c>
      <c r="D73" s="3007" t="s">
        <v>4614</v>
      </c>
      <c r="E73" s="3010">
        <v>80.73</v>
      </c>
      <c r="F73" s="3010">
        <f>'数据-基础表'!E80</f>
        <v>4.24</v>
      </c>
      <c r="G73" s="3007" t="s">
        <v>3054</v>
      </c>
      <c r="H73" s="3009" t="s">
        <v>27</v>
      </c>
      <c r="I73" s="3006" t="s">
        <v>3968</v>
      </c>
      <c r="J73" s="3006" t="s">
        <v>3969</v>
      </c>
      <c r="K73" s="3012" t="s">
        <v>3127</v>
      </c>
      <c r="L73" s="3004">
        <f ca="1">典型户型修正!R91</f>
        <v>9861</v>
      </c>
      <c r="M73" s="3004">
        <f ca="1">典型户型修正!S91</f>
        <v>80</v>
      </c>
    </row>
    <row r="74" spans="1:13" ht="30.75" customHeight="1">
      <c r="A74" s="3012">
        <v>69</v>
      </c>
      <c r="B74" s="3007" t="s">
        <v>3765</v>
      </c>
      <c r="C74" s="3007" t="s">
        <v>3970</v>
      </c>
      <c r="D74" s="3007" t="s">
        <v>4614</v>
      </c>
      <c r="E74" s="3010">
        <v>66.040000000000006</v>
      </c>
      <c r="F74" s="3010">
        <f>'数据-基础表'!E81</f>
        <v>3.47</v>
      </c>
      <c r="G74" s="3007" t="s">
        <v>3054</v>
      </c>
      <c r="H74" s="3009" t="s">
        <v>27</v>
      </c>
      <c r="I74" s="3006" t="s">
        <v>3971</v>
      </c>
      <c r="J74" s="3006" t="s">
        <v>3972</v>
      </c>
      <c r="K74" s="3012" t="s">
        <v>3127</v>
      </c>
      <c r="L74" s="3004">
        <f ca="1">典型户型修正!R92</f>
        <v>9861</v>
      </c>
      <c r="M74" s="3004">
        <f ca="1">典型户型修正!S92</f>
        <v>65</v>
      </c>
    </row>
    <row r="75" spans="1:13" ht="30.75" customHeight="1">
      <c r="A75" s="3012">
        <v>70</v>
      </c>
      <c r="B75" s="3007" t="s">
        <v>3765</v>
      </c>
      <c r="C75" s="3007" t="s">
        <v>3973</v>
      </c>
      <c r="D75" s="3007" t="s">
        <v>4614</v>
      </c>
      <c r="E75" s="3010">
        <v>66.040000000000006</v>
      </c>
      <c r="F75" s="3010">
        <f>'数据-基础表'!E82</f>
        <v>3.47</v>
      </c>
      <c r="G75" s="3007" t="s">
        <v>3054</v>
      </c>
      <c r="H75" s="3009" t="s">
        <v>27</v>
      </c>
      <c r="I75" s="3006" t="s">
        <v>3974</v>
      </c>
      <c r="J75" s="3006" t="s">
        <v>3975</v>
      </c>
      <c r="K75" s="3012" t="s">
        <v>3127</v>
      </c>
      <c r="L75" s="3004">
        <f ca="1">典型户型修正!R93</f>
        <v>9861</v>
      </c>
      <c r="M75" s="3004">
        <f ca="1">典型户型修正!S93</f>
        <v>65</v>
      </c>
    </row>
    <row r="76" spans="1:13" ht="30.75" customHeight="1">
      <c r="A76" s="3012">
        <v>71</v>
      </c>
      <c r="B76" s="3007" t="s">
        <v>3765</v>
      </c>
      <c r="C76" s="3007" t="s">
        <v>3976</v>
      </c>
      <c r="D76" s="3007" t="s">
        <v>4614</v>
      </c>
      <c r="E76" s="3010">
        <v>80.73</v>
      </c>
      <c r="F76" s="3010">
        <f>'数据-基础表'!E83</f>
        <v>4.24</v>
      </c>
      <c r="G76" s="3007" t="s">
        <v>3054</v>
      </c>
      <c r="H76" s="3009" t="s">
        <v>27</v>
      </c>
      <c r="I76" s="3006" t="s">
        <v>3977</v>
      </c>
      <c r="J76" s="3006" t="s">
        <v>3978</v>
      </c>
      <c r="K76" s="3012" t="s">
        <v>3127</v>
      </c>
      <c r="L76" s="3004">
        <f ca="1">典型户型修正!R94</f>
        <v>9861</v>
      </c>
      <c r="M76" s="3004">
        <f ca="1">典型户型修正!S94</f>
        <v>80</v>
      </c>
    </row>
    <row r="77" spans="1:13" ht="30.75" customHeight="1">
      <c r="A77" s="3012">
        <v>72</v>
      </c>
      <c r="B77" s="3007" t="s">
        <v>3765</v>
      </c>
      <c r="C77" s="3007" t="s">
        <v>3979</v>
      </c>
      <c r="D77" s="3007" t="s">
        <v>4614</v>
      </c>
      <c r="E77" s="3010">
        <v>52.17</v>
      </c>
      <c r="F77" s="3010">
        <f>'数据-基础表'!E84</f>
        <v>2.74</v>
      </c>
      <c r="G77" s="3007" t="s">
        <v>3054</v>
      </c>
      <c r="H77" s="3009" t="s">
        <v>27</v>
      </c>
      <c r="I77" s="3006" t="s">
        <v>3980</v>
      </c>
      <c r="J77" s="3006" t="s">
        <v>3981</v>
      </c>
      <c r="K77" s="3012" t="s">
        <v>3127</v>
      </c>
      <c r="L77" s="3004">
        <f ca="1">典型户型修正!R95</f>
        <v>9960</v>
      </c>
      <c r="M77" s="3004">
        <f ca="1">典型户型修正!S95</f>
        <v>52</v>
      </c>
    </row>
    <row r="78" spans="1:13" ht="30.75" customHeight="1">
      <c r="A78" s="3012">
        <v>73</v>
      </c>
      <c r="B78" s="3007" t="s">
        <v>3765</v>
      </c>
      <c r="C78" s="3007" t="s">
        <v>3982</v>
      </c>
      <c r="D78" s="3007" t="s">
        <v>4614</v>
      </c>
      <c r="E78" s="3010">
        <v>52.17</v>
      </c>
      <c r="F78" s="3010">
        <f>'数据-基础表'!E85</f>
        <v>2.74</v>
      </c>
      <c r="G78" s="3007" t="s">
        <v>3054</v>
      </c>
      <c r="H78" s="3009" t="s">
        <v>27</v>
      </c>
      <c r="I78" s="3006" t="s">
        <v>3983</v>
      </c>
      <c r="J78" s="3006" t="s">
        <v>3984</v>
      </c>
      <c r="K78" s="3012" t="s">
        <v>3127</v>
      </c>
      <c r="L78" s="3004">
        <f ca="1">典型户型修正!R96</f>
        <v>9960</v>
      </c>
      <c r="M78" s="3004">
        <f ca="1">典型户型修正!S96</f>
        <v>52</v>
      </c>
    </row>
    <row r="79" spans="1:13" ht="30.75" customHeight="1">
      <c r="A79" s="3012">
        <v>74</v>
      </c>
      <c r="B79" s="3007" t="s">
        <v>3765</v>
      </c>
      <c r="C79" s="3007" t="s">
        <v>3985</v>
      </c>
      <c r="D79" s="3007" t="s">
        <v>4614</v>
      </c>
      <c r="E79" s="3010">
        <v>52.17</v>
      </c>
      <c r="F79" s="3010">
        <f>'数据-基础表'!E86</f>
        <v>2.74</v>
      </c>
      <c r="G79" s="3007" t="s">
        <v>3054</v>
      </c>
      <c r="H79" s="3009" t="s">
        <v>27</v>
      </c>
      <c r="I79" s="3006" t="s">
        <v>3986</v>
      </c>
      <c r="J79" s="3006" t="s">
        <v>3987</v>
      </c>
      <c r="K79" s="3012" t="s">
        <v>3127</v>
      </c>
      <c r="L79" s="3004">
        <f ca="1">典型户型修正!R97</f>
        <v>9960</v>
      </c>
      <c r="M79" s="3004">
        <f ca="1">典型户型修正!S97</f>
        <v>52</v>
      </c>
    </row>
    <row r="80" spans="1:13" ht="30.75" customHeight="1">
      <c r="A80" s="3012">
        <v>75</v>
      </c>
      <c r="B80" s="3007" t="s">
        <v>3765</v>
      </c>
      <c r="C80" s="3007" t="s">
        <v>3988</v>
      </c>
      <c r="D80" s="3007" t="s">
        <v>4614</v>
      </c>
      <c r="E80" s="3010">
        <v>52.17</v>
      </c>
      <c r="F80" s="3010">
        <f>'数据-基础表'!E87</f>
        <v>2.74</v>
      </c>
      <c r="G80" s="3007" t="s">
        <v>3054</v>
      </c>
      <c r="H80" s="3009" t="s">
        <v>27</v>
      </c>
      <c r="I80" s="3006" t="s">
        <v>3989</v>
      </c>
      <c r="J80" s="3006" t="s">
        <v>3990</v>
      </c>
      <c r="K80" s="3012" t="s">
        <v>3127</v>
      </c>
      <c r="L80" s="3004">
        <f ca="1">典型户型修正!R98</f>
        <v>9960</v>
      </c>
      <c r="M80" s="3004">
        <f ca="1">典型户型修正!S98</f>
        <v>52</v>
      </c>
    </row>
    <row r="81" spans="1:13" ht="30.75" customHeight="1">
      <c r="A81" s="3012">
        <v>76</v>
      </c>
      <c r="B81" s="3007" t="s">
        <v>3765</v>
      </c>
      <c r="C81" s="3007" t="s">
        <v>3991</v>
      </c>
      <c r="D81" s="3007" t="s">
        <v>4614</v>
      </c>
      <c r="E81" s="3010">
        <v>52.17</v>
      </c>
      <c r="F81" s="3010">
        <f>'数据-基础表'!E88</f>
        <v>2.74</v>
      </c>
      <c r="G81" s="3007" t="s">
        <v>3054</v>
      </c>
      <c r="H81" s="3009" t="s">
        <v>27</v>
      </c>
      <c r="I81" s="3006" t="s">
        <v>3992</v>
      </c>
      <c r="J81" s="3006" t="s">
        <v>3993</v>
      </c>
      <c r="K81" s="3012" t="s">
        <v>3127</v>
      </c>
      <c r="L81" s="3004">
        <f ca="1">典型户型修正!R99</f>
        <v>9960</v>
      </c>
      <c r="M81" s="3004">
        <f ca="1">典型户型修正!S99</f>
        <v>52</v>
      </c>
    </row>
    <row r="82" spans="1:13" ht="30.75" customHeight="1">
      <c r="A82" s="3012">
        <v>77</v>
      </c>
      <c r="B82" s="3007" t="s">
        <v>3765</v>
      </c>
      <c r="C82" s="3007" t="s">
        <v>3994</v>
      </c>
      <c r="D82" s="3007" t="s">
        <v>4614</v>
      </c>
      <c r="E82" s="3010">
        <v>52.17</v>
      </c>
      <c r="F82" s="3010">
        <f>'数据-基础表'!E89</f>
        <v>2.74</v>
      </c>
      <c r="G82" s="3007" t="s">
        <v>3054</v>
      </c>
      <c r="H82" s="3009" t="s">
        <v>27</v>
      </c>
      <c r="I82" s="3006" t="s">
        <v>3995</v>
      </c>
      <c r="J82" s="3006" t="s">
        <v>3996</v>
      </c>
      <c r="K82" s="3012" t="s">
        <v>3127</v>
      </c>
      <c r="L82" s="3004">
        <f ca="1">典型户型修正!R100</f>
        <v>9960</v>
      </c>
      <c r="M82" s="3004">
        <f ca="1">典型户型修正!S100</f>
        <v>52</v>
      </c>
    </row>
    <row r="83" spans="1:13" ht="30.75" customHeight="1">
      <c r="A83" s="3012">
        <v>78</v>
      </c>
      <c r="B83" s="3007" t="s">
        <v>3765</v>
      </c>
      <c r="C83" s="3007" t="s">
        <v>3997</v>
      </c>
      <c r="D83" s="3007" t="s">
        <v>4614</v>
      </c>
      <c r="E83" s="3010">
        <v>52.17</v>
      </c>
      <c r="F83" s="3010">
        <f>'数据-基础表'!E90</f>
        <v>2.74</v>
      </c>
      <c r="G83" s="3007" t="s">
        <v>3054</v>
      </c>
      <c r="H83" s="3009" t="s">
        <v>27</v>
      </c>
      <c r="I83" s="3006" t="s">
        <v>3998</v>
      </c>
      <c r="J83" s="3006" t="s">
        <v>3999</v>
      </c>
      <c r="K83" s="3012" t="s">
        <v>3127</v>
      </c>
      <c r="L83" s="3004">
        <f ca="1">典型户型修正!R101</f>
        <v>9960</v>
      </c>
      <c r="M83" s="3004">
        <f ca="1">典型户型修正!S101</f>
        <v>52</v>
      </c>
    </row>
    <row r="84" spans="1:13" ht="30.75" customHeight="1">
      <c r="A84" s="3012">
        <v>79</v>
      </c>
      <c r="B84" s="3007" t="s">
        <v>3765</v>
      </c>
      <c r="C84" s="3007" t="s">
        <v>4000</v>
      </c>
      <c r="D84" s="3007" t="s">
        <v>4614</v>
      </c>
      <c r="E84" s="3010">
        <v>52.17</v>
      </c>
      <c r="F84" s="3010">
        <f>'数据-基础表'!E91</f>
        <v>2.74</v>
      </c>
      <c r="G84" s="3007" t="s">
        <v>3054</v>
      </c>
      <c r="H84" s="3009" t="s">
        <v>27</v>
      </c>
      <c r="I84" s="3006" t="s">
        <v>4001</v>
      </c>
      <c r="J84" s="3006" t="s">
        <v>4002</v>
      </c>
      <c r="K84" s="3012" t="s">
        <v>3127</v>
      </c>
      <c r="L84" s="3004">
        <f ca="1">典型户型修正!R102</f>
        <v>9960</v>
      </c>
      <c r="M84" s="3004">
        <f ca="1">典型户型修正!S102</f>
        <v>52</v>
      </c>
    </row>
    <row r="85" spans="1:13" ht="30.75" customHeight="1">
      <c r="A85" s="3012">
        <v>80</v>
      </c>
      <c r="B85" s="3007" t="s">
        <v>3765</v>
      </c>
      <c r="C85" s="3007" t="s">
        <v>4003</v>
      </c>
      <c r="D85" s="3007" t="s">
        <v>4614</v>
      </c>
      <c r="E85" s="3010">
        <v>52.17</v>
      </c>
      <c r="F85" s="3010">
        <f>'数据-基础表'!E92</f>
        <v>2.74</v>
      </c>
      <c r="G85" s="3007" t="s">
        <v>3054</v>
      </c>
      <c r="H85" s="3009" t="s">
        <v>27</v>
      </c>
      <c r="I85" s="3006" t="s">
        <v>4004</v>
      </c>
      <c r="J85" s="3006" t="s">
        <v>4005</v>
      </c>
      <c r="K85" s="3012" t="s">
        <v>3127</v>
      </c>
      <c r="L85" s="3004">
        <f ca="1">典型户型修正!R103</f>
        <v>9960</v>
      </c>
      <c r="M85" s="3004">
        <f ca="1">典型户型修正!S103</f>
        <v>52</v>
      </c>
    </row>
    <row r="86" spans="1:13" ht="30.75" customHeight="1">
      <c r="A86" s="3012">
        <v>81</v>
      </c>
      <c r="B86" s="3007" t="s">
        <v>3765</v>
      </c>
      <c r="C86" s="3007" t="s">
        <v>4006</v>
      </c>
      <c r="D86" s="3007" t="s">
        <v>4614</v>
      </c>
      <c r="E86" s="3010">
        <v>52.17</v>
      </c>
      <c r="F86" s="3010">
        <f>'数据-基础表'!E93</f>
        <v>2.74</v>
      </c>
      <c r="G86" s="3007" t="s">
        <v>3054</v>
      </c>
      <c r="H86" s="3009" t="s">
        <v>27</v>
      </c>
      <c r="I86" s="3006" t="s">
        <v>4007</v>
      </c>
      <c r="J86" s="3006" t="s">
        <v>4008</v>
      </c>
      <c r="K86" s="3012" t="s">
        <v>3127</v>
      </c>
      <c r="L86" s="3004">
        <f ca="1">典型户型修正!R104</f>
        <v>9960</v>
      </c>
      <c r="M86" s="3004">
        <f ca="1">典型户型修正!S104</f>
        <v>52</v>
      </c>
    </row>
    <row r="87" spans="1:13" ht="30.75" customHeight="1">
      <c r="A87" s="3012">
        <v>82</v>
      </c>
      <c r="B87" s="3007" t="s">
        <v>3765</v>
      </c>
      <c r="C87" s="3007" t="s">
        <v>4009</v>
      </c>
      <c r="D87" s="3007" t="s">
        <v>4614</v>
      </c>
      <c r="E87" s="3010">
        <v>80.73</v>
      </c>
      <c r="F87" s="3010">
        <f>'数据-基础表'!E94</f>
        <v>4.24</v>
      </c>
      <c r="G87" s="3007" t="s">
        <v>3054</v>
      </c>
      <c r="H87" s="3009" t="s">
        <v>27</v>
      </c>
      <c r="I87" s="3006" t="s">
        <v>4010</v>
      </c>
      <c r="J87" s="3006" t="s">
        <v>4011</v>
      </c>
      <c r="K87" s="3012" t="s">
        <v>3127</v>
      </c>
      <c r="L87" s="3004">
        <f ca="1">典型户型修正!R105</f>
        <v>9861</v>
      </c>
      <c r="M87" s="3004">
        <f ca="1">典型户型修正!S105</f>
        <v>80</v>
      </c>
    </row>
    <row r="88" spans="1:13" ht="30.75" customHeight="1">
      <c r="A88" s="3012">
        <v>83</v>
      </c>
      <c r="B88" s="3007" t="s">
        <v>3765</v>
      </c>
      <c r="C88" s="3007" t="s">
        <v>4012</v>
      </c>
      <c r="D88" s="3007" t="s">
        <v>4614</v>
      </c>
      <c r="E88" s="3010">
        <v>93.08</v>
      </c>
      <c r="F88" s="3010">
        <f>'数据-基础表'!E95</f>
        <v>4.8899999999999997</v>
      </c>
      <c r="G88" s="3007" t="s">
        <v>3054</v>
      </c>
      <c r="H88" s="3009" t="s">
        <v>27</v>
      </c>
      <c r="I88" s="3006" t="s">
        <v>4013</v>
      </c>
      <c r="J88" s="3006" t="s">
        <v>4014</v>
      </c>
      <c r="K88" s="3012" t="s">
        <v>3127</v>
      </c>
      <c r="L88" s="3004">
        <f ca="1">典型户型修正!R106</f>
        <v>9861</v>
      </c>
      <c r="M88" s="3004">
        <f ca="1">典型户型修正!S106</f>
        <v>92</v>
      </c>
    </row>
    <row r="89" spans="1:13" ht="30.75" customHeight="1">
      <c r="A89" s="3012">
        <v>84</v>
      </c>
      <c r="B89" s="3007" t="s">
        <v>3765</v>
      </c>
      <c r="C89" s="3007" t="s">
        <v>4015</v>
      </c>
      <c r="D89" s="3007" t="s">
        <v>4614</v>
      </c>
      <c r="E89" s="3010">
        <v>93.08</v>
      </c>
      <c r="F89" s="3010">
        <f>'数据-基础表'!E96</f>
        <v>4.8899999999999997</v>
      </c>
      <c r="G89" s="3007" t="s">
        <v>3054</v>
      </c>
      <c r="H89" s="3009" t="s">
        <v>27</v>
      </c>
      <c r="I89" s="3006" t="s">
        <v>4016</v>
      </c>
      <c r="J89" s="3006" t="s">
        <v>4017</v>
      </c>
      <c r="K89" s="3012" t="s">
        <v>3127</v>
      </c>
      <c r="L89" s="3004">
        <f ca="1">典型户型修正!R107</f>
        <v>9861</v>
      </c>
      <c r="M89" s="3004">
        <f ca="1">典型户型修正!S107</f>
        <v>92</v>
      </c>
    </row>
    <row r="90" spans="1:13" ht="30.75" customHeight="1">
      <c r="A90" s="3012">
        <v>85</v>
      </c>
      <c r="B90" s="3007" t="s">
        <v>3765</v>
      </c>
      <c r="C90" s="3007" t="s">
        <v>4018</v>
      </c>
      <c r="D90" s="3007" t="s">
        <v>4615</v>
      </c>
      <c r="E90" s="3010">
        <v>80.73</v>
      </c>
      <c r="F90" s="3010">
        <f>'数据-基础表'!E97</f>
        <v>4.24</v>
      </c>
      <c r="G90" s="3007" t="s">
        <v>3054</v>
      </c>
      <c r="H90" s="3009" t="s">
        <v>27</v>
      </c>
      <c r="I90" s="3006" t="s">
        <v>4019</v>
      </c>
      <c r="J90" s="3006" t="s">
        <v>4020</v>
      </c>
      <c r="K90" s="3012" t="s">
        <v>3127</v>
      </c>
      <c r="L90" s="3004">
        <f ca="1">典型户型修正!R108</f>
        <v>9861</v>
      </c>
      <c r="M90" s="3004">
        <f ca="1">典型户型修正!S108</f>
        <v>80</v>
      </c>
    </row>
    <row r="91" spans="1:13" ht="30.75" customHeight="1">
      <c r="A91" s="3012">
        <v>86</v>
      </c>
      <c r="B91" s="3007" t="s">
        <v>3765</v>
      </c>
      <c r="C91" s="3007" t="s">
        <v>4021</v>
      </c>
      <c r="D91" s="3007" t="s">
        <v>4615</v>
      </c>
      <c r="E91" s="3010">
        <v>52.17</v>
      </c>
      <c r="F91" s="3010">
        <f>'数据-基础表'!E98</f>
        <v>2.74</v>
      </c>
      <c r="G91" s="3007" t="s">
        <v>3054</v>
      </c>
      <c r="H91" s="3009" t="s">
        <v>27</v>
      </c>
      <c r="I91" s="3006" t="s">
        <v>4022</v>
      </c>
      <c r="J91" s="3006" t="s">
        <v>4023</v>
      </c>
      <c r="K91" s="3012" t="s">
        <v>3127</v>
      </c>
      <c r="L91" s="3004">
        <f ca="1">典型户型修正!R109</f>
        <v>9960</v>
      </c>
      <c r="M91" s="3004">
        <f ca="1">典型户型修正!S109</f>
        <v>52</v>
      </c>
    </row>
    <row r="92" spans="1:13" ht="30.75" customHeight="1">
      <c r="A92" s="3012">
        <v>87</v>
      </c>
      <c r="B92" s="3007" t="s">
        <v>3765</v>
      </c>
      <c r="C92" s="3007" t="s">
        <v>4024</v>
      </c>
      <c r="D92" s="3007" t="s">
        <v>4615</v>
      </c>
      <c r="E92" s="3010">
        <v>52.17</v>
      </c>
      <c r="F92" s="3010">
        <f>'数据-基础表'!E99</f>
        <v>2.74</v>
      </c>
      <c r="G92" s="3007" t="s">
        <v>3054</v>
      </c>
      <c r="H92" s="3009" t="s">
        <v>27</v>
      </c>
      <c r="I92" s="3006" t="s">
        <v>4025</v>
      </c>
      <c r="J92" s="3006" t="s">
        <v>4026</v>
      </c>
      <c r="K92" s="3012" t="s">
        <v>3127</v>
      </c>
      <c r="L92" s="3004">
        <f ca="1">典型户型修正!R110</f>
        <v>9960</v>
      </c>
      <c r="M92" s="3004">
        <f ca="1">典型户型修正!S110</f>
        <v>52</v>
      </c>
    </row>
    <row r="93" spans="1:13" ht="30.75" customHeight="1">
      <c r="A93" s="3012">
        <v>88</v>
      </c>
      <c r="B93" s="3007" t="s">
        <v>3765</v>
      </c>
      <c r="C93" s="3007" t="s">
        <v>4027</v>
      </c>
      <c r="D93" s="3007" t="s">
        <v>4615</v>
      </c>
      <c r="E93" s="3010">
        <v>52.17</v>
      </c>
      <c r="F93" s="3010">
        <f>'数据-基础表'!E100</f>
        <v>2.74</v>
      </c>
      <c r="G93" s="3007" t="s">
        <v>3054</v>
      </c>
      <c r="H93" s="3009" t="s">
        <v>27</v>
      </c>
      <c r="I93" s="3006" t="s">
        <v>4028</v>
      </c>
      <c r="J93" s="3006" t="s">
        <v>4029</v>
      </c>
      <c r="K93" s="3012" t="s">
        <v>3127</v>
      </c>
      <c r="L93" s="3004">
        <f ca="1">典型户型修正!R111</f>
        <v>9960</v>
      </c>
      <c r="M93" s="3004">
        <f ca="1">典型户型修正!S111</f>
        <v>52</v>
      </c>
    </row>
    <row r="94" spans="1:13" ht="30.75" customHeight="1">
      <c r="A94" s="3012">
        <v>89</v>
      </c>
      <c r="B94" s="3007" t="s">
        <v>3765</v>
      </c>
      <c r="C94" s="3007" t="s">
        <v>4030</v>
      </c>
      <c r="D94" s="3007" t="s">
        <v>4615</v>
      </c>
      <c r="E94" s="3010">
        <v>52.17</v>
      </c>
      <c r="F94" s="3010">
        <f>'数据-基础表'!E101</f>
        <v>2.74</v>
      </c>
      <c r="G94" s="3007" t="s">
        <v>3054</v>
      </c>
      <c r="H94" s="3009" t="s">
        <v>27</v>
      </c>
      <c r="I94" s="3006" t="s">
        <v>4031</v>
      </c>
      <c r="J94" s="3006" t="s">
        <v>4032</v>
      </c>
      <c r="K94" s="3012" t="s">
        <v>3127</v>
      </c>
      <c r="L94" s="3004">
        <f ca="1">典型户型修正!R112</f>
        <v>9960</v>
      </c>
      <c r="M94" s="3004">
        <f ca="1">典型户型修正!S112</f>
        <v>52</v>
      </c>
    </row>
    <row r="95" spans="1:13" ht="30.75" customHeight="1">
      <c r="A95" s="3012">
        <v>90</v>
      </c>
      <c r="B95" s="3007" t="s">
        <v>3765</v>
      </c>
      <c r="C95" s="3007" t="s">
        <v>4033</v>
      </c>
      <c r="D95" s="3007" t="s">
        <v>4615</v>
      </c>
      <c r="E95" s="3010">
        <v>52.17</v>
      </c>
      <c r="F95" s="3010">
        <f>'数据-基础表'!E102</f>
        <v>2.74</v>
      </c>
      <c r="G95" s="3007" t="s">
        <v>3054</v>
      </c>
      <c r="H95" s="3009" t="s">
        <v>27</v>
      </c>
      <c r="I95" s="3006" t="s">
        <v>4034</v>
      </c>
      <c r="J95" s="3006" t="s">
        <v>4035</v>
      </c>
      <c r="K95" s="3012" t="s">
        <v>3127</v>
      </c>
      <c r="L95" s="3004">
        <f ca="1">典型户型修正!R113</f>
        <v>9960</v>
      </c>
      <c r="M95" s="3004">
        <f ca="1">典型户型修正!S113</f>
        <v>52</v>
      </c>
    </row>
    <row r="96" spans="1:13" ht="30.75" customHeight="1">
      <c r="A96" s="3012">
        <v>91</v>
      </c>
      <c r="B96" s="3007" t="s">
        <v>3765</v>
      </c>
      <c r="C96" s="3007" t="s">
        <v>4036</v>
      </c>
      <c r="D96" s="3007" t="s">
        <v>4615</v>
      </c>
      <c r="E96" s="3010">
        <v>52.17</v>
      </c>
      <c r="F96" s="3010">
        <f>'数据-基础表'!E103</f>
        <v>2.74</v>
      </c>
      <c r="G96" s="3007" t="s">
        <v>3054</v>
      </c>
      <c r="H96" s="3009" t="s">
        <v>27</v>
      </c>
      <c r="I96" s="3006" t="s">
        <v>4037</v>
      </c>
      <c r="J96" s="3006" t="s">
        <v>4038</v>
      </c>
      <c r="K96" s="3012" t="s">
        <v>3127</v>
      </c>
      <c r="L96" s="3004">
        <f ca="1">典型户型修正!R114</f>
        <v>9960</v>
      </c>
      <c r="M96" s="3004">
        <f ca="1">典型户型修正!S114</f>
        <v>52</v>
      </c>
    </row>
    <row r="97" spans="1:13" ht="30.75" customHeight="1">
      <c r="A97" s="3012">
        <v>92</v>
      </c>
      <c r="B97" s="3007" t="s">
        <v>3765</v>
      </c>
      <c r="C97" s="3007" t="s">
        <v>4039</v>
      </c>
      <c r="D97" s="3007" t="s">
        <v>4615</v>
      </c>
      <c r="E97" s="3010">
        <v>52.17</v>
      </c>
      <c r="F97" s="3010">
        <f>'数据-基础表'!E104</f>
        <v>2.74</v>
      </c>
      <c r="G97" s="3007" t="s">
        <v>3054</v>
      </c>
      <c r="H97" s="3009" t="s">
        <v>27</v>
      </c>
      <c r="I97" s="3006" t="s">
        <v>4040</v>
      </c>
      <c r="J97" s="3006" t="s">
        <v>4041</v>
      </c>
      <c r="K97" s="3012" t="s">
        <v>3127</v>
      </c>
      <c r="L97" s="3004">
        <f ca="1">典型户型修正!R115</f>
        <v>9960</v>
      </c>
      <c r="M97" s="3004">
        <f ca="1">典型户型修正!S115</f>
        <v>52</v>
      </c>
    </row>
    <row r="98" spans="1:13" ht="30.75" customHeight="1">
      <c r="A98" s="3012">
        <v>93</v>
      </c>
      <c r="B98" s="3007" t="s">
        <v>3765</v>
      </c>
      <c r="C98" s="3007" t="s">
        <v>4042</v>
      </c>
      <c r="D98" s="3007" t="s">
        <v>4615</v>
      </c>
      <c r="E98" s="3010">
        <v>52.17</v>
      </c>
      <c r="F98" s="3010">
        <f>'数据-基础表'!E105</f>
        <v>2.74</v>
      </c>
      <c r="G98" s="3007" t="s">
        <v>3054</v>
      </c>
      <c r="H98" s="3009" t="s">
        <v>27</v>
      </c>
      <c r="I98" s="3006" t="s">
        <v>4043</v>
      </c>
      <c r="J98" s="3006" t="s">
        <v>4044</v>
      </c>
      <c r="K98" s="3012" t="s">
        <v>3127</v>
      </c>
      <c r="L98" s="3004">
        <f ca="1">典型户型修正!R116</f>
        <v>9960</v>
      </c>
      <c r="M98" s="3004">
        <f ca="1">典型户型修正!S116</f>
        <v>52</v>
      </c>
    </row>
    <row r="99" spans="1:13" ht="30.75" customHeight="1">
      <c r="A99" s="3012">
        <v>94</v>
      </c>
      <c r="B99" s="3007" t="s">
        <v>3765</v>
      </c>
      <c r="C99" s="3007" t="s">
        <v>4045</v>
      </c>
      <c r="D99" s="3007" t="s">
        <v>4615</v>
      </c>
      <c r="E99" s="3010">
        <v>52.17</v>
      </c>
      <c r="F99" s="3010">
        <f>'数据-基础表'!E106</f>
        <v>2.74</v>
      </c>
      <c r="G99" s="3007" t="s">
        <v>3054</v>
      </c>
      <c r="H99" s="3009" t="s">
        <v>27</v>
      </c>
      <c r="I99" s="3006" t="s">
        <v>4046</v>
      </c>
      <c r="J99" s="3006" t="s">
        <v>4047</v>
      </c>
      <c r="K99" s="3012" t="s">
        <v>3127</v>
      </c>
      <c r="L99" s="3004">
        <f ca="1">典型户型修正!R117</f>
        <v>9960</v>
      </c>
      <c r="M99" s="3004">
        <f ca="1">典型户型修正!S117</f>
        <v>52</v>
      </c>
    </row>
    <row r="100" spans="1:13" ht="30.75" customHeight="1">
      <c r="A100" s="3012">
        <v>95</v>
      </c>
      <c r="B100" s="3007" t="s">
        <v>3765</v>
      </c>
      <c r="C100" s="3007" t="s">
        <v>4048</v>
      </c>
      <c r="D100" s="3007" t="s">
        <v>4615</v>
      </c>
      <c r="E100" s="3010">
        <v>52.17</v>
      </c>
      <c r="F100" s="3010">
        <f>'数据-基础表'!E107</f>
        <v>2.74</v>
      </c>
      <c r="G100" s="3007" t="s">
        <v>3054</v>
      </c>
      <c r="H100" s="3009" t="s">
        <v>27</v>
      </c>
      <c r="I100" s="3006" t="s">
        <v>4049</v>
      </c>
      <c r="J100" s="3006" t="s">
        <v>4050</v>
      </c>
      <c r="K100" s="3012" t="s">
        <v>3127</v>
      </c>
      <c r="L100" s="3004">
        <f ca="1">典型户型修正!R118</f>
        <v>9960</v>
      </c>
      <c r="M100" s="3004">
        <f ca="1">典型户型修正!S118</f>
        <v>52</v>
      </c>
    </row>
    <row r="101" spans="1:13" ht="30.75" customHeight="1">
      <c r="A101" s="3012">
        <v>96</v>
      </c>
      <c r="B101" s="3007" t="s">
        <v>3765</v>
      </c>
      <c r="C101" s="3007" t="s">
        <v>4051</v>
      </c>
      <c r="D101" s="3007" t="s">
        <v>4615</v>
      </c>
      <c r="E101" s="3010">
        <v>80.73</v>
      </c>
      <c r="F101" s="3010">
        <f>'数据-基础表'!E108</f>
        <v>4.24</v>
      </c>
      <c r="G101" s="3007" t="s">
        <v>3054</v>
      </c>
      <c r="H101" s="3009" t="s">
        <v>27</v>
      </c>
      <c r="I101" s="3006" t="s">
        <v>4052</v>
      </c>
      <c r="J101" s="3006" t="s">
        <v>4053</v>
      </c>
      <c r="K101" s="3012" t="s">
        <v>3127</v>
      </c>
      <c r="L101" s="3004">
        <f ca="1">典型户型修正!R119</f>
        <v>9861</v>
      </c>
      <c r="M101" s="3004">
        <f ca="1">典型户型修正!S119</f>
        <v>80</v>
      </c>
    </row>
    <row r="102" spans="1:13" ht="30.75" customHeight="1">
      <c r="A102" s="3012">
        <v>97</v>
      </c>
      <c r="B102" s="3007" t="s">
        <v>3765</v>
      </c>
      <c r="C102" s="3007" t="s">
        <v>4054</v>
      </c>
      <c r="D102" s="3007" t="s">
        <v>4615</v>
      </c>
      <c r="E102" s="3010">
        <v>66.040000000000006</v>
      </c>
      <c r="F102" s="3010">
        <f>'数据-基础表'!E109</f>
        <v>3.47</v>
      </c>
      <c r="G102" s="3007" t="s">
        <v>3054</v>
      </c>
      <c r="H102" s="3009" t="s">
        <v>27</v>
      </c>
      <c r="I102" s="3006" t="s">
        <v>4055</v>
      </c>
      <c r="J102" s="3006" t="s">
        <v>4056</v>
      </c>
      <c r="K102" s="3012" t="s">
        <v>3127</v>
      </c>
      <c r="L102" s="3004">
        <f ca="1">典型户型修正!R120</f>
        <v>9861</v>
      </c>
      <c r="M102" s="3004">
        <f ca="1">典型户型修正!S120</f>
        <v>65</v>
      </c>
    </row>
    <row r="103" spans="1:13" ht="30.75" customHeight="1">
      <c r="A103" s="3012">
        <v>98</v>
      </c>
      <c r="B103" s="3007" t="s">
        <v>3765</v>
      </c>
      <c r="C103" s="3007" t="s">
        <v>4057</v>
      </c>
      <c r="D103" s="3007" t="s">
        <v>4615</v>
      </c>
      <c r="E103" s="3010">
        <v>66.040000000000006</v>
      </c>
      <c r="F103" s="3010">
        <f>'数据-基础表'!E110</f>
        <v>3.47</v>
      </c>
      <c r="G103" s="3007" t="s">
        <v>3054</v>
      </c>
      <c r="H103" s="3009" t="s">
        <v>27</v>
      </c>
      <c r="I103" s="3006" t="s">
        <v>4058</v>
      </c>
      <c r="J103" s="3006" t="s">
        <v>4059</v>
      </c>
      <c r="K103" s="3012" t="s">
        <v>3127</v>
      </c>
      <c r="L103" s="3004">
        <f ca="1">典型户型修正!R121</f>
        <v>9861</v>
      </c>
      <c r="M103" s="3004">
        <f ca="1">典型户型修正!S121</f>
        <v>65</v>
      </c>
    </row>
    <row r="104" spans="1:13" ht="30.75" customHeight="1">
      <c r="A104" s="3012">
        <v>99</v>
      </c>
      <c r="B104" s="3007" t="s">
        <v>3765</v>
      </c>
      <c r="C104" s="3007" t="s">
        <v>4060</v>
      </c>
      <c r="D104" s="3007" t="s">
        <v>4615</v>
      </c>
      <c r="E104" s="3010">
        <v>80.73</v>
      </c>
      <c r="F104" s="3010">
        <f>'数据-基础表'!E111</f>
        <v>4.24</v>
      </c>
      <c r="G104" s="3007" t="s">
        <v>3054</v>
      </c>
      <c r="H104" s="3009" t="s">
        <v>27</v>
      </c>
      <c r="I104" s="3006" t="s">
        <v>4061</v>
      </c>
      <c r="J104" s="3006" t="s">
        <v>4062</v>
      </c>
      <c r="K104" s="3012" t="s">
        <v>3127</v>
      </c>
      <c r="L104" s="3004">
        <f ca="1">典型户型修正!R122</f>
        <v>9861</v>
      </c>
      <c r="M104" s="3004">
        <f ca="1">典型户型修正!S122</f>
        <v>80</v>
      </c>
    </row>
    <row r="105" spans="1:13" ht="30.75" customHeight="1">
      <c r="A105" s="3012">
        <v>100</v>
      </c>
      <c r="B105" s="3007" t="s">
        <v>3765</v>
      </c>
      <c r="C105" s="3007" t="s">
        <v>4063</v>
      </c>
      <c r="D105" s="3007" t="s">
        <v>4615</v>
      </c>
      <c r="E105" s="3010">
        <v>52.17</v>
      </c>
      <c r="F105" s="3010">
        <f>'数据-基础表'!E112</f>
        <v>2.74</v>
      </c>
      <c r="G105" s="3007" t="s">
        <v>3054</v>
      </c>
      <c r="H105" s="3009" t="s">
        <v>27</v>
      </c>
      <c r="I105" s="3006" t="s">
        <v>4064</v>
      </c>
      <c r="J105" s="3006" t="s">
        <v>4065</v>
      </c>
      <c r="K105" s="3012" t="s">
        <v>3127</v>
      </c>
      <c r="L105" s="3004">
        <f ca="1">典型户型修正!R123</f>
        <v>9960</v>
      </c>
      <c r="M105" s="3004">
        <f ca="1">典型户型修正!S123</f>
        <v>52</v>
      </c>
    </row>
    <row r="106" spans="1:13" ht="30.75" customHeight="1">
      <c r="A106" s="3012">
        <v>101</v>
      </c>
      <c r="B106" s="3007" t="s">
        <v>3765</v>
      </c>
      <c r="C106" s="3008" t="s">
        <v>4066</v>
      </c>
      <c r="D106" s="3007" t="s">
        <v>4615</v>
      </c>
      <c r="E106" s="3010">
        <v>52.17</v>
      </c>
      <c r="F106" s="3010">
        <f>'数据-基础表'!E113</f>
        <v>2.74</v>
      </c>
      <c r="G106" s="3008" t="s">
        <v>3054</v>
      </c>
      <c r="H106" s="3009" t="s">
        <v>27</v>
      </c>
      <c r="I106" s="3006" t="s">
        <v>4067</v>
      </c>
      <c r="J106" s="3006" t="s">
        <v>4068</v>
      </c>
      <c r="K106" s="3012" t="s">
        <v>3127</v>
      </c>
      <c r="L106" s="3004">
        <f ca="1">典型户型修正!R124</f>
        <v>9960</v>
      </c>
      <c r="M106" s="3004">
        <f ca="1">典型户型修正!S124</f>
        <v>52</v>
      </c>
    </row>
    <row r="107" spans="1:13" ht="30.75" customHeight="1">
      <c r="A107" s="3012">
        <v>102</v>
      </c>
      <c r="B107" s="3008" t="s">
        <v>3765</v>
      </c>
      <c r="C107" s="3008" t="s">
        <v>4069</v>
      </c>
      <c r="D107" s="3007" t="s">
        <v>4615</v>
      </c>
      <c r="E107" s="3010">
        <v>52.17</v>
      </c>
      <c r="F107" s="3010">
        <f>'数据-基础表'!E114</f>
        <v>2.74</v>
      </c>
      <c r="G107" s="3008" t="s">
        <v>3054</v>
      </c>
      <c r="H107" s="3009" t="s">
        <v>27</v>
      </c>
      <c r="I107" s="3006" t="s">
        <v>4070</v>
      </c>
      <c r="J107" s="3006" t="s">
        <v>4071</v>
      </c>
      <c r="K107" s="3012" t="s">
        <v>3127</v>
      </c>
      <c r="L107" s="3004">
        <f ca="1">典型户型修正!R125</f>
        <v>9960</v>
      </c>
      <c r="M107" s="3004">
        <f ca="1">典型户型修正!S125</f>
        <v>52</v>
      </c>
    </row>
    <row r="108" spans="1:13" ht="30.75" customHeight="1">
      <c r="A108" s="3012">
        <v>103</v>
      </c>
      <c r="B108" s="3008" t="s">
        <v>3765</v>
      </c>
      <c r="C108" s="3008" t="s">
        <v>4072</v>
      </c>
      <c r="D108" s="3007" t="s">
        <v>4615</v>
      </c>
      <c r="E108" s="3010">
        <v>52.17</v>
      </c>
      <c r="F108" s="3010">
        <f>'数据-基础表'!E115</f>
        <v>2.74</v>
      </c>
      <c r="G108" s="3008" t="s">
        <v>3054</v>
      </c>
      <c r="H108" s="3009" t="s">
        <v>27</v>
      </c>
      <c r="I108" s="3006" t="s">
        <v>4073</v>
      </c>
      <c r="J108" s="3006" t="s">
        <v>4074</v>
      </c>
      <c r="K108" s="3012" t="s">
        <v>3127</v>
      </c>
      <c r="L108" s="3004">
        <f ca="1">典型户型修正!R126</f>
        <v>9960</v>
      </c>
      <c r="M108" s="3004">
        <f ca="1">典型户型修正!S126</f>
        <v>52</v>
      </c>
    </row>
    <row r="109" spans="1:13" ht="30.75" customHeight="1">
      <c r="A109" s="3012">
        <v>104</v>
      </c>
      <c r="B109" s="3008" t="s">
        <v>3765</v>
      </c>
      <c r="C109" s="3008" t="s">
        <v>4075</v>
      </c>
      <c r="D109" s="3007" t="s">
        <v>4615</v>
      </c>
      <c r="E109" s="3010">
        <v>52.17</v>
      </c>
      <c r="F109" s="3010">
        <f>'数据-基础表'!E116</f>
        <v>2.74</v>
      </c>
      <c r="G109" s="3008" t="s">
        <v>3054</v>
      </c>
      <c r="H109" s="3009" t="s">
        <v>27</v>
      </c>
      <c r="I109" s="3006" t="s">
        <v>4076</v>
      </c>
      <c r="J109" s="3006" t="s">
        <v>4077</v>
      </c>
      <c r="K109" s="3012" t="s">
        <v>3127</v>
      </c>
      <c r="L109" s="3004">
        <f ca="1">典型户型修正!R127</f>
        <v>9960</v>
      </c>
      <c r="M109" s="3004">
        <f ca="1">典型户型修正!S127</f>
        <v>52</v>
      </c>
    </row>
    <row r="110" spans="1:13" ht="30.75" customHeight="1">
      <c r="A110" s="3012">
        <v>105</v>
      </c>
      <c r="B110" s="3008" t="s">
        <v>3765</v>
      </c>
      <c r="C110" s="3008" t="s">
        <v>4078</v>
      </c>
      <c r="D110" s="3007" t="s">
        <v>4615</v>
      </c>
      <c r="E110" s="3010">
        <v>52.17</v>
      </c>
      <c r="F110" s="3010">
        <f>'数据-基础表'!E117</f>
        <v>2.74</v>
      </c>
      <c r="G110" s="3008" t="s">
        <v>3054</v>
      </c>
      <c r="H110" s="3009" t="s">
        <v>27</v>
      </c>
      <c r="I110" s="3006" t="s">
        <v>4079</v>
      </c>
      <c r="J110" s="3006" t="s">
        <v>4080</v>
      </c>
      <c r="K110" s="3012" t="s">
        <v>3127</v>
      </c>
      <c r="L110" s="3004">
        <f ca="1">典型户型修正!R128</f>
        <v>9960</v>
      </c>
      <c r="M110" s="3004">
        <f ca="1">典型户型修正!S128</f>
        <v>52</v>
      </c>
    </row>
    <row r="111" spans="1:13" ht="30.75" customHeight="1">
      <c r="A111" s="3012">
        <v>106</v>
      </c>
      <c r="B111" s="3008" t="s">
        <v>3765</v>
      </c>
      <c r="C111" s="3008" t="s">
        <v>4081</v>
      </c>
      <c r="D111" s="3007" t="s">
        <v>4615</v>
      </c>
      <c r="E111" s="3010">
        <v>52.17</v>
      </c>
      <c r="F111" s="3010">
        <f>'数据-基础表'!E118</f>
        <v>2.74</v>
      </c>
      <c r="G111" s="3008" t="s">
        <v>3054</v>
      </c>
      <c r="H111" s="3009" t="s">
        <v>27</v>
      </c>
      <c r="I111" s="3006" t="s">
        <v>4082</v>
      </c>
      <c r="J111" s="3006" t="s">
        <v>4083</v>
      </c>
      <c r="K111" s="3012" t="s">
        <v>3127</v>
      </c>
      <c r="L111" s="3004">
        <f ca="1">典型户型修正!R129</f>
        <v>9960</v>
      </c>
      <c r="M111" s="3004">
        <f ca="1">典型户型修正!S129</f>
        <v>52</v>
      </c>
    </row>
    <row r="112" spans="1:13" ht="30.75" customHeight="1">
      <c r="A112" s="3012">
        <v>107</v>
      </c>
      <c r="B112" s="3008" t="s">
        <v>3765</v>
      </c>
      <c r="C112" s="3008" t="s">
        <v>4084</v>
      </c>
      <c r="D112" s="3007" t="s">
        <v>4615</v>
      </c>
      <c r="E112" s="3010">
        <v>52.17</v>
      </c>
      <c r="F112" s="3010">
        <f>'数据-基础表'!E119</f>
        <v>2.74</v>
      </c>
      <c r="G112" s="3008" t="s">
        <v>3054</v>
      </c>
      <c r="H112" s="3009" t="s">
        <v>27</v>
      </c>
      <c r="I112" s="3006" t="s">
        <v>4085</v>
      </c>
      <c r="J112" s="3006" t="s">
        <v>4086</v>
      </c>
      <c r="K112" s="3012" t="s">
        <v>3127</v>
      </c>
      <c r="L112" s="3004">
        <f ca="1">典型户型修正!R130</f>
        <v>9960</v>
      </c>
      <c r="M112" s="3004">
        <f ca="1">典型户型修正!S130</f>
        <v>52</v>
      </c>
    </row>
    <row r="113" spans="1:13" ht="30.75" customHeight="1">
      <c r="A113" s="3012">
        <v>108</v>
      </c>
      <c r="B113" s="3008" t="s">
        <v>3765</v>
      </c>
      <c r="C113" s="3008" t="s">
        <v>4087</v>
      </c>
      <c r="D113" s="3007" t="s">
        <v>4615</v>
      </c>
      <c r="E113" s="3010">
        <v>52.17</v>
      </c>
      <c r="F113" s="3010">
        <f>'数据-基础表'!E120</f>
        <v>2.74</v>
      </c>
      <c r="G113" s="3008" t="s">
        <v>3054</v>
      </c>
      <c r="H113" s="3009" t="s">
        <v>27</v>
      </c>
      <c r="I113" s="3006" t="s">
        <v>4088</v>
      </c>
      <c r="J113" s="3006" t="s">
        <v>4089</v>
      </c>
      <c r="K113" s="3012" t="s">
        <v>3127</v>
      </c>
      <c r="L113" s="3004">
        <f ca="1">典型户型修正!R131</f>
        <v>9960</v>
      </c>
      <c r="M113" s="3004">
        <f ca="1">典型户型修正!S131</f>
        <v>52</v>
      </c>
    </row>
    <row r="114" spans="1:13" ht="30.75" customHeight="1">
      <c r="A114" s="3012">
        <v>109</v>
      </c>
      <c r="B114" s="3008" t="s">
        <v>3765</v>
      </c>
      <c r="C114" s="3008" t="s">
        <v>4090</v>
      </c>
      <c r="D114" s="3007" t="s">
        <v>4615</v>
      </c>
      <c r="E114" s="3010">
        <v>52.17</v>
      </c>
      <c r="F114" s="3010">
        <f>'数据-基础表'!E121</f>
        <v>2.74</v>
      </c>
      <c r="G114" s="3008" t="s">
        <v>3054</v>
      </c>
      <c r="H114" s="3009" t="s">
        <v>27</v>
      </c>
      <c r="I114" s="3006" t="s">
        <v>4091</v>
      </c>
      <c r="J114" s="3006" t="s">
        <v>4092</v>
      </c>
      <c r="K114" s="3012" t="s">
        <v>3127</v>
      </c>
      <c r="L114" s="3004">
        <f ca="1">典型户型修正!R132</f>
        <v>9960</v>
      </c>
      <c r="M114" s="3004">
        <f ca="1">典型户型修正!S132</f>
        <v>52</v>
      </c>
    </row>
    <row r="115" spans="1:13" ht="30.75" customHeight="1">
      <c r="A115" s="3012">
        <v>110</v>
      </c>
      <c r="B115" s="3008" t="s">
        <v>3765</v>
      </c>
      <c r="C115" s="3008" t="s">
        <v>4093</v>
      </c>
      <c r="D115" s="3007" t="s">
        <v>4615</v>
      </c>
      <c r="E115" s="3010">
        <v>80.73</v>
      </c>
      <c r="F115" s="3010">
        <f>'数据-基础表'!E122</f>
        <v>4.24</v>
      </c>
      <c r="G115" s="3008" t="s">
        <v>3054</v>
      </c>
      <c r="H115" s="3009" t="s">
        <v>27</v>
      </c>
      <c r="I115" s="3006" t="s">
        <v>4094</v>
      </c>
      <c r="J115" s="3006" t="s">
        <v>4095</v>
      </c>
      <c r="K115" s="3012" t="s">
        <v>3127</v>
      </c>
      <c r="L115" s="3004">
        <f ca="1">典型户型修正!R133</f>
        <v>9861</v>
      </c>
      <c r="M115" s="3004">
        <f ca="1">典型户型修正!S133</f>
        <v>80</v>
      </c>
    </row>
    <row r="116" spans="1:13" ht="30.75" customHeight="1">
      <c r="A116" s="3012">
        <v>111</v>
      </c>
      <c r="B116" s="3008" t="s">
        <v>3765</v>
      </c>
      <c r="C116" s="3008" t="s">
        <v>4096</v>
      </c>
      <c r="D116" s="3007" t="s">
        <v>4615</v>
      </c>
      <c r="E116" s="3010">
        <v>93.08</v>
      </c>
      <c r="F116" s="3010">
        <f>'数据-基础表'!E123</f>
        <v>4.8899999999999997</v>
      </c>
      <c r="G116" s="3008" t="s">
        <v>3054</v>
      </c>
      <c r="H116" s="3009" t="s">
        <v>27</v>
      </c>
      <c r="I116" s="3006" t="s">
        <v>4097</v>
      </c>
      <c r="J116" s="3006" t="s">
        <v>4098</v>
      </c>
      <c r="K116" s="3012" t="s">
        <v>3127</v>
      </c>
      <c r="L116" s="3004">
        <f ca="1">典型户型修正!R134</f>
        <v>9861</v>
      </c>
      <c r="M116" s="3004">
        <f ca="1">典型户型修正!S134</f>
        <v>92</v>
      </c>
    </row>
    <row r="117" spans="1:13" ht="30.75" customHeight="1">
      <c r="A117" s="3012">
        <v>112</v>
      </c>
      <c r="B117" s="3008" t="s">
        <v>3765</v>
      </c>
      <c r="C117" s="3008" t="s">
        <v>4099</v>
      </c>
      <c r="D117" s="3007" t="s">
        <v>4615</v>
      </c>
      <c r="E117" s="3010">
        <v>93.08</v>
      </c>
      <c r="F117" s="3010">
        <f>'数据-基础表'!E124</f>
        <v>4.8899999999999997</v>
      </c>
      <c r="G117" s="3008" t="s">
        <v>3054</v>
      </c>
      <c r="H117" s="3009" t="s">
        <v>27</v>
      </c>
      <c r="I117" s="3006" t="s">
        <v>4100</v>
      </c>
      <c r="J117" s="3006" t="s">
        <v>4101</v>
      </c>
      <c r="K117" s="3012" t="s">
        <v>3127</v>
      </c>
      <c r="L117" s="3004">
        <f ca="1">典型户型修正!R135</f>
        <v>9861</v>
      </c>
      <c r="M117" s="3004">
        <f ca="1">典型户型修正!S135</f>
        <v>92</v>
      </c>
    </row>
    <row r="118" spans="1:13" ht="30.75" customHeight="1">
      <c r="A118" s="3012">
        <v>113</v>
      </c>
      <c r="B118" s="3008" t="s">
        <v>3765</v>
      </c>
      <c r="C118" s="3008" t="s">
        <v>4102</v>
      </c>
      <c r="D118" s="3008" t="s">
        <v>4616</v>
      </c>
      <c r="E118" s="3010">
        <v>80.73</v>
      </c>
      <c r="F118" s="3010">
        <f>'数据-基础表'!E125</f>
        <v>4.24</v>
      </c>
      <c r="G118" s="3008" t="s">
        <v>3054</v>
      </c>
      <c r="H118" s="3009" t="s">
        <v>27</v>
      </c>
      <c r="I118" s="3006" t="s">
        <v>4103</v>
      </c>
      <c r="J118" s="3006" t="s">
        <v>4104</v>
      </c>
      <c r="K118" s="3012" t="s">
        <v>3127</v>
      </c>
      <c r="L118" s="3004">
        <f ca="1">典型户型修正!R136</f>
        <v>9861</v>
      </c>
      <c r="M118" s="3004">
        <f ca="1">典型户型修正!S136</f>
        <v>80</v>
      </c>
    </row>
    <row r="119" spans="1:13" ht="30.75" customHeight="1">
      <c r="A119" s="3012">
        <v>114</v>
      </c>
      <c r="B119" s="3008" t="s">
        <v>3765</v>
      </c>
      <c r="C119" s="3008" t="s">
        <v>4105</v>
      </c>
      <c r="D119" s="3008" t="s">
        <v>4616</v>
      </c>
      <c r="E119" s="3010">
        <v>52.17</v>
      </c>
      <c r="F119" s="3010">
        <f>'数据-基础表'!E126</f>
        <v>2.74</v>
      </c>
      <c r="G119" s="3008" t="s">
        <v>3054</v>
      </c>
      <c r="H119" s="3009" t="s">
        <v>27</v>
      </c>
      <c r="I119" s="3006" t="s">
        <v>4106</v>
      </c>
      <c r="J119" s="3006" t="s">
        <v>4107</v>
      </c>
      <c r="K119" s="3012" t="s">
        <v>3127</v>
      </c>
      <c r="L119" s="3004">
        <f ca="1">典型户型修正!R137</f>
        <v>9960</v>
      </c>
      <c r="M119" s="3004">
        <f ca="1">典型户型修正!S137</f>
        <v>52</v>
      </c>
    </row>
    <row r="120" spans="1:13" ht="30.75" customHeight="1">
      <c r="A120" s="3012">
        <v>115</v>
      </c>
      <c r="B120" s="3008" t="s">
        <v>3765</v>
      </c>
      <c r="C120" s="3008" t="s">
        <v>4108</v>
      </c>
      <c r="D120" s="3008" t="s">
        <v>4616</v>
      </c>
      <c r="E120" s="3010">
        <v>52.17</v>
      </c>
      <c r="F120" s="3010">
        <f>'数据-基础表'!E127</f>
        <v>2.74</v>
      </c>
      <c r="G120" s="3008" t="s">
        <v>3054</v>
      </c>
      <c r="H120" s="3009" t="s">
        <v>27</v>
      </c>
      <c r="I120" s="3006" t="s">
        <v>4109</v>
      </c>
      <c r="J120" s="3006" t="s">
        <v>4110</v>
      </c>
      <c r="K120" s="3012" t="s">
        <v>3127</v>
      </c>
      <c r="L120" s="3004">
        <f ca="1">典型户型修正!R138</f>
        <v>9960</v>
      </c>
      <c r="M120" s="3004">
        <f ca="1">典型户型修正!S138</f>
        <v>52</v>
      </c>
    </row>
    <row r="121" spans="1:13" ht="30.75" customHeight="1">
      <c r="A121" s="3012">
        <v>116</v>
      </c>
      <c r="B121" s="3008" t="s">
        <v>3765</v>
      </c>
      <c r="C121" s="3008" t="s">
        <v>4111</v>
      </c>
      <c r="D121" s="3008" t="s">
        <v>4616</v>
      </c>
      <c r="E121" s="3010">
        <v>52.17</v>
      </c>
      <c r="F121" s="3010">
        <f>'数据-基础表'!E128</f>
        <v>2.74</v>
      </c>
      <c r="G121" s="3008" t="s">
        <v>3054</v>
      </c>
      <c r="H121" s="3009" t="s">
        <v>27</v>
      </c>
      <c r="I121" s="3006" t="s">
        <v>4112</v>
      </c>
      <c r="J121" s="3006" t="s">
        <v>4113</v>
      </c>
      <c r="K121" s="3012" t="s">
        <v>3127</v>
      </c>
      <c r="L121" s="3004">
        <f ca="1">典型户型修正!R139</f>
        <v>9960</v>
      </c>
      <c r="M121" s="3004">
        <f ca="1">典型户型修正!S139</f>
        <v>52</v>
      </c>
    </row>
    <row r="122" spans="1:13" ht="30.75" customHeight="1">
      <c r="A122" s="3012">
        <v>117</v>
      </c>
      <c r="B122" s="3008" t="s">
        <v>3765</v>
      </c>
      <c r="C122" s="3008" t="s">
        <v>4114</v>
      </c>
      <c r="D122" s="3008" t="s">
        <v>4616</v>
      </c>
      <c r="E122" s="3010">
        <v>52.17</v>
      </c>
      <c r="F122" s="3010">
        <f>'数据-基础表'!E129</f>
        <v>2.74</v>
      </c>
      <c r="G122" s="3008" t="s">
        <v>3054</v>
      </c>
      <c r="H122" s="3009" t="s">
        <v>27</v>
      </c>
      <c r="I122" s="3006" t="s">
        <v>4115</v>
      </c>
      <c r="J122" s="3006" t="s">
        <v>4116</v>
      </c>
      <c r="K122" s="3012" t="s">
        <v>3127</v>
      </c>
      <c r="L122" s="3004">
        <f ca="1">典型户型修正!R140</f>
        <v>9960</v>
      </c>
      <c r="M122" s="3004">
        <f ca="1">典型户型修正!S140</f>
        <v>52</v>
      </c>
    </row>
    <row r="123" spans="1:13" ht="30.75" customHeight="1">
      <c r="A123" s="3012">
        <v>118</v>
      </c>
      <c r="B123" s="3008" t="s">
        <v>3765</v>
      </c>
      <c r="C123" s="3008" t="s">
        <v>4117</v>
      </c>
      <c r="D123" s="3008" t="s">
        <v>4616</v>
      </c>
      <c r="E123" s="3010">
        <v>52.17</v>
      </c>
      <c r="F123" s="3010">
        <f>'数据-基础表'!E130</f>
        <v>2.74</v>
      </c>
      <c r="G123" s="3008" t="s">
        <v>3054</v>
      </c>
      <c r="H123" s="3009" t="s">
        <v>27</v>
      </c>
      <c r="I123" s="3006" t="s">
        <v>4118</v>
      </c>
      <c r="J123" s="3006" t="s">
        <v>4119</v>
      </c>
      <c r="K123" s="3012" t="s">
        <v>3127</v>
      </c>
      <c r="L123" s="3004">
        <f ca="1">典型户型修正!R141</f>
        <v>9960</v>
      </c>
      <c r="M123" s="3004">
        <f ca="1">典型户型修正!S141</f>
        <v>52</v>
      </c>
    </row>
    <row r="124" spans="1:13" ht="30.75" customHeight="1">
      <c r="A124" s="3012">
        <v>119</v>
      </c>
      <c r="B124" s="3008" t="s">
        <v>3765</v>
      </c>
      <c r="C124" s="3008" t="s">
        <v>4120</v>
      </c>
      <c r="D124" s="3008" t="s">
        <v>4616</v>
      </c>
      <c r="E124" s="3010">
        <v>52.17</v>
      </c>
      <c r="F124" s="3010">
        <f>'数据-基础表'!E131</f>
        <v>2.74</v>
      </c>
      <c r="G124" s="3008" t="s">
        <v>3054</v>
      </c>
      <c r="H124" s="3009" t="s">
        <v>27</v>
      </c>
      <c r="I124" s="3006" t="s">
        <v>4121</v>
      </c>
      <c r="J124" s="3006" t="s">
        <v>4122</v>
      </c>
      <c r="K124" s="3012" t="s">
        <v>3127</v>
      </c>
      <c r="L124" s="3004">
        <f ca="1">典型户型修正!R142</f>
        <v>9960</v>
      </c>
      <c r="M124" s="3004">
        <f ca="1">典型户型修正!S142</f>
        <v>52</v>
      </c>
    </row>
    <row r="125" spans="1:13" ht="30.75" customHeight="1">
      <c r="A125" s="3012">
        <v>120</v>
      </c>
      <c r="B125" s="3008" t="s">
        <v>3765</v>
      </c>
      <c r="C125" s="3008" t="s">
        <v>4123</v>
      </c>
      <c r="D125" s="3008" t="s">
        <v>4616</v>
      </c>
      <c r="E125" s="3010">
        <v>52.17</v>
      </c>
      <c r="F125" s="3010">
        <f>'数据-基础表'!E132</f>
        <v>2.74</v>
      </c>
      <c r="G125" s="3008" t="s">
        <v>3054</v>
      </c>
      <c r="H125" s="3009" t="s">
        <v>27</v>
      </c>
      <c r="I125" s="3006" t="s">
        <v>4124</v>
      </c>
      <c r="J125" s="3006" t="s">
        <v>4125</v>
      </c>
      <c r="K125" s="3012" t="s">
        <v>3127</v>
      </c>
      <c r="L125" s="3004">
        <f ca="1">典型户型修正!R143</f>
        <v>9960</v>
      </c>
      <c r="M125" s="3004">
        <f ca="1">典型户型修正!S143</f>
        <v>52</v>
      </c>
    </row>
    <row r="126" spans="1:13" ht="30.75" customHeight="1">
      <c r="A126" s="3012">
        <v>121</v>
      </c>
      <c r="B126" s="3008" t="s">
        <v>3765</v>
      </c>
      <c r="C126" s="3008" t="s">
        <v>4126</v>
      </c>
      <c r="D126" s="3008" t="s">
        <v>4616</v>
      </c>
      <c r="E126" s="3010">
        <v>52.17</v>
      </c>
      <c r="F126" s="3010">
        <f>'数据-基础表'!E133</f>
        <v>2.74</v>
      </c>
      <c r="G126" s="3008" t="s">
        <v>3054</v>
      </c>
      <c r="H126" s="3009" t="s">
        <v>27</v>
      </c>
      <c r="I126" s="3006" t="s">
        <v>4127</v>
      </c>
      <c r="J126" s="3006" t="s">
        <v>4128</v>
      </c>
      <c r="K126" s="3012" t="s">
        <v>3127</v>
      </c>
      <c r="L126" s="3004">
        <f ca="1">典型户型修正!R144</f>
        <v>9960</v>
      </c>
      <c r="M126" s="3004">
        <f ca="1">典型户型修正!S144</f>
        <v>52</v>
      </c>
    </row>
    <row r="127" spans="1:13" ht="30.75" customHeight="1">
      <c r="A127" s="3012">
        <v>122</v>
      </c>
      <c r="B127" s="3008" t="s">
        <v>3765</v>
      </c>
      <c r="C127" s="3008" t="s">
        <v>4129</v>
      </c>
      <c r="D127" s="3008" t="s">
        <v>4616</v>
      </c>
      <c r="E127" s="3010">
        <v>52.17</v>
      </c>
      <c r="F127" s="3010">
        <f>'数据-基础表'!E134</f>
        <v>2.74</v>
      </c>
      <c r="G127" s="3008" t="s">
        <v>3054</v>
      </c>
      <c r="H127" s="3009" t="s">
        <v>27</v>
      </c>
      <c r="I127" s="3006" t="s">
        <v>4130</v>
      </c>
      <c r="J127" s="3006" t="s">
        <v>4131</v>
      </c>
      <c r="K127" s="3012" t="s">
        <v>3127</v>
      </c>
      <c r="L127" s="3004">
        <f ca="1">典型户型修正!R145</f>
        <v>9960</v>
      </c>
      <c r="M127" s="3004">
        <f ca="1">典型户型修正!S145</f>
        <v>52</v>
      </c>
    </row>
    <row r="128" spans="1:13" ht="30.75" customHeight="1">
      <c r="A128" s="3012">
        <v>123</v>
      </c>
      <c r="B128" s="3008" t="s">
        <v>3765</v>
      </c>
      <c r="C128" s="3008" t="s">
        <v>4132</v>
      </c>
      <c r="D128" s="3008" t="s">
        <v>4616</v>
      </c>
      <c r="E128" s="3010">
        <v>52.17</v>
      </c>
      <c r="F128" s="3010">
        <f>'数据-基础表'!E135</f>
        <v>2.74</v>
      </c>
      <c r="G128" s="3008" t="s">
        <v>3054</v>
      </c>
      <c r="H128" s="3009" t="s">
        <v>27</v>
      </c>
      <c r="I128" s="3006" t="s">
        <v>4133</v>
      </c>
      <c r="J128" s="3006" t="s">
        <v>4134</v>
      </c>
      <c r="K128" s="3012" t="s">
        <v>3127</v>
      </c>
      <c r="L128" s="3004">
        <f ca="1">典型户型修正!R146</f>
        <v>9960</v>
      </c>
      <c r="M128" s="3004">
        <f ca="1">典型户型修正!S146</f>
        <v>52</v>
      </c>
    </row>
    <row r="129" spans="1:13" ht="30.75" customHeight="1">
      <c r="A129" s="3012">
        <v>124</v>
      </c>
      <c r="B129" s="3008" t="s">
        <v>3765</v>
      </c>
      <c r="C129" s="3008" t="s">
        <v>4135</v>
      </c>
      <c r="D129" s="3008" t="s">
        <v>4616</v>
      </c>
      <c r="E129" s="3010">
        <v>80.73</v>
      </c>
      <c r="F129" s="3010">
        <f>'数据-基础表'!E136</f>
        <v>4.24</v>
      </c>
      <c r="G129" s="3008" t="s">
        <v>3054</v>
      </c>
      <c r="H129" s="3009" t="s">
        <v>27</v>
      </c>
      <c r="I129" s="3006" t="s">
        <v>4136</v>
      </c>
      <c r="J129" s="3006" t="s">
        <v>4137</v>
      </c>
      <c r="K129" s="3012" t="s">
        <v>3127</v>
      </c>
      <c r="L129" s="3004">
        <f ca="1">典型户型修正!R147</f>
        <v>9861</v>
      </c>
      <c r="M129" s="3004">
        <f ca="1">典型户型修正!S147</f>
        <v>80</v>
      </c>
    </row>
    <row r="130" spans="1:13" ht="30.75" customHeight="1">
      <c r="A130" s="3012">
        <v>125</v>
      </c>
      <c r="B130" s="3008" t="s">
        <v>3765</v>
      </c>
      <c r="C130" s="3008" t="s">
        <v>4138</v>
      </c>
      <c r="D130" s="3008" t="s">
        <v>4616</v>
      </c>
      <c r="E130" s="3010">
        <v>67.36</v>
      </c>
      <c r="F130" s="3010">
        <f>'数据-基础表'!E137</f>
        <v>3.54</v>
      </c>
      <c r="G130" s="3008" t="s">
        <v>3054</v>
      </c>
      <c r="H130" s="3009" t="s">
        <v>27</v>
      </c>
      <c r="I130" s="3006" t="s">
        <v>4139</v>
      </c>
      <c r="J130" s="3006" t="s">
        <v>4140</v>
      </c>
      <c r="K130" s="3012" t="s">
        <v>3127</v>
      </c>
      <c r="L130" s="3004">
        <f ca="1">典型户型修正!R148</f>
        <v>9861</v>
      </c>
      <c r="M130" s="3004">
        <f ca="1">典型户型修正!S148</f>
        <v>66</v>
      </c>
    </row>
    <row r="131" spans="1:13" ht="30.75" customHeight="1">
      <c r="A131" s="3012">
        <v>126</v>
      </c>
      <c r="B131" s="3008" t="s">
        <v>3765</v>
      </c>
      <c r="C131" s="3008" t="s">
        <v>4141</v>
      </c>
      <c r="D131" s="3008" t="s">
        <v>4616</v>
      </c>
      <c r="E131" s="3010">
        <v>67.36</v>
      </c>
      <c r="F131" s="3010">
        <f>'数据-基础表'!E138</f>
        <v>3.54</v>
      </c>
      <c r="G131" s="3008" t="s">
        <v>3054</v>
      </c>
      <c r="H131" s="3009" t="s">
        <v>27</v>
      </c>
      <c r="I131" s="3006" t="s">
        <v>4142</v>
      </c>
      <c r="J131" s="3006" t="s">
        <v>4143</v>
      </c>
      <c r="K131" s="3012" t="s">
        <v>3127</v>
      </c>
      <c r="L131" s="3004">
        <f ca="1">典型户型修正!R149</f>
        <v>9861</v>
      </c>
      <c r="M131" s="3004">
        <f ca="1">典型户型修正!S149</f>
        <v>66</v>
      </c>
    </row>
    <row r="132" spans="1:13" ht="30.75" customHeight="1">
      <c r="A132" s="3012">
        <v>127</v>
      </c>
      <c r="B132" s="3008" t="s">
        <v>3765</v>
      </c>
      <c r="C132" s="3008" t="s">
        <v>4144</v>
      </c>
      <c r="D132" s="3008" t="s">
        <v>4616</v>
      </c>
      <c r="E132" s="3010">
        <v>80.73</v>
      </c>
      <c r="F132" s="3010">
        <f>'数据-基础表'!E139</f>
        <v>4.24</v>
      </c>
      <c r="G132" s="3008" t="s">
        <v>3054</v>
      </c>
      <c r="H132" s="3009" t="s">
        <v>27</v>
      </c>
      <c r="I132" s="3006" t="s">
        <v>4145</v>
      </c>
      <c r="J132" s="3006" t="s">
        <v>4146</v>
      </c>
      <c r="K132" s="3012" t="s">
        <v>3127</v>
      </c>
      <c r="L132" s="3004">
        <f ca="1">典型户型修正!R150</f>
        <v>9861</v>
      </c>
      <c r="M132" s="3004">
        <f ca="1">典型户型修正!S150</f>
        <v>80</v>
      </c>
    </row>
    <row r="133" spans="1:13" ht="30.75" customHeight="1">
      <c r="A133" s="3012">
        <v>128</v>
      </c>
      <c r="B133" s="3008" t="s">
        <v>3765</v>
      </c>
      <c r="C133" s="3008" t="s">
        <v>4147</v>
      </c>
      <c r="D133" s="3008" t="s">
        <v>4616</v>
      </c>
      <c r="E133" s="3010">
        <v>52.17</v>
      </c>
      <c r="F133" s="3010">
        <f>'数据-基础表'!E140</f>
        <v>2.74</v>
      </c>
      <c r="G133" s="3008" t="s">
        <v>3054</v>
      </c>
      <c r="H133" s="3009" t="s">
        <v>27</v>
      </c>
      <c r="I133" s="3006" t="s">
        <v>4148</v>
      </c>
      <c r="J133" s="3006" t="s">
        <v>4149</v>
      </c>
      <c r="K133" s="3012" t="s">
        <v>3127</v>
      </c>
      <c r="L133" s="3004">
        <f ca="1">典型户型修正!R151</f>
        <v>9960</v>
      </c>
      <c r="M133" s="3004">
        <f ca="1">典型户型修正!S151</f>
        <v>52</v>
      </c>
    </row>
    <row r="134" spans="1:13" ht="30.75" customHeight="1">
      <c r="A134" s="3012">
        <v>129</v>
      </c>
      <c r="B134" s="3008" t="s">
        <v>3765</v>
      </c>
      <c r="C134" s="3008" t="s">
        <v>4150</v>
      </c>
      <c r="D134" s="3008" t="s">
        <v>4616</v>
      </c>
      <c r="E134" s="3010">
        <v>52.17</v>
      </c>
      <c r="F134" s="3010">
        <f>'数据-基础表'!E141</f>
        <v>2.74</v>
      </c>
      <c r="G134" s="3008" t="s">
        <v>3054</v>
      </c>
      <c r="H134" s="3009" t="s">
        <v>27</v>
      </c>
      <c r="I134" s="3006" t="s">
        <v>4151</v>
      </c>
      <c r="J134" s="3006" t="s">
        <v>4152</v>
      </c>
      <c r="K134" s="3012" t="s">
        <v>3127</v>
      </c>
      <c r="L134" s="3004">
        <f ca="1">典型户型修正!R152</f>
        <v>9960</v>
      </c>
      <c r="M134" s="3004">
        <f ca="1">典型户型修正!S152</f>
        <v>52</v>
      </c>
    </row>
    <row r="135" spans="1:13" ht="30.75" customHeight="1">
      <c r="A135" s="3012">
        <v>130</v>
      </c>
      <c r="B135" s="3008" t="s">
        <v>3765</v>
      </c>
      <c r="C135" s="3008" t="s">
        <v>4153</v>
      </c>
      <c r="D135" s="3008" t="s">
        <v>4616</v>
      </c>
      <c r="E135" s="3010">
        <v>52.17</v>
      </c>
      <c r="F135" s="3010">
        <f>'数据-基础表'!E142</f>
        <v>2.74</v>
      </c>
      <c r="G135" s="3008" t="s">
        <v>3054</v>
      </c>
      <c r="H135" s="3009" t="s">
        <v>27</v>
      </c>
      <c r="I135" s="3006" t="s">
        <v>4154</v>
      </c>
      <c r="J135" s="3006" t="s">
        <v>4155</v>
      </c>
      <c r="K135" s="3012" t="s">
        <v>3127</v>
      </c>
      <c r="L135" s="3004">
        <f ca="1">典型户型修正!R153</f>
        <v>9960</v>
      </c>
      <c r="M135" s="3004">
        <f ca="1">典型户型修正!S153</f>
        <v>52</v>
      </c>
    </row>
    <row r="136" spans="1:13" ht="30.75" customHeight="1">
      <c r="A136" s="3012">
        <v>131</v>
      </c>
      <c r="B136" s="3008" t="s">
        <v>3765</v>
      </c>
      <c r="C136" s="3008" t="s">
        <v>4156</v>
      </c>
      <c r="D136" s="3008" t="s">
        <v>4616</v>
      </c>
      <c r="E136" s="3010">
        <v>52.17</v>
      </c>
      <c r="F136" s="3010">
        <f>'数据-基础表'!E143</f>
        <v>2.74</v>
      </c>
      <c r="G136" s="3008" t="s">
        <v>3054</v>
      </c>
      <c r="H136" s="3009" t="s">
        <v>27</v>
      </c>
      <c r="I136" s="3006" t="s">
        <v>4157</v>
      </c>
      <c r="J136" s="3006" t="s">
        <v>4158</v>
      </c>
      <c r="K136" s="3012" t="s">
        <v>3127</v>
      </c>
      <c r="L136" s="3004">
        <f ca="1">典型户型修正!R154</f>
        <v>9960</v>
      </c>
      <c r="M136" s="3004">
        <f ca="1">典型户型修正!S154</f>
        <v>52</v>
      </c>
    </row>
    <row r="137" spans="1:13" ht="30.75" customHeight="1">
      <c r="A137" s="3012">
        <v>132</v>
      </c>
      <c r="B137" s="3008" t="s">
        <v>3765</v>
      </c>
      <c r="C137" s="3008" t="s">
        <v>4159</v>
      </c>
      <c r="D137" s="3008" t="s">
        <v>4616</v>
      </c>
      <c r="E137" s="3010">
        <v>52.17</v>
      </c>
      <c r="F137" s="3010">
        <f>'数据-基础表'!E144</f>
        <v>2.74</v>
      </c>
      <c r="G137" s="3008" t="s">
        <v>3054</v>
      </c>
      <c r="H137" s="3009" t="s">
        <v>27</v>
      </c>
      <c r="I137" s="3006" t="s">
        <v>4160</v>
      </c>
      <c r="J137" s="3006" t="s">
        <v>4161</v>
      </c>
      <c r="K137" s="3012" t="s">
        <v>3127</v>
      </c>
      <c r="L137" s="3004">
        <f ca="1">典型户型修正!R155</f>
        <v>9960</v>
      </c>
      <c r="M137" s="3004">
        <f ca="1">典型户型修正!S155</f>
        <v>52</v>
      </c>
    </row>
    <row r="138" spans="1:13" ht="30.75" customHeight="1">
      <c r="A138" s="3012">
        <v>133</v>
      </c>
      <c r="B138" s="3008" t="s">
        <v>3765</v>
      </c>
      <c r="C138" s="3008" t="s">
        <v>4162</v>
      </c>
      <c r="D138" s="3008" t="s">
        <v>4616</v>
      </c>
      <c r="E138" s="3010">
        <v>52.17</v>
      </c>
      <c r="F138" s="3010">
        <f>'数据-基础表'!E145</f>
        <v>2.74</v>
      </c>
      <c r="G138" s="3008" t="s">
        <v>3054</v>
      </c>
      <c r="H138" s="3009" t="s">
        <v>27</v>
      </c>
      <c r="I138" s="3006" t="s">
        <v>4163</v>
      </c>
      <c r="J138" s="3006" t="s">
        <v>4164</v>
      </c>
      <c r="K138" s="3012" t="s">
        <v>3127</v>
      </c>
      <c r="L138" s="3004">
        <f ca="1">典型户型修正!R156</f>
        <v>9960</v>
      </c>
      <c r="M138" s="3004">
        <f ca="1">典型户型修正!S156</f>
        <v>52</v>
      </c>
    </row>
    <row r="139" spans="1:13" ht="30.75" customHeight="1">
      <c r="A139" s="3012">
        <v>134</v>
      </c>
      <c r="B139" s="3008" t="s">
        <v>3765</v>
      </c>
      <c r="C139" s="3008" t="s">
        <v>4165</v>
      </c>
      <c r="D139" s="3008" t="s">
        <v>4616</v>
      </c>
      <c r="E139" s="3010">
        <v>52.17</v>
      </c>
      <c r="F139" s="3010">
        <f>'数据-基础表'!E146</f>
        <v>2.74</v>
      </c>
      <c r="G139" s="3008" t="s">
        <v>3054</v>
      </c>
      <c r="H139" s="3009" t="s">
        <v>27</v>
      </c>
      <c r="I139" s="3006" t="s">
        <v>4166</v>
      </c>
      <c r="J139" s="3006" t="s">
        <v>4167</v>
      </c>
      <c r="K139" s="3012" t="s">
        <v>3127</v>
      </c>
      <c r="L139" s="3004">
        <f ca="1">典型户型修正!R157</f>
        <v>9960</v>
      </c>
      <c r="M139" s="3004">
        <f ca="1">典型户型修正!S157</f>
        <v>52</v>
      </c>
    </row>
    <row r="140" spans="1:13" ht="30.75" customHeight="1">
      <c r="A140" s="3012">
        <v>135</v>
      </c>
      <c r="B140" s="3008" t="s">
        <v>3765</v>
      </c>
      <c r="C140" s="3008" t="s">
        <v>4168</v>
      </c>
      <c r="D140" s="3008" t="s">
        <v>4616</v>
      </c>
      <c r="E140" s="3010">
        <v>52.17</v>
      </c>
      <c r="F140" s="3010">
        <f>'数据-基础表'!E147</f>
        <v>2.74</v>
      </c>
      <c r="G140" s="3008" t="s">
        <v>3054</v>
      </c>
      <c r="H140" s="3009" t="s">
        <v>27</v>
      </c>
      <c r="I140" s="3006" t="s">
        <v>4169</v>
      </c>
      <c r="J140" s="3006" t="s">
        <v>4170</v>
      </c>
      <c r="K140" s="3012" t="s">
        <v>3127</v>
      </c>
      <c r="L140" s="3004">
        <f ca="1">典型户型修正!R158</f>
        <v>9960</v>
      </c>
      <c r="M140" s="3004">
        <f ca="1">典型户型修正!S158</f>
        <v>52</v>
      </c>
    </row>
    <row r="141" spans="1:13" ht="30.75" customHeight="1">
      <c r="A141" s="3012">
        <v>136</v>
      </c>
      <c r="B141" s="3008" t="s">
        <v>3765</v>
      </c>
      <c r="C141" s="3008" t="s">
        <v>4171</v>
      </c>
      <c r="D141" s="3008" t="s">
        <v>4616</v>
      </c>
      <c r="E141" s="3010">
        <v>52.17</v>
      </c>
      <c r="F141" s="3010">
        <f>'数据-基础表'!E148</f>
        <v>2.74</v>
      </c>
      <c r="G141" s="3008" t="s">
        <v>3054</v>
      </c>
      <c r="H141" s="3009" t="s">
        <v>27</v>
      </c>
      <c r="I141" s="3006" t="s">
        <v>4172</v>
      </c>
      <c r="J141" s="3006" t="s">
        <v>4173</v>
      </c>
      <c r="K141" s="3012" t="s">
        <v>3127</v>
      </c>
      <c r="L141" s="3004">
        <f ca="1">典型户型修正!R159</f>
        <v>9960</v>
      </c>
      <c r="M141" s="3004">
        <f ca="1">典型户型修正!S159</f>
        <v>52</v>
      </c>
    </row>
    <row r="142" spans="1:13" ht="30.75" customHeight="1">
      <c r="A142" s="3012">
        <v>137</v>
      </c>
      <c r="B142" s="3008" t="s">
        <v>3765</v>
      </c>
      <c r="C142" s="3008" t="s">
        <v>4174</v>
      </c>
      <c r="D142" s="3008" t="s">
        <v>4616</v>
      </c>
      <c r="E142" s="3010">
        <v>80.73</v>
      </c>
      <c r="F142" s="3010">
        <f>'数据-基础表'!E149</f>
        <v>4.24</v>
      </c>
      <c r="G142" s="3008" t="s">
        <v>3054</v>
      </c>
      <c r="H142" s="3009" t="s">
        <v>27</v>
      </c>
      <c r="I142" s="3006" t="s">
        <v>4175</v>
      </c>
      <c r="J142" s="3006" t="s">
        <v>4176</v>
      </c>
      <c r="K142" s="3012" t="s">
        <v>3127</v>
      </c>
      <c r="L142" s="3004">
        <f ca="1">典型户型修正!R160</f>
        <v>9861</v>
      </c>
      <c r="M142" s="3004">
        <f ca="1">典型户型修正!S160</f>
        <v>80</v>
      </c>
    </row>
    <row r="143" spans="1:13" ht="30.75" customHeight="1">
      <c r="A143" s="3012">
        <v>138</v>
      </c>
      <c r="B143" s="3008" t="s">
        <v>3765</v>
      </c>
      <c r="C143" s="3008" t="s">
        <v>4177</v>
      </c>
      <c r="D143" s="3008" t="s">
        <v>4616</v>
      </c>
      <c r="E143" s="3010">
        <v>93.08</v>
      </c>
      <c r="F143" s="3010">
        <f>'数据-基础表'!E150</f>
        <v>4.8899999999999997</v>
      </c>
      <c r="G143" s="3008" t="s">
        <v>3054</v>
      </c>
      <c r="H143" s="3009" t="s">
        <v>27</v>
      </c>
      <c r="I143" s="3006" t="s">
        <v>4178</v>
      </c>
      <c r="J143" s="3006" t="s">
        <v>4179</v>
      </c>
      <c r="K143" s="3012" t="s">
        <v>3127</v>
      </c>
      <c r="L143" s="3004">
        <f ca="1">典型户型修正!R161</f>
        <v>9861</v>
      </c>
      <c r="M143" s="3004">
        <f ca="1">典型户型修正!S161</f>
        <v>92</v>
      </c>
    </row>
    <row r="144" spans="1:13" ht="30.75" customHeight="1">
      <c r="A144" s="3012">
        <v>139</v>
      </c>
      <c r="B144" s="3008" t="s">
        <v>3765</v>
      </c>
      <c r="C144" s="3008" t="s">
        <v>4180</v>
      </c>
      <c r="D144" s="3008" t="s">
        <v>4616</v>
      </c>
      <c r="E144" s="3010">
        <v>93.08</v>
      </c>
      <c r="F144" s="3010">
        <f>'数据-基础表'!E151</f>
        <v>4.8899999999999997</v>
      </c>
      <c r="G144" s="3008" t="s">
        <v>3054</v>
      </c>
      <c r="H144" s="3009" t="s">
        <v>27</v>
      </c>
      <c r="I144" s="3006" t="s">
        <v>4181</v>
      </c>
      <c r="J144" s="3006" t="s">
        <v>4182</v>
      </c>
      <c r="K144" s="3012" t="s">
        <v>3127</v>
      </c>
      <c r="L144" s="3004">
        <f ca="1">典型户型修正!R162</f>
        <v>9861</v>
      </c>
      <c r="M144" s="3004">
        <f ca="1">典型户型修正!S162</f>
        <v>92</v>
      </c>
    </row>
    <row r="145" spans="1:13" ht="30.75" customHeight="1">
      <c r="A145" s="3012">
        <v>140</v>
      </c>
      <c r="B145" s="3008" t="s">
        <v>3765</v>
      </c>
      <c r="C145" s="3008" t="s">
        <v>4183</v>
      </c>
      <c r="D145" s="3008" t="s">
        <v>4617</v>
      </c>
      <c r="E145" s="3010">
        <v>80.73</v>
      </c>
      <c r="F145" s="3010">
        <f>'数据-基础表'!E152</f>
        <v>4.24</v>
      </c>
      <c r="G145" s="3008" t="s">
        <v>3054</v>
      </c>
      <c r="H145" s="3009" t="s">
        <v>27</v>
      </c>
      <c r="I145" s="3006" t="s">
        <v>4184</v>
      </c>
      <c r="J145" s="3006" t="s">
        <v>4185</v>
      </c>
      <c r="K145" s="3012" t="s">
        <v>3127</v>
      </c>
      <c r="L145" s="3004">
        <f ca="1">典型户型修正!R163</f>
        <v>9861</v>
      </c>
      <c r="M145" s="3004">
        <f ca="1">典型户型修正!S163</f>
        <v>80</v>
      </c>
    </row>
    <row r="146" spans="1:13" ht="30.75" customHeight="1">
      <c r="A146" s="3012">
        <v>141</v>
      </c>
      <c r="B146" s="3008" t="s">
        <v>3765</v>
      </c>
      <c r="C146" s="3008" t="s">
        <v>4186</v>
      </c>
      <c r="D146" s="3008" t="s">
        <v>4617</v>
      </c>
      <c r="E146" s="3010">
        <v>52.17</v>
      </c>
      <c r="F146" s="3010">
        <f>'数据-基础表'!E153</f>
        <v>2.74</v>
      </c>
      <c r="G146" s="3008" t="s">
        <v>3054</v>
      </c>
      <c r="H146" s="3009" t="s">
        <v>27</v>
      </c>
      <c r="I146" s="3006" t="s">
        <v>4187</v>
      </c>
      <c r="J146" s="3006" t="s">
        <v>4188</v>
      </c>
      <c r="K146" s="3012" t="s">
        <v>3127</v>
      </c>
      <c r="L146" s="3004">
        <f ca="1">典型户型修正!R164</f>
        <v>9960</v>
      </c>
      <c r="M146" s="3004">
        <f ca="1">典型户型修正!S164</f>
        <v>52</v>
      </c>
    </row>
    <row r="147" spans="1:13" ht="30.75" customHeight="1">
      <c r="A147" s="3012">
        <v>142</v>
      </c>
      <c r="B147" s="3008" t="s">
        <v>3765</v>
      </c>
      <c r="C147" s="3008" t="s">
        <v>4189</v>
      </c>
      <c r="D147" s="3008" t="s">
        <v>4617</v>
      </c>
      <c r="E147" s="3010">
        <v>52.17</v>
      </c>
      <c r="F147" s="3010">
        <f>'数据-基础表'!E154</f>
        <v>2.74</v>
      </c>
      <c r="G147" s="3008" t="s">
        <v>3054</v>
      </c>
      <c r="H147" s="3009" t="s">
        <v>27</v>
      </c>
      <c r="I147" s="3006" t="s">
        <v>4190</v>
      </c>
      <c r="J147" s="3006" t="s">
        <v>4191</v>
      </c>
      <c r="K147" s="3012" t="s">
        <v>3127</v>
      </c>
      <c r="L147" s="3004">
        <f ca="1">典型户型修正!R165</f>
        <v>9960</v>
      </c>
      <c r="M147" s="3004">
        <f ca="1">典型户型修正!S165</f>
        <v>52</v>
      </c>
    </row>
    <row r="148" spans="1:13" ht="30.75" customHeight="1">
      <c r="A148" s="3012">
        <v>143</v>
      </c>
      <c r="B148" s="3008" t="s">
        <v>3765</v>
      </c>
      <c r="C148" s="3008" t="s">
        <v>4192</v>
      </c>
      <c r="D148" s="3008" t="s">
        <v>4617</v>
      </c>
      <c r="E148" s="3010">
        <v>52.17</v>
      </c>
      <c r="F148" s="3010">
        <f>'数据-基础表'!E155</f>
        <v>2.74</v>
      </c>
      <c r="G148" s="3008" t="s">
        <v>3054</v>
      </c>
      <c r="H148" s="3009" t="s">
        <v>27</v>
      </c>
      <c r="I148" s="3006" t="s">
        <v>4193</v>
      </c>
      <c r="J148" s="3006" t="s">
        <v>4194</v>
      </c>
      <c r="K148" s="3012" t="s">
        <v>3127</v>
      </c>
      <c r="L148" s="3004">
        <f ca="1">典型户型修正!R166</f>
        <v>9960</v>
      </c>
      <c r="M148" s="3004">
        <f ca="1">典型户型修正!S166</f>
        <v>52</v>
      </c>
    </row>
    <row r="149" spans="1:13" ht="30.75" customHeight="1">
      <c r="A149" s="3012">
        <v>144</v>
      </c>
      <c r="B149" s="3008" t="s">
        <v>3765</v>
      </c>
      <c r="C149" s="3008" t="s">
        <v>4195</v>
      </c>
      <c r="D149" s="3008" t="s">
        <v>4617</v>
      </c>
      <c r="E149" s="3010">
        <v>52.17</v>
      </c>
      <c r="F149" s="3010">
        <f>'数据-基础表'!E156</f>
        <v>2.74</v>
      </c>
      <c r="G149" s="3008" t="s">
        <v>3054</v>
      </c>
      <c r="H149" s="3009" t="s">
        <v>27</v>
      </c>
      <c r="I149" s="3006" t="s">
        <v>4196</v>
      </c>
      <c r="J149" s="3006" t="s">
        <v>4197</v>
      </c>
      <c r="K149" s="3012" t="s">
        <v>3127</v>
      </c>
      <c r="L149" s="3004">
        <f ca="1">典型户型修正!R167</f>
        <v>9960</v>
      </c>
      <c r="M149" s="3004">
        <f ca="1">典型户型修正!S167</f>
        <v>52</v>
      </c>
    </row>
    <row r="150" spans="1:13" ht="30.75" customHeight="1">
      <c r="A150" s="3012">
        <v>145</v>
      </c>
      <c r="B150" s="3008" t="s">
        <v>3765</v>
      </c>
      <c r="C150" s="3008" t="s">
        <v>4198</v>
      </c>
      <c r="D150" s="3008" t="s">
        <v>4617</v>
      </c>
      <c r="E150" s="3010">
        <v>52.17</v>
      </c>
      <c r="F150" s="3010">
        <f>'数据-基础表'!E157</f>
        <v>2.74</v>
      </c>
      <c r="G150" s="3008" t="s">
        <v>3054</v>
      </c>
      <c r="H150" s="3009" t="s">
        <v>27</v>
      </c>
      <c r="I150" s="3006" t="s">
        <v>4199</v>
      </c>
      <c r="J150" s="3006" t="s">
        <v>4200</v>
      </c>
      <c r="K150" s="3012" t="s">
        <v>3127</v>
      </c>
      <c r="L150" s="3004">
        <f ca="1">典型户型修正!R168</f>
        <v>9960</v>
      </c>
      <c r="M150" s="3004">
        <f ca="1">典型户型修正!S168</f>
        <v>52</v>
      </c>
    </row>
    <row r="151" spans="1:13" ht="30.75" customHeight="1">
      <c r="A151" s="3012">
        <v>146</v>
      </c>
      <c r="B151" s="3008" t="s">
        <v>3765</v>
      </c>
      <c r="C151" s="3008" t="s">
        <v>4201</v>
      </c>
      <c r="D151" s="3008" t="s">
        <v>4617</v>
      </c>
      <c r="E151" s="3010">
        <v>52.17</v>
      </c>
      <c r="F151" s="3010">
        <f>'数据-基础表'!E158</f>
        <v>2.74</v>
      </c>
      <c r="G151" s="3008" t="s">
        <v>3054</v>
      </c>
      <c r="H151" s="3009" t="s">
        <v>27</v>
      </c>
      <c r="I151" s="3006" t="s">
        <v>4202</v>
      </c>
      <c r="J151" s="3006" t="s">
        <v>4203</v>
      </c>
      <c r="K151" s="3012" t="s">
        <v>3127</v>
      </c>
      <c r="L151" s="3004">
        <f ca="1">典型户型修正!R169</f>
        <v>9960</v>
      </c>
      <c r="M151" s="3004">
        <f ca="1">典型户型修正!S169</f>
        <v>52</v>
      </c>
    </row>
    <row r="152" spans="1:13" ht="30.75" customHeight="1">
      <c r="A152" s="3012">
        <v>147</v>
      </c>
      <c r="B152" s="3008" t="s">
        <v>3765</v>
      </c>
      <c r="C152" s="3008" t="s">
        <v>4204</v>
      </c>
      <c r="D152" s="3008" t="s">
        <v>4617</v>
      </c>
      <c r="E152" s="3010">
        <v>52.17</v>
      </c>
      <c r="F152" s="3010">
        <f>'数据-基础表'!E159</f>
        <v>2.74</v>
      </c>
      <c r="G152" s="3008" t="s">
        <v>3054</v>
      </c>
      <c r="H152" s="3009" t="s">
        <v>27</v>
      </c>
      <c r="I152" s="3006" t="s">
        <v>4205</v>
      </c>
      <c r="J152" s="3006" t="s">
        <v>4206</v>
      </c>
      <c r="K152" s="3012" t="s">
        <v>3127</v>
      </c>
      <c r="L152" s="3004">
        <f ca="1">典型户型修正!R170</f>
        <v>9960</v>
      </c>
      <c r="M152" s="3004">
        <f ca="1">典型户型修正!S170</f>
        <v>52</v>
      </c>
    </row>
    <row r="153" spans="1:13" ht="30.75" customHeight="1">
      <c r="A153" s="3012">
        <v>148</v>
      </c>
      <c r="B153" s="3008" t="s">
        <v>3765</v>
      </c>
      <c r="C153" s="3008" t="s">
        <v>4207</v>
      </c>
      <c r="D153" s="3008" t="s">
        <v>4617</v>
      </c>
      <c r="E153" s="3010">
        <v>52.17</v>
      </c>
      <c r="F153" s="3010">
        <f>'数据-基础表'!E160</f>
        <v>2.74</v>
      </c>
      <c r="G153" s="3008" t="s">
        <v>3054</v>
      </c>
      <c r="H153" s="3009" t="s">
        <v>27</v>
      </c>
      <c r="I153" s="3006" t="s">
        <v>4208</v>
      </c>
      <c r="J153" s="3006" t="s">
        <v>4209</v>
      </c>
      <c r="K153" s="3012" t="s">
        <v>3127</v>
      </c>
      <c r="L153" s="3004">
        <f ca="1">典型户型修正!R171</f>
        <v>9960</v>
      </c>
      <c r="M153" s="3004">
        <f ca="1">典型户型修正!S171</f>
        <v>52</v>
      </c>
    </row>
    <row r="154" spans="1:13" ht="30.75" customHeight="1">
      <c r="A154" s="3012">
        <v>149</v>
      </c>
      <c r="B154" s="3008" t="s">
        <v>3765</v>
      </c>
      <c r="C154" s="3008" t="s">
        <v>4210</v>
      </c>
      <c r="D154" s="3008" t="s">
        <v>4617</v>
      </c>
      <c r="E154" s="3010">
        <v>52.17</v>
      </c>
      <c r="F154" s="3010">
        <f>'数据-基础表'!E161</f>
        <v>2.74</v>
      </c>
      <c r="G154" s="3008" t="s">
        <v>3054</v>
      </c>
      <c r="H154" s="3009" t="s">
        <v>27</v>
      </c>
      <c r="I154" s="3006" t="s">
        <v>4211</v>
      </c>
      <c r="J154" s="3006" t="s">
        <v>4212</v>
      </c>
      <c r="K154" s="3012" t="s">
        <v>3127</v>
      </c>
      <c r="L154" s="3004">
        <f ca="1">典型户型修正!R172</f>
        <v>9960</v>
      </c>
      <c r="M154" s="3004">
        <f ca="1">典型户型修正!S172</f>
        <v>52</v>
      </c>
    </row>
    <row r="155" spans="1:13" ht="30.75" customHeight="1">
      <c r="A155" s="3012">
        <v>150</v>
      </c>
      <c r="B155" s="3008" t="s">
        <v>3765</v>
      </c>
      <c r="C155" s="3008" t="s">
        <v>4213</v>
      </c>
      <c r="D155" s="3008" t="s">
        <v>4617</v>
      </c>
      <c r="E155" s="3010">
        <v>52.17</v>
      </c>
      <c r="F155" s="3010">
        <f>'数据-基础表'!E162</f>
        <v>2.74</v>
      </c>
      <c r="G155" s="3008" t="s">
        <v>3054</v>
      </c>
      <c r="H155" s="3009" t="s">
        <v>27</v>
      </c>
      <c r="I155" s="3006" t="s">
        <v>4214</v>
      </c>
      <c r="J155" s="3006" t="s">
        <v>4215</v>
      </c>
      <c r="K155" s="3012" t="s">
        <v>3127</v>
      </c>
      <c r="L155" s="3004">
        <f ca="1">典型户型修正!R173</f>
        <v>9960</v>
      </c>
      <c r="M155" s="3004">
        <f ca="1">典型户型修正!S173</f>
        <v>52</v>
      </c>
    </row>
    <row r="156" spans="1:13" ht="30.75" customHeight="1">
      <c r="A156" s="3012">
        <v>151</v>
      </c>
      <c r="B156" s="3008" t="s">
        <v>3765</v>
      </c>
      <c r="C156" s="3008" t="s">
        <v>4216</v>
      </c>
      <c r="D156" s="3008" t="s">
        <v>4617</v>
      </c>
      <c r="E156" s="3010">
        <v>80.73</v>
      </c>
      <c r="F156" s="3010">
        <f>'数据-基础表'!E163</f>
        <v>4.24</v>
      </c>
      <c r="G156" s="3008" t="s">
        <v>3054</v>
      </c>
      <c r="H156" s="3009" t="s">
        <v>27</v>
      </c>
      <c r="I156" s="3006" t="s">
        <v>4217</v>
      </c>
      <c r="J156" s="3006" t="s">
        <v>4218</v>
      </c>
      <c r="K156" s="3012" t="s">
        <v>3127</v>
      </c>
      <c r="L156" s="3004">
        <f ca="1">典型户型修正!R174</f>
        <v>9861</v>
      </c>
      <c r="M156" s="3004">
        <f ca="1">典型户型修正!S174</f>
        <v>80</v>
      </c>
    </row>
    <row r="157" spans="1:13" ht="30.75" customHeight="1">
      <c r="A157" s="3012">
        <v>152</v>
      </c>
      <c r="B157" s="3008" t="s">
        <v>3765</v>
      </c>
      <c r="C157" s="3008" t="s">
        <v>4219</v>
      </c>
      <c r="D157" s="3008" t="s">
        <v>4617</v>
      </c>
      <c r="E157" s="3010">
        <v>67.36</v>
      </c>
      <c r="F157" s="3010">
        <f>'数据-基础表'!E164</f>
        <v>3.54</v>
      </c>
      <c r="G157" s="3008" t="s">
        <v>3054</v>
      </c>
      <c r="H157" s="3009" t="s">
        <v>27</v>
      </c>
      <c r="I157" s="3006" t="s">
        <v>4220</v>
      </c>
      <c r="J157" s="3006" t="s">
        <v>4221</v>
      </c>
      <c r="K157" s="3012" t="s">
        <v>3127</v>
      </c>
      <c r="L157" s="3004">
        <f ca="1">典型户型修正!R175</f>
        <v>9861</v>
      </c>
      <c r="M157" s="3004">
        <f ca="1">典型户型修正!S175</f>
        <v>66</v>
      </c>
    </row>
    <row r="158" spans="1:13" ht="30.75" customHeight="1">
      <c r="A158" s="3012">
        <v>153</v>
      </c>
      <c r="B158" s="3008" t="s">
        <v>3765</v>
      </c>
      <c r="C158" s="3008" t="s">
        <v>4222</v>
      </c>
      <c r="D158" s="3008" t="s">
        <v>4617</v>
      </c>
      <c r="E158" s="3010">
        <v>67.36</v>
      </c>
      <c r="F158" s="3010">
        <f>'数据-基础表'!E165</f>
        <v>3.54</v>
      </c>
      <c r="G158" s="3008" t="s">
        <v>3054</v>
      </c>
      <c r="H158" s="3009" t="s">
        <v>27</v>
      </c>
      <c r="I158" s="3006" t="s">
        <v>4223</v>
      </c>
      <c r="J158" s="3006" t="s">
        <v>4224</v>
      </c>
      <c r="K158" s="3012" t="s">
        <v>3127</v>
      </c>
      <c r="L158" s="3004">
        <f ca="1">典型户型修正!R176</f>
        <v>9861</v>
      </c>
      <c r="M158" s="3004">
        <f ca="1">典型户型修正!S176</f>
        <v>66</v>
      </c>
    </row>
    <row r="159" spans="1:13" ht="30.75" customHeight="1">
      <c r="A159" s="3012">
        <v>154</v>
      </c>
      <c r="B159" s="3008" t="s">
        <v>3765</v>
      </c>
      <c r="C159" s="3008" t="s">
        <v>4225</v>
      </c>
      <c r="D159" s="3008" t="s">
        <v>4617</v>
      </c>
      <c r="E159" s="3010">
        <v>80.73</v>
      </c>
      <c r="F159" s="3010">
        <f>'数据-基础表'!E166</f>
        <v>4.24</v>
      </c>
      <c r="G159" s="3008" t="s">
        <v>3054</v>
      </c>
      <c r="H159" s="3009" t="s">
        <v>27</v>
      </c>
      <c r="I159" s="3006" t="s">
        <v>4226</v>
      </c>
      <c r="J159" s="3006" t="s">
        <v>4227</v>
      </c>
      <c r="K159" s="3012" t="s">
        <v>3127</v>
      </c>
      <c r="L159" s="3004">
        <f ca="1">典型户型修正!R177</f>
        <v>9861</v>
      </c>
      <c r="M159" s="3004">
        <f ca="1">典型户型修正!S177</f>
        <v>80</v>
      </c>
    </row>
    <row r="160" spans="1:13" ht="30.75" customHeight="1">
      <c r="A160" s="3012">
        <v>155</v>
      </c>
      <c r="B160" s="3008" t="s">
        <v>3765</v>
      </c>
      <c r="C160" s="3008" t="s">
        <v>4228</v>
      </c>
      <c r="D160" s="3008" t="s">
        <v>4617</v>
      </c>
      <c r="E160" s="3010">
        <v>52.17</v>
      </c>
      <c r="F160" s="3010">
        <f>'数据-基础表'!E167</f>
        <v>2.74</v>
      </c>
      <c r="G160" s="3008" t="s">
        <v>3054</v>
      </c>
      <c r="H160" s="3009" t="s">
        <v>27</v>
      </c>
      <c r="I160" s="3006" t="s">
        <v>4229</v>
      </c>
      <c r="J160" s="3006" t="s">
        <v>4230</v>
      </c>
      <c r="K160" s="3012" t="s">
        <v>3127</v>
      </c>
      <c r="L160" s="3004">
        <f ca="1">典型户型修正!R178</f>
        <v>9960</v>
      </c>
      <c r="M160" s="3004">
        <f ca="1">典型户型修正!S178</f>
        <v>52</v>
      </c>
    </row>
    <row r="161" spans="1:13" ht="30.75" customHeight="1">
      <c r="A161" s="3012">
        <v>156</v>
      </c>
      <c r="B161" s="3008" t="s">
        <v>3765</v>
      </c>
      <c r="C161" s="3008" t="s">
        <v>4231</v>
      </c>
      <c r="D161" s="3008" t="s">
        <v>4617</v>
      </c>
      <c r="E161" s="3010">
        <v>52.17</v>
      </c>
      <c r="F161" s="3010">
        <f>'数据-基础表'!E168</f>
        <v>2.74</v>
      </c>
      <c r="G161" s="3008" t="s">
        <v>3054</v>
      </c>
      <c r="H161" s="3009" t="s">
        <v>27</v>
      </c>
      <c r="I161" s="3006" t="s">
        <v>4232</v>
      </c>
      <c r="J161" s="3006" t="s">
        <v>4233</v>
      </c>
      <c r="K161" s="3012" t="s">
        <v>3127</v>
      </c>
      <c r="L161" s="3004">
        <f ca="1">典型户型修正!R179</f>
        <v>9960</v>
      </c>
      <c r="M161" s="3004">
        <f ca="1">典型户型修正!S179</f>
        <v>52</v>
      </c>
    </row>
    <row r="162" spans="1:13" ht="30.75" customHeight="1">
      <c r="A162" s="3012">
        <v>157</v>
      </c>
      <c r="B162" s="3008" t="s">
        <v>3765</v>
      </c>
      <c r="C162" s="3008" t="s">
        <v>4234</v>
      </c>
      <c r="D162" s="3008" t="s">
        <v>4617</v>
      </c>
      <c r="E162" s="3010">
        <v>52.17</v>
      </c>
      <c r="F162" s="3010">
        <f>'数据-基础表'!E169</f>
        <v>2.74</v>
      </c>
      <c r="G162" s="3008" t="s">
        <v>3054</v>
      </c>
      <c r="H162" s="3009" t="s">
        <v>27</v>
      </c>
      <c r="I162" s="3006" t="s">
        <v>4235</v>
      </c>
      <c r="J162" s="3006" t="s">
        <v>4236</v>
      </c>
      <c r="K162" s="3012" t="s">
        <v>3127</v>
      </c>
      <c r="L162" s="3004">
        <f ca="1">典型户型修正!R180</f>
        <v>9960</v>
      </c>
      <c r="M162" s="3004">
        <f ca="1">典型户型修正!S180</f>
        <v>52</v>
      </c>
    </row>
    <row r="163" spans="1:13" ht="30.75" customHeight="1">
      <c r="A163" s="3012">
        <v>158</v>
      </c>
      <c r="B163" s="3008" t="s">
        <v>3765</v>
      </c>
      <c r="C163" s="3008" t="s">
        <v>4237</v>
      </c>
      <c r="D163" s="3008" t="s">
        <v>4617</v>
      </c>
      <c r="E163" s="3010">
        <v>52.17</v>
      </c>
      <c r="F163" s="3010">
        <f>'数据-基础表'!E170</f>
        <v>2.74</v>
      </c>
      <c r="G163" s="3008" t="s">
        <v>3054</v>
      </c>
      <c r="H163" s="3009" t="s">
        <v>27</v>
      </c>
      <c r="I163" s="3006" t="s">
        <v>4238</v>
      </c>
      <c r="J163" s="3006" t="s">
        <v>4239</v>
      </c>
      <c r="K163" s="3012" t="s">
        <v>3127</v>
      </c>
      <c r="L163" s="3004">
        <f ca="1">典型户型修正!R181</f>
        <v>9960</v>
      </c>
      <c r="M163" s="3004">
        <f ca="1">典型户型修正!S181</f>
        <v>52</v>
      </c>
    </row>
    <row r="164" spans="1:13" ht="30.75" customHeight="1">
      <c r="A164" s="3012">
        <v>159</v>
      </c>
      <c r="B164" s="3008" t="s">
        <v>3765</v>
      </c>
      <c r="C164" s="3008" t="s">
        <v>4240</v>
      </c>
      <c r="D164" s="3008" t="s">
        <v>4617</v>
      </c>
      <c r="E164" s="3010">
        <v>52.17</v>
      </c>
      <c r="F164" s="3010">
        <f>'数据-基础表'!E171</f>
        <v>2.74</v>
      </c>
      <c r="G164" s="3008" t="s">
        <v>3054</v>
      </c>
      <c r="H164" s="3009" t="s">
        <v>27</v>
      </c>
      <c r="I164" s="3006" t="s">
        <v>4241</v>
      </c>
      <c r="J164" s="3006" t="s">
        <v>4242</v>
      </c>
      <c r="K164" s="3012" t="s">
        <v>3127</v>
      </c>
      <c r="L164" s="3004">
        <f ca="1">典型户型修正!R182</f>
        <v>9960</v>
      </c>
      <c r="M164" s="3004">
        <f ca="1">典型户型修正!S182</f>
        <v>52</v>
      </c>
    </row>
    <row r="165" spans="1:13" ht="30.75" customHeight="1">
      <c r="A165" s="3012">
        <v>160</v>
      </c>
      <c r="B165" s="3008" t="s">
        <v>3765</v>
      </c>
      <c r="C165" s="3008" t="s">
        <v>4243</v>
      </c>
      <c r="D165" s="3008" t="s">
        <v>4617</v>
      </c>
      <c r="E165" s="3010">
        <v>52.17</v>
      </c>
      <c r="F165" s="3010">
        <f>'数据-基础表'!E172</f>
        <v>2.74</v>
      </c>
      <c r="G165" s="3008" t="s">
        <v>3054</v>
      </c>
      <c r="H165" s="3009" t="s">
        <v>27</v>
      </c>
      <c r="I165" s="3006" t="s">
        <v>4244</v>
      </c>
      <c r="J165" s="3006" t="s">
        <v>4245</v>
      </c>
      <c r="K165" s="3012" t="s">
        <v>3127</v>
      </c>
      <c r="L165" s="3004">
        <f ca="1">典型户型修正!R183</f>
        <v>9960</v>
      </c>
      <c r="M165" s="3004">
        <f ca="1">典型户型修正!S183</f>
        <v>52</v>
      </c>
    </row>
    <row r="166" spans="1:13" ht="30.75" customHeight="1">
      <c r="A166" s="3012">
        <v>161</v>
      </c>
      <c r="B166" s="3008" t="s">
        <v>3765</v>
      </c>
      <c r="C166" s="3008" t="s">
        <v>4246</v>
      </c>
      <c r="D166" s="3008" t="s">
        <v>4617</v>
      </c>
      <c r="E166" s="3010">
        <v>52.17</v>
      </c>
      <c r="F166" s="3010">
        <f>'数据-基础表'!E173</f>
        <v>2.74</v>
      </c>
      <c r="G166" s="3008" t="s">
        <v>3054</v>
      </c>
      <c r="H166" s="3009" t="s">
        <v>27</v>
      </c>
      <c r="I166" s="3006" t="s">
        <v>4247</v>
      </c>
      <c r="J166" s="3006" t="s">
        <v>4248</v>
      </c>
      <c r="K166" s="3012" t="s">
        <v>3127</v>
      </c>
      <c r="L166" s="3004">
        <f ca="1">典型户型修正!R184</f>
        <v>9960</v>
      </c>
      <c r="M166" s="3004">
        <f ca="1">典型户型修正!S184</f>
        <v>52</v>
      </c>
    </row>
    <row r="167" spans="1:13" ht="30.75" customHeight="1">
      <c r="A167" s="3012">
        <v>162</v>
      </c>
      <c r="B167" s="3008" t="s">
        <v>3765</v>
      </c>
      <c r="C167" s="3008" t="s">
        <v>4249</v>
      </c>
      <c r="D167" s="3008" t="s">
        <v>4617</v>
      </c>
      <c r="E167" s="3010">
        <v>52.17</v>
      </c>
      <c r="F167" s="3010">
        <f>'数据-基础表'!E174</f>
        <v>2.74</v>
      </c>
      <c r="G167" s="3008" t="s">
        <v>3054</v>
      </c>
      <c r="H167" s="3009" t="s">
        <v>27</v>
      </c>
      <c r="I167" s="3006" t="s">
        <v>4250</v>
      </c>
      <c r="J167" s="3006" t="s">
        <v>4251</v>
      </c>
      <c r="K167" s="3012" t="s">
        <v>3127</v>
      </c>
      <c r="L167" s="3004">
        <f ca="1">典型户型修正!R185</f>
        <v>9960</v>
      </c>
      <c r="M167" s="3004">
        <f ca="1">典型户型修正!S185</f>
        <v>52</v>
      </c>
    </row>
    <row r="168" spans="1:13" ht="30.75" customHeight="1">
      <c r="A168" s="3012">
        <v>163</v>
      </c>
      <c r="B168" s="3008" t="s">
        <v>3765</v>
      </c>
      <c r="C168" s="3008" t="s">
        <v>4252</v>
      </c>
      <c r="D168" s="3008" t="s">
        <v>4617</v>
      </c>
      <c r="E168" s="3010">
        <v>52.17</v>
      </c>
      <c r="F168" s="3010">
        <f>'数据-基础表'!E175</f>
        <v>2.74</v>
      </c>
      <c r="G168" s="3008" t="s">
        <v>3054</v>
      </c>
      <c r="H168" s="3009" t="s">
        <v>27</v>
      </c>
      <c r="I168" s="3006" t="s">
        <v>4253</v>
      </c>
      <c r="J168" s="3006" t="s">
        <v>4254</v>
      </c>
      <c r="K168" s="3012" t="s">
        <v>3127</v>
      </c>
      <c r="L168" s="3004">
        <f ca="1">典型户型修正!R186</f>
        <v>9960</v>
      </c>
      <c r="M168" s="3004">
        <f ca="1">典型户型修正!S186</f>
        <v>52</v>
      </c>
    </row>
    <row r="169" spans="1:13" ht="30.75" customHeight="1">
      <c r="A169" s="3012">
        <v>164</v>
      </c>
      <c r="B169" s="3008" t="s">
        <v>3765</v>
      </c>
      <c r="C169" s="3008" t="s">
        <v>4255</v>
      </c>
      <c r="D169" s="3008" t="s">
        <v>4617</v>
      </c>
      <c r="E169" s="3010">
        <v>52.17</v>
      </c>
      <c r="F169" s="3010">
        <f>'数据-基础表'!E176</f>
        <v>2.74</v>
      </c>
      <c r="G169" s="3008" t="s">
        <v>3054</v>
      </c>
      <c r="H169" s="3009" t="s">
        <v>27</v>
      </c>
      <c r="I169" s="3006" t="s">
        <v>4256</v>
      </c>
      <c r="J169" s="3006" t="s">
        <v>4257</v>
      </c>
      <c r="K169" s="3012" t="s">
        <v>3127</v>
      </c>
      <c r="L169" s="3004">
        <f ca="1">典型户型修正!R187</f>
        <v>9960</v>
      </c>
      <c r="M169" s="3004">
        <f ca="1">典型户型修正!S187</f>
        <v>52</v>
      </c>
    </row>
    <row r="170" spans="1:13" ht="30.75" customHeight="1">
      <c r="A170" s="3012">
        <v>165</v>
      </c>
      <c r="B170" s="3008" t="s">
        <v>3765</v>
      </c>
      <c r="C170" s="3008" t="s">
        <v>4258</v>
      </c>
      <c r="D170" s="3008" t="s">
        <v>4617</v>
      </c>
      <c r="E170" s="3010">
        <v>80.73</v>
      </c>
      <c r="F170" s="3010">
        <f>'数据-基础表'!E177</f>
        <v>4.24</v>
      </c>
      <c r="G170" s="3008" t="s">
        <v>3054</v>
      </c>
      <c r="H170" s="3009" t="s">
        <v>27</v>
      </c>
      <c r="I170" s="3006" t="s">
        <v>4259</v>
      </c>
      <c r="J170" s="3006" t="s">
        <v>4260</v>
      </c>
      <c r="K170" s="3012" t="s">
        <v>3127</v>
      </c>
      <c r="L170" s="3004">
        <f ca="1">典型户型修正!R188</f>
        <v>9861</v>
      </c>
      <c r="M170" s="3004">
        <f ca="1">典型户型修正!S188</f>
        <v>80</v>
      </c>
    </row>
    <row r="171" spans="1:13" ht="30.75" customHeight="1">
      <c r="A171" s="3012">
        <v>166</v>
      </c>
      <c r="B171" s="3008" t="s">
        <v>3765</v>
      </c>
      <c r="C171" s="3008" t="s">
        <v>4261</v>
      </c>
      <c r="D171" s="3008" t="s">
        <v>4617</v>
      </c>
      <c r="E171" s="3010">
        <v>93.08</v>
      </c>
      <c r="F171" s="3010">
        <f>'数据-基础表'!E178</f>
        <v>4.8899999999999997</v>
      </c>
      <c r="G171" s="3008" t="s">
        <v>3054</v>
      </c>
      <c r="H171" s="3009" t="s">
        <v>27</v>
      </c>
      <c r="I171" s="3006" t="s">
        <v>4262</v>
      </c>
      <c r="J171" s="3006" t="s">
        <v>4263</v>
      </c>
      <c r="K171" s="3012" t="s">
        <v>3127</v>
      </c>
      <c r="L171" s="3004">
        <f ca="1">典型户型修正!R189</f>
        <v>9861</v>
      </c>
      <c r="M171" s="3004">
        <f ca="1">典型户型修正!S189</f>
        <v>92</v>
      </c>
    </row>
    <row r="172" spans="1:13" ht="30.75" customHeight="1">
      <c r="A172" s="3012">
        <v>167</v>
      </c>
      <c r="B172" s="3008" t="s">
        <v>3765</v>
      </c>
      <c r="C172" s="3008" t="s">
        <v>4264</v>
      </c>
      <c r="D172" s="3008" t="s">
        <v>4617</v>
      </c>
      <c r="E172" s="3010">
        <v>93.08</v>
      </c>
      <c r="F172" s="3010">
        <f>'数据-基础表'!E179</f>
        <v>4.8899999999999997</v>
      </c>
      <c r="G172" s="3008" t="s">
        <v>3054</v>
      </c>
      <c r="H172" s="3009" t="s">
        <v>27</v>
      </c>
      <c r="I172" s="3006" t="s">
        <v>4265</v>
      </c>
      <c r="J172" s="3006" t="s">
        <v>4266</v>
      </c>
      <c r="K172" s="3012" t="s">
        <v>3127</v>
      </c>
      <c r="L172" s="3004">
        <f ca="1">典型户型修正!R190</f>
        <v>9861</v>
      </c>
      <c r="M172" s="3004">
        <f ca="1">典型户型修正!S190</f>
        <v>92</v>
      </c>
    </row>
    <row r="173" spans="1:13" ht="30.75" customHeight="1">
      <c r="A173" s="3012">
        <v>168</v>
      </c>
      <c r="B173" s="3008" t="s">
        <v>3765</v>
      </c>
      <c r="C173" s="3008" t="s">
        <v>4267</v>
      </c>
      <c r="D173" s="3008" t="s">
        <v>4618</v>
      </c>
      <c r="E173" s="3010">
        <v>80.73</v>
      </c>
      <c r="F173" s="3010">
        <f>'数据-基础表'!E180</f>
        <v>4.24</v>
      </c>
      <c r="G173" s="3008" t="s">
        <v>3054</v>
      </c>
      <c r="H173" s="3009" t="s">
        <v>27</v>
      </c>
      <c r="I173" s="3006" t="s">
        <v>4268</v>
      </c>
      <c r="J173" s="3006" t="s">
        <v>4269</v>
      </c>
      <c r="K173" s="3012" t="s">
        <v>3127</v>
      </c>
      <c r="L173" s="3004">
        <f ca="1">典型户型修正!R191</f>
        <v>9861</v>
      </c>
      <c r="M173" s="3004">
        <f ca="1">典型户型修正!S191</f>
        <v>80</v>
      </c>
    </row>
    <row r="174" spans="1:13" ht="30.75" customHeight="1">
      <c r="A174" s="3012">
        <v>169</v>
      </c>
      <c r="B174" s="3008" t="s">
        <v>3765</v>
      </c>
      <c r="C174" s="3008" t="s">
        <v>4270</v>
      </c>
      <c r="D174" s="3008" t="s">
        <v>4618</v>
      </c>
      <c r="E174" s="3010">
        <v>52.17</v>
      </c>
      <c r="F174" s="3010">
        <f>'数据-基础表'!E181</f>
        <v>2.74</v>
      </c>
      <c r="G174" s="3008" t="s">
        <v>3054</v>
      </c>
      <c r="H174" s="3009" t="s">
        <v>27</v>
      </c>
      <c r="I174" s="3006" t="s">
        <v>4271</v>
      </c>
      <c r="J174" s="3006" t="s">
        <v>4272</v>
      </c>
      <c r="K174" s="3012" t="s">
        <v>3127</v>
      </c>
      <c r="L174" s="3004">
        <f ca="1">典型户型修正!R192</f>
        <v>9960</v>
      </c>
      <c r="M174" s="3004">
        <f ca="1">典型户型修正!S192</f>
        <v>52</v>
      </c>
    </row>
    <row r="175" spans="1:13" ht="30.75" customHeight="1">
      <c r="A175" s="3012">
        <v>170</v>
      </c>
      <c r="B175" s="3008" t="s">
        <v>3765</v>
      </c>
      <c r="C175" s="3008" t="s">
        <v>4273</v>
      </c>
      <c r="D175" s="3008" t="s">
        <v>4618</v>
      </c>
      <c r="E175" s="3010">
        <v>52.17</v>
      </c>
      <c r="F175" s="3010">
        <f>'数据-基础表'!E182</f>
        <v>2.74</v>
      </c>
      <c r="G175" s="3008" t="s">
        <v>3054</v>
      </c>
      <c r="H175" s="3009" t="s">
        <v>27</v>
      </c>
      <c r="I175" s="3006" t="s">
        <v>4274</v>
      </c>
      <c r="J175" s="3006" t="s">
        <v>4275</v>
      </c>
      <c r="K175" s="3012" t="s">
        <v>3127</v>
      </c>
      <c r="L175" s="3004">
        <f ca="1">典型户型修正!R193</f>
        <v>9960</v>
      </c>
      <c r="M175" s="3004">
        <f ca="1">典型户型修正!S193</f>
        <v>52</v>
      </c>
    </row>
    <row r="176" spans="1:13" ht="30.75" customHeight="1">
      <c r="A176" s="3012">
        <v>171</v>
      </c>
      <c r="B176" s="3008" t="s">
        <v>3765</v>
      </c>
      <c r="C176" s="3008" t="s">
        <v>4276</v>
      </c>
      <c r="D176" s="3008" t="s">
        <v>4618</v>
      </c>
      <c r="E176" s="3010">
        <v>52.17</v>
      </c>
      <c r="F176" s="3010">
        <f>'数据-基础表'!E183</f>
        <v>2.74</v>
      </c>
      <c r="G176" s="3008" t="s">
        <v>3054</v>
      </c>
      <c r="H176" s="3009" t="s">
        <v>27</v>
      </c>
      <c r="I176" s="3006" t="s">
        <v>4277</v>
      </c>
      <c r="J176" s="3006" t="s">
        <v>4278</v>
      </c>
      <c r="K176" s="3012" t="s">
        <v>3127</v>
      </c>
      <c r="L176" s="3004">
        <f ca="1">典型户型修正!R194</f>
        <v>9960</v>
      </c>
      <c r="M176" s="3004">
        <f ca="1">典型户型修正!S194</f>
        <v>52</v>
      </c>
    </row>
    <row r="177" spans="1:13" ht="30.75" customHeight="1">
      <c r="A177" s="3012">
        <v>172</v>
      </c>
      <c r="B177" s="3008" t="s">
        <v>3765</v>
      </c>
      <c r="C177" s="3008" t="s">
        <v>4279</v>
      </c>
      <c r="D177" s="3008" t="s">
        <v>4618</v>
      </c>
      <c r="E177" s="3010">
        <v>52.17</v>
      </c>
      <c r="F177" s="3010">
        <f>'数据-基础表'!E184</f>
        <v>2.74</v>
      </c>
      <c r="G177" s="3008" t="s">
        <v>3054</v>
      </c>
      <c r="H177" s="3009" t="s">
        <v>27</v>
      </c>
      <c r="I177" s="3006" t="s">
        <v>4280</v>
      </c>
      <c r="J177" s="3006" t="s">
        <v>4281</v>
      </c>
      <c r="K177" s="3012" t="s">
        <v>3127</v>
      </c>
      <c r="L177" s="3004">
        <f ca="1">典型户型修正!R195</f>
        <v>9960</v>
      </c>
      <c r="M177" s="3004">
        <f ca="1">典型户型修正!S195</f>
        <v>52</v>
      </c>
    </row>
    <row r="178" spans="1:13" ht="30.75" customHeight="1">
      <c r="A178" s="3012">
        <v>173</v>
      </c>
      <c r="B178" s="3008" t="s">
        <v>3765</v>
      </c>
      <c r="C178" s="3008" t="s">
        <v>4282</v>
      </c>
      <c r="D178" s="3008" t="s">
        <v>4618</v>
      </c>
      <c r="E178" s="3010">
        <v>52.17</v>
      </c>
      <c r="F178" s="3010">
        <f>'数据-基础表'!E185</f>
        <v>2.74</v>
      </c>
      <c r="G178" s="3008" t="s">
        <v>3054</v>
      </c>
      <c r="H178" s="3009" t="s">
        <v>27</v>
      </c>
      <c r="I178" s="3006" t="s">
        <v>4283</v>
      </c>
      <c r="J178" s="3006" t="s">
        <v>4284</v>
      </c>
      <c r="K178" s="3012" t="s">
        <v>3127</v>
      </c>
      <c r="L178" s="3004">
        <f ca="1">典型户型修正!R196</f>
        <v>9960</v>
      </c>
      <c r="M178" s="3004">
        <f ca="1">典型户型修正!S196</f>
        <v>52</v>
      </c>
    </row>
    <row r="179" spans="1:13" ht="30.75" customHeight="1">
      <c r="A179" s="3012">
        <v>174</v>
      </c>
      <c r="B179" s="3008" t="s">
        <v>3765</v>
      </c>
      <c r="C179" s="3008" t="s">
        <v>4285</v>
      </c>
      <c r="D179" s="3008" t="s">
        <v>4618</v>
      </c>
      <c r="E179" s="3010">
        <v>52.17</v>
      </c>
      <c r="F179" s="3010">
        <f>'数据-基础表'!E186</f>
        <v>2.74</v>
      </c>
      <c r="G179" s="3008" t="s">
        <v>3054</v>
      </c>
      <c r="H179" s="3009" t="s">
        <v>27</v>
      </c>
      <c r="I179" s="3006" t="s">
        <v>4286</v>
      </c>
      <c r="J179" s="3006" t="s">
        <v>4287</v>
      </c>
      <c r="K179" s="3012" t="s">
        <v>3127</v>
      </c>
      <c r="L179" s="3004">
        <f ca="1">典型户型修正!R197</f>
        <v>9960</v>
      </c>
      <c r="M179" s="3004">
        <f ca="1">典型户型修正!S197</f>
        <v>52</v>
      </c>
    </row>
    <row r="180" spans="1:13" ht="30.75" customHeight="1">
      <c r="A180" s="3012">
        <v>175</v>
      </c>
      <c r="B180" s="3008" t="s">
        <v>3765</v>
      </c>
      <c r="C180" s="3008" t="s">
        <v>4288</v>
      </c>
      <c r="D180" s="3008" t="s">
        <v>4618</v>
      </c>
      <c r="E180" s="3010">
        <v>52.17</v>
      </c>
      <c r="F180" s="3010">
        <f>'数据-基础表'!E187</f>
        <v>2.74</v>
      </c>
      <c r="G180" s="3008" t="s">
        <v>3054</v>
      </c>
      <c r="H180" s="3009" t="s">
        <v>27</v>
      </c>
      <c r="I180" s="3006" t="s">
        <v>4289</v>
      </c>
      <c r="J180" s="3006" t="s">
        <v>4290</v>
      </c>
      <c r="K180" s="3012" t="s">
        <v>3127</v>
      </c>
      <c r="L180" s="3004">
        <f ca="1">典型户型修正!R198</f>
        <v>9960</v>
      </c>
      <c r="M180" s="3004">
        <f ca="1">典型户型修正!S198</f>
        <v>52</v>
      </c>
    </row>
    <row r="181" spans="1:13" ht="30.75" customHeight="1">
      <c r="A181" s="3012">
        <v>176</v>
      </c>
      <c r="B181" s="3008" t="s">
        <v>3765</v>
      </c>
      <c r="C181" s="3008" t="s">
        <v>4291</v>
      </c>
      <c r="D181" s="3008" t="s">
        <v>4618</v>
      </c>
      <c r="E181" s="3010">
        <v>52.17</v>
      </c>
      <c r="F181" s="3010">
        <f>'数据-基础表'!E188</f>
        <v>2.74</v>
      </c>
      <c r="G181" s="3008" t="s">
        <v>3054</v>
      </c>
      <c r="H181" s="3009" t="s">
        <v>27</v>
      </c>
      <c r="I181" s="3006" t="s">
        <v>4292</v>
      </c>
      <c r="J181" s="3006" t="s">
        <v>4293</v>
      </c>
      <c r="K181" s="3012" t="s">
        <v>3127</v>
      </c>
      <c r="L181" s="3004">
        <f ca="1">典型户型修正!R199</f>
        <v>9960</v>
      </c>
      <c r="M181" s="3004">
        <f ca="1">典型户型修正!S199</f>
        <v>52</v>
      </c>
    </row>
    <row r="182" spans="1:13" ht="30.75" customHeight="1">
      <c r="A182" s="3012">
        <v>177</v>
      </c>
      <c r="B182" s="3008" t="s">
        <v>3765</v>
      </c>
      <c r="C182" s="3008" t="s">
        <v>4294</v>
      </c>
      <c r="D182" s="3008" t="s">
        <v>4618</v>
      </c>
      <c r="E182" s="3010">
        <v>52.17</v>
      </c>
      <c r="F182" s="3010">
        <f>'数据-基础表'!E189</f>
        <v>2.74</v>
      </c>
      <c r="G182" s="3008" t="s">
        <v>3054</v>
      </c>
      <c r="H182" s="3009" t="s">
        <v>27</v>
      </c>
      <c r="I182" s="3006" t="s">
        <v>4295</v>
      </c>
      <c r="J182" s="3006" t="s">
        <v>4296</v>
      </c>
      <c r="K182" s="3012" t="s">
        <v>3127</v>
      </c>
      <c r="L182" s="3004">
        <f ca="1">典型户型修正!R200</f>
        <v>9960</v>
      </c>
      <c r="M182" s="3004">
        <f ca="1">典型户型修正!S200</f>
        <v>52</v>
      </c>
    </row>
    <row r="183" spans="1:13" ht="30.75" customHeight="1">
      <c r="A183" s="3012">
        <v>178</v>
      </c>
      <c r="B183" s="3008" t="s">
        <v>3765</v>
      </c>
      <c r="C183" s="3008" t="s">
        <v>4297</v>
      </c>
      <c r="D183" s="3008" t="s">
        <v>4618</v>
      </c>
      <c r="E183" s="3010">
        <v>52.17</v>
      </c>
      <c r="F183" s="3010">
        <f>'数据-基础表'!E190</f>
        <v>2.74</v>
      </c>
      <c r="G183" s="3008" t="s">
        <v>3054</v>
      </c>
      <c r="H183" s="3009" t="s">
        <v>27</v>
      </c>
      <c r="I183" s="3006" t="s">
        <v>4298</v>
      </c>
      <c r="J183" s="3006" t="s">
        <v>4299</v>
      </c>
      <c r="K183" s="3012" t="s">
        <v>3127</v>
      </c>
      <c r="L183" s="3004">
        <f ca="1">典型户型修正!R201</f>
        <v>9960</v>
      </c>
      <c r="M183" s="3004">
        <f ca="1">典型户型修正!S201</f>
        <v>52</v>
      </c>
    </row>
    <row r="184" spans="1:13" ht="30.75" customHeight="1">
      <c r="A184" s="3012">
        <v>179</v>
      </c>
      <c r="B184" s="3008" t="s">
        <v>3765</v>
      </c>
      <c r="C184" s="3008" t="s">
        <v>4300</v>
      </c>
      <c r="D184" s="3008" t="s">
        <v>4618</v>
      </c>
      <c r="E184" s="3010">
        <v>80.73</v>
      </c>
      <c r="F184" s="3010">
        <f>'数据-基础表'!E191</f>
        <v>4.24</v>
      </c>
      <c r="G184" s="3008" t="s">
        <v>3054</v>
      </c>
      <c r="H184" s="3009" t="s">
        <v>27</v>
      </c>
      <c r="I184" s="3006" t="s">
        <v>4301</v>
      </c>
      <c r="J184" s="3006" t="s">
        <v>4302</v>
      </c>
      <c r="K184" s="3012" t="s">
        <v>3127</v>
      </c>
      <c r="L184" s="3004">
        <f ca="1">典型户型修正!R202</f>
        <v>9861</v>
      </c>
      <c r="M184" s="3004">
        <f ca="1">典型户型修正!S202</f>
        <v>80</v>
      </c>
    </row>
    <row r="185" spans="1:13" ht="30.75" customHeight="1">
      <c r="A185" s="3012">
        <v>180</v>
      </c>
      <c r="B185" s="3008" t="s">
        <v>3765</v>
      </c>
      <c r="C185" s="3008" t="s">
        <v>4303</v>
      </c>
      <c r="D185" s="3008" t="s">
        <v>4618</v>
      </c>
      <c r="E185" s="3010">
        <v>67.36</v>
      </c>
      <c r="F185" s="3010">
        <f>'数据-基础表'!E192</f>
        <v>3.54</v>
      </c>
      <c r="G185" s="3008" t="s">
        <v>3054</v>
      </c>
      <c r="H185" s="3009" t="s">
        <v>27</v>
      </c>
      <c r="I185" s="3006" t="s">
        <v>4304</v>
      </c>
      <c r="J185" s="3006" t="s">
        <v>4305</v>
      </c>
      <c r="K185" s="3012" t="s">
        <v>3127</v>
      </c>
      <c r="L185" s="3004">
        <f ca="1">典型户型修正!R203</f>
        <v>9861</v>
      </c>
      <c r="M185" s="3004">
        <f ca="1">典型户型修正!S203</f>
        <v>66</v>
      </c>
    </row>
    <row r="186" spans="1:13" ht="30.75" customHeight="1">
      <c r="A186" s="3012">
        <v>181</v>
      </c>
      <c r="B186" s="3008" t="s">
        <v>3765</v>
      </c>
      <c r="C186" s="3008" t="s">
        <v>4306</v>
      </c>
      <c r="D186" s="3008" t="s">
        <v>4618</v>
      </c>
      <c r="E186" s="3010">
        <v>67.36</v>
      </c>
      <c r="F186" s="3010">
        <f>'数据-基础表'!E193</f>
        <v>3.54</v>
      </c>
      <c r="G186" s="3008" t="s">
        <v>3054</v>
      </c>
      <c r="H186" s="3009" t="s">
        <v>27</v>
      </c>
      <c r="I186" s="3006" t="s">
        <v>4307</v>
      </c>
      <c r="J186" s="3006" t="s">
        <v>4308</v>
      </c>
      <c r="K186" s="3012" t="s">
        <v>3127</v>
      </c>
      <c r="L186" s="3004">
        <f ca="1">典型户型修正!R204</f>
        <v>9861</v>
      </c>
      <c r="M186" s="3004">
        <f ca="1">典型户型修正!S204</f>
        <v>66</v>
      </c>
    </row>
    <row r="187" spans="1:13" ht="30.75" customHeight="1">
      <c r="A187" s="3012">
        <v>182</v>
      </c>
      <c r="B187" s="3008" t="s">
        <v>3765</v>
      </c>
      <c r="C187" s="3008" t="s">
        <v>4309</v>
      </c>
      <c r="D187" s="3008" t="s">
        <v>4618</v>
      </c>
      <c r="E187" s="3010">
        <v>80.73</v>
      </c>
      <c r="F187" s="3010">
        <f>'数据-基础表'!E194</f>
        <v>4.24</v>
      </c>
      <c r="G187" s="3008" t="s">
        <v>3054</v>
      </c>
      <c r="H187" s="3009" t="s">
        <v>27</v>
      </c>
      <c r="I187" s="3006" t="s">
        <v>4310</v>
      </c>
      <c r="J187" s="3006" t="s">
        <v>4311</v>
      </c>
      <c r="K187" s="3012" t="s">
        <v>3127</v>
      </c>
      <c r="L187" s="3004">
        <f ca="1">典型户型修正!R205</f>
        <v>9861</v>
      </c>
      <c r="M187" s="3004">
        <f ca="1">典型户型修正!S205</f>
        <v>80</v>
      </c>
    </row>
    <row r="188" spans="1:13" ht="30.75" customHeight="1">
      <c r="A188" s="3012">
        <v>183</v>
      </c>
      <c r="B188" s="3008" t="s">
        <v>3765</v>
      </c>
      <c r="C188" s="3008" t="s">
        <v>4312</v>
      </c>
      <c r="D188" s="3008" t="s">
        <v>4618</v>
      </c>
      <c r="E188" s="3010">
        <v>52.17</v>
      </c>
      <c r="F188" s="3010">
        <f>'数据-基础表'!E195</f>
        <v>2.74</v>
      </c>
      <c r="G188" s="3008" t="s">
        <v>3054</v>
      </c>
      <c r="H188" s="3009" t="s">
        <v>27</v>
      </c>
      <c r="I188" s="3006" t="s">
        <v>4313</v>
      </c>
      <c r="J188" s="3006" t="s">
        <v>4314</v>
      </c>
      <c r="K188" s="3012" t="s">
        <v>3127</v>
      </c>
      <c r="L188" s="3004">
        <f ca="1">典型户型修正!R206</f>
        <v>9960</v>
      </c>
      <c r="M188" s="3004">
        <f ca="1">典型户型修正!S206</f>
        <v>52</v>
      </c>
    </row>
    <row r="189" spans="1:13" ht="30.75" customHeight="1">
      <c r="A189" s="3012">
        <v>184</v>
      </c>
      <c r="B189" s="3008" t="s">
        <v>3765</v>
      </c>
      <c r="C189" s="3008" t="s">
        <v>4315</v>
      </c>
      <c r="D189" s="3008" t="s">
        <v>4618</v>
      </c>
      <c r="E189" s="3010">
        <v>52.17</v>
      </c>
      <c r="F189" s="3010">
        <f>'数据-基础表'!E196</f>
        <v>2.74</v>
      </c>
      <c r="G189" s="3008" t="s">
        <v>3054</v>
      </c>
      <c r="H189" s="3009" t="s">
        <v>27</v>
      </c>
      <c r="I189" s="3006" t="s">
        <v>4316</v>
      </c>
      <c r="J189" s="3006" t="s">
        <v>4317</v>
      </c>
      <c r="K189" s="3012" t="s">
        <v>3127</v>
      </c>
      <c r="L189" s="3004">
        <f ca="1">典型户型修正!R207</f>
        <v>9960</v>
      </c>
      <c r="M189" s="3004">
        <f ca="1">典型户型修正!S207</f>
        <v>52</v>
      </c>
    </row>
    <row r="190" spans="1:13" ht="30.75" customHeight="1">
      <c r="A190" s="3012">
        <v>185</v>
      </c>
      <c r="B190" s="3008" t="s">
        <v>3765</v>
      </c>
      <c r="C190" s="3008" t="s">
        <v>4318</v>
      </c>
      <c r="D190" s="3008" t="s">
        <v>4618</v>
      </c>
      <c r="E190" s="3010">
        <v>52.17</v>
      </c>
      <c r="F190" s="3010">
        <f>'数据-基础表'!E197</f>
        <v>2.74</v>
      </c>
      <c r="G190" s="3008" t="s">
        <v>3054</v>
      </c>
      <c r="H190" s="3009" t="s">
        <v>27</v>
      </c>
      <c r="I190" s="3006" t="s">
        <v>4319</v>
      </c>
      <c r="J190" s="3006" t="s">
        <v>4320</v>
      </c>
      <c r="K190" s="3012" t="s">
        <v>3127</v>
      </c>
      <c r="L190" s="3004">
        <f ca="1">典型户型修正!R208</f>
        <v>9960</v>
      </c>
      <c r="M190" s="3004">
        <f ca="1">典型户型修正!S208</f>
        <v>52</v>
      </c>
    </row>
    <row r="191" spans="1:13" ht="30.75" customHeight="1">
      <c r="A191" s="3012">
        <v>186</v>
      </c>
      <c r="B191" s="3008" t="s">
        <v>3765</v>
      </c>
      <c r="C191" s="3008" t="s">
        <v>4321</v>
      </c>
      <c r="D191" s="3008" t="s">
        <v>4618</v>
      </c>
      <c r="E191" s="3010">
        <v>52.17</v>
      </c>
      <c r="F191" s="3010">
        <f>'数据-基础表'!E198</f>
        <v>2.74</v>
      </c>
      <c r="G191" s="3008" t="s">
        <v>3054</v>
      </c>
      <c r="H191" s="3009" t="s">
        <v>27</v>
      </c>
      <c r="I191" s="3006" t="s">
        <v>4322</v>
      </c>
      <c r="J191" s="3006" t="s">
        <v>4323</v>
      </c>
      <c r="K191" s="3012" t="s">
        <v>3127</v>
      </c>
      <c r="L191" s="3004">
        <f ca="1">典型户型修正!R209</f>
        <v>9960</v>
      </c>
      <c r="M191" s="3004">
        <f ca="1">典型户型修正!S209</f>
        <v>52</v>
      </c>
    </row>
    <row r="192" spans="1:13" ht="30.75" customHeight="1">
      <c r="A192" s="3012">
        <v>187</v>
      </c>
      <c r="B192" s="3008" t="s">
        <v>3765</v>
      </c>
      <c r="C192" s="3008" t="s">
        <v>4324</v>
      </c>
      <c r="D192" s="3008" t="s">
        <v>4618</v>
      </c>
      <c r="E192" s="3010">
        <v>52.17</v>
      </c>
      <c r="F192" s="3010">
        <f>'数据-基础表'!E199</f>
        <v>2.74</v>
      </c>
      <c r="G192" s="3008" t="s">
        <v>3054</v>
      </c>
      <c r="H192" s="3009" t="s">
        <v>27</v>
      </c>
      <c r="I192" s="3006" t="s">
        <v>4325</v>
      </c>
      <c r="J192" s="3006" t="s">
        <v>4326</v>
      </c>
      <c r="K192" s="3012" t="s">
        <v>3127</v>
      </c>
      <c r="L192" s="3004">
        <f ca="1">典型户型修正!R210</f>
        <v>9960</v>
      </c>
      <c r="M192" s="3004">
        <f ca="1">典型户型修正!S210</f>
        <v>52</v>
      </c>
    </row>
    <row r="193" spans="1:13" ht="30.75" customHeight="1">
      <c r="A193" s="3012">
        <v>188</v>
      </c>
      <c r="B193" s="3008" t="s">
        <v>3765</v>
      </c>
      <c r="C193" s="3008" t="s">
        <v>4327</v>
      </c>
      <c r="D193" s="3008" t="s">
        <v>4618</v>
      </c>
      <c r="E193" s="3010">
        <v>52.17</v>
      </c>
      <c r="F193" s="3010">
        <f>'数据-基础表'!E200</f>
        <v>2.74</v>
      </c>
      <c r="G193" s="3008" t="s">
        <v>3054</v>
      </c>
      <c r="H193" s="3009" t="s">
        <v>27</v>
      </c>
      <c r="I193" s="3006" t="s">
        <v>4328</v>
      </c>
      <c r="J193" s="3006" t="s">
        <v>4329</v>
      </c>
      <c r="K193" s="3012" t="s">
        <v>3127</v>
      </c>
      <c r="L193" s="3004">
        <f ca="1">典型户型修正!R211</f>
        <v>9960</v>
      </c>
      <c r="M193" s="3004">
        <f ca="1">典型户型修正!S211</f>
        <v>52</v>
      </c>
    </row>
    <row r="194" spans="1:13" ht="30.75" customHeight="1">
      <c r="A194" s="3012">
        <v>189</v>
      </c>
      <c r="B194" s="3008" t="s">
        <v>3765</v>
      </c>
      <c r="C194" s="3008" t="s">
        <v>4330</v>
      </c>
      <c r="D194" s="3008" t="s">
        <v>4618</v>
      </c>
      <c r="E194" s="3010">
        <v>52.17</v>
      </c>
      <c r="F194" s="3010">
        <f>'数据-基础表'!E201</f>
        <v>2.74</v>
      </c>
      <c r="G194" s="3008" t="s">
        <v>3054</v>
      </c>
      <c r="H194" s="3009" t="s">
        <v>27</v>
      </c>
      <c r="I194" s="3006" t="s">
        <v>4331</v>
      </c>
      <c r="J194" s="3006" t="s">
        <v>4332</v>
      </c>
      <c r="K194" s="3012" t="s">
        <v>3127</v>
      </c>
      <c r="L194" s="3004">
        <f ca="1">典型户型修正!R212</f>
        <v>9960</v>
      </c>
      <c r="M194" s="3004">
        <f ca="1">典型户型修正!S212</f>
        <v>52</v>
      </c>
    </row>
    <row r="195" spans="1:13" ht="30.75" customHeight="1">
      <c r="A195" s="3012">
        <v>190</v>
      </c>
      <c r="B195" s="3008" t="s">
        <v>3765</v>
      </c>
      <c r="C195" s="3008" t="s">
        <v>4333</v>
      </c>
      <c r="D195" s="3008" t="s">
        <v>4618</v>
      </c>
      <c r="E195" s="3010">
        <v>52.17</v>
      </c>
      <c r="F195" s="3010">
        <f>'数据-基础表'!E202</f>
        <v>2.74</v>
      </c>
      <c r="G195" s="3008" t="s">
        <v>3054</v>
      </c>
      <c r="H195" s="3009" t="s">
        <v>27</v>
      </c>
      <c r="I195" s="3006" t="s">
        <v>4334</v>
      </c>
      <c r="J195" s="3006" t="s">
        <v>4335</v>
      </c>
      <c r="K195" s="3012" t="s">
        <v>3127</v>
      </c>
      <c r="L195" s="3004">
        <f ca="1">典型户型修正!R213</f>
        <v>9960</v>
      </c>
      <c r="M195" s="3004">
        <f ca="1">典型户型修正!S213</f>
        <v>52</v>
      </c>
    </row>
    <row r="196" spans="1:13" ht="30.75" customHeight="1">
      <c r="A196" s="3012">
        <v>191</v>
      </c>
      <c r="B196" s="3008" t="s">
        <v>3765</v>
      </c>
      <c r="C196" s="3008" t="s">
        <v>4336</v>
      </c>
      <c r="D196" s="3008" t="s">
        <v>4618</v>
      </c>
      <c r="E196" s="3010">
        <v>52.17</v>
      </c>
      <c r="F196" s="3010">
        <f>'数据-基础表'!E203</f>
        <v>2.74</v>
      </c>
      <c r="G196" s="3008" t="s">
        <v>3054</v>
      </c>
      <c r="H196" s="3009" t="s">
        <v>27</v>
      </c>
      <c r="I196" s="3006" t="s">
        <v>4337</v>
      </c>
      <c r="J196" s="3006" t="s">
        <v>4338</v>
      </c>
      <c r="K196" s="3012" t="s">
        <v>3127</v>
      </c>
      <c r="L196" s="3004">
        <f ca="1">典型户型修正!R214</f>
        <v>9960</v>
      </c>
      <c r="M196" s="3004">
        <f ca="1">典型户型修正!S214</f>
        <v>52</v>
      </c>
    </row>
    <row r="197" spans="1:13" ht="30.75" customHeight="1">
      <c r="A197" s="3012">
        <v>192</v>
      </c>
      <c r="B197" s="3008" t="s">
        <v>3765</v>
      </c>
      <c r="C197" s="3008" t="s">
        <v>4339</v>
      </c>
      <c r="D197" s="3008" t="s">
        <v>4618</v>
      </c>
      <c r="E197" s="3010">
        <v>52.17</v>
      </c>
      <c r="F197" s="3010">
        <f>'数据-基础表'!E204</f>
        <v>2.74</v>
      </c>
      <c r="G197" s="3008" t="s">
        <v>3054</v>
      </c>
      <c r="H197" s="3009" t="s">
        <v>27</v>
      </c>
      <c r="I197" s="3006" t="s">
        <v>4340</v>
      </c>
      <c r="J197" s="3006" t="s">
        <v>4341</v>
      </c>
      <c r="K197" s="3012" t="s">
        <v>3127</v>
      </c>
      <c r="L197" s="3004">
        <f ca="1">典型户型修正!R215</f>
        <v>9960</v>
      </c>
      <c r="M197" s="3004">
        <f ca="1">典型户型修正!S215</f>
        <v>52</v>
      </c>
    </row>
    <row r="198" spans="1:13" ht="30.75" customHeight="1">
      <c r="A198" s="3012">
        <v>193</v>
      </c>
      <c r="B198" s="3008" t="s">
        <v>3765</v>
      </c>
      <c r="C198" s="3008" t="s">
        <v>4342</v>
      </c>
      <c r="D198" s="3008" t="s">
        <v>4618</v>
      </c>
      <c r="E198" s="3010">
        <v>80.73</v>
      </c>
      <c r="F198" s="3010">
        <f>'数据-基础表'!E205</f>
        <v>4.24</v>
      </c>
      <c r="G198" s="3008" t="s">
        <v>3054</v>
      </c>
      <c r="H198" s="3009" t="s">
        <v>27</v>
      </c>
      <c r="I198" s="3006" t="s">
        <v>4343</v>
      </c>
      <c r="J198" s="3006" t="s">
        <v>4344</v>
      </c>
      <c r="K198" s="3012" t="s">
        <v>3127</v>
      </c>
      <c r="L198" s="3004">
        <f ca="1">典型户型修正!R216</f>
        <v>9861</v>
      </c>
      <c r="M198" s="3004">
        <f ca="1">典型户型修正!S216</f>
        <v>80</v>
      </c>
    </row>
    <row r="199" spans="1:13" ht="30.75" customHeight="1">
      <c r="A199" s="3012">
        <v>194</v>
      </c>
      <c r="B199" s="3008" t="s">
        <v>3765</v>
      </c>
      <c r="C199" s="3008" t="s">
        <v>4345</v>
      </c>
      <c r="D199" s="3008" t="s">
        <v>4618</v>
      </c>
      <c r="E199" s="3010">
        <v>93.08</v>
      </c>
      <c r="F199" s="3010">
        <f>'数据-基础表'!E206</f>
        <v>4.8899999999999997</v>
      </c>
      <c r="G199" s="3008" t="s">
        <v>3054</v>
      </c>
      <c r="H199" s="3009" t="s">
        <v>27</v>
      </c>
      <c r="I199" s="3006" t="s">
        <v>4346</v>
      </c>
      <c r="J199" s="3006" t="s">
        <v>4347</v>
      </c>
      <c r="K199" s="3012" t="s">
        <v>3127</v>
      </c>
      <c r="L199" s="3004">
        <f ca="1">典型户型修正!R217</f>
        <v>9861</v>
      </c>
      <c r="M199" s="3004">
        <f ca="1">典型户型修正!S217</f>
        <v>92</v>
      </c>
    </row>
    <row r="200" spans="1:13" ht="30.75" customHeight="1">
      <c r="A200" s="3012">
        <v>195</v>
      </c>
      <c r="B200" s="3008" t="s">
        <v>3765</v>
      </c>
      <c r="C200" s="3008" t="s">
        <v>4348</v>
      </c>
      <c r="D200" s="3008" t="s">
        <v>4618</v>
      </c>
      <c r="E200" s="3010">
        <v>93.08</v>
      </c>
      <c r="F200" s="3010">
        <f>'数据-基础表'!E207</f>
        <v>4.8899999999999997</v>
      </c>
      <c r="G200" s="3008" t="s">
        <v>3054</v>
      </c>
      <c r="H200" s="3009" t="s">
        <v>27</v>
      </c>
      <c r="I200" s="3006" t="s">
        <v>4349</v>
      </c>
      <c r="J200" s="3006" t="s">
        <v>4350</v>
      </c>
      <c r="K200" s="3012" t="s">
        <v>3127</v>
      </c>
      <c r="L200" s="3004">
        <f ca="1">典型户型修正!R218</f>
        <v>9861</v>
      </c>
      <c r="M200" s="3004">
        <f ca="1">典型户型修正!S218</f>
        <v>92</v>
      </c>
    </row>
    <row r="201" spans="1:13" ht="30.75" customHeight="1">
      <c r="A201" s="3012">
        <v>196</v>
      </c>
      <c r="B201" s="3008" t="s">
        <v>3765</v>
      </c>
      <c r="C201" s="3008" t="s">
        <v>4351</v>
      </c>
      <c r="D201" s="3008" t="s">
        <v>4619</v>
      </c>
      <c r="E201" s="3010">
        <v>80.73</v>
      </c>
      <c r="F201" s="3010">
        <f>'数据-基础表'!E208</f>
        <v>4.24</v>
      </c>
      <c r="G201" s="3008" t="s">
        <v>3054</v>
      </c>
      <c r="H201" s="3009" t="s">
        <v>27</v>
      </c>
      <c r="I201" s="3006" t="s">
        <v>4352</v>
      </c>
      <c r="J201" s="3006" t="s">
        <v>4353</v>
      </c>
      <c r="K201" s="3012" t="s">
        <v>3127</v>
      </c>
      <c r="L201" s="3004">
        <f ca="1">典型户型修正!R219</f>
        <v>9861</v>
      </c>
      <c r="M201" s="3004">
        <f ca="1">典型户型修正!S219</f>
        <v>80</v>
      </c>
    </row>
    <row r="202" spans="1:13" ht="30.75" customHeight="1">
      <c r="A202" s="3012">
        <v>197</v>
      </c>
      <c r="B202" s="3008" t="s">
        <v>3765</v>
      </c>
      <c r="C202" s="3008" t="s">
        <v>4354</v>
      </c>
      <c r="D202" s="3008" t="s">
        <v>4619</v>
      </c>
      <c r="E202" s="3010">
        <v>52.17</v>
      </c>
      <c r="F202" s="3010" t="str">
        <f>'数据-基础表'!E209</f>
        <v>2.74.</v>
      </c>
      <c r="G202" s="3008" t="s">
        <v>3054</v>
      </c>
      <c r="H202" s="3009" t="s">
        <v>27</v>
      </c>
      <c r="I202" s="3006" t="s">
        <v>4355</v>
      </c>
      <c r="J202" s="3006" t="s">
        <v>4356</v>
      </c>
      <c r="K202" s="3012" t="s">
        <v>3127</v>
      </c>
      <c r="L202" s="3004">
        <f ca="1">典型户型修正!R220</f>
        <v>9960</v>
      </c>
      <c r="M202" s="3004">
        <f ca="1">典型户型修正!S220</f>
        <v>52</v>
      </c>
    </row>
    <row r="203" spans="1:13" ht="30.75" customHeight="1">
      <c r="A203" s="3012">
        <v>198</v>
      </c>
      <c r="B203" s="3008" t="s">
        <v>3765</v>
      </c>
      <c r="C203" s="3008" t="s">
        <v>4357</v>
      </c>
      <c r="D203" s="3008" t="s">
        <v>4619</v>
      </c>
      <c r="E203" s="3010">
        <v>52.17</v>
      </c>
      <c r="F203" s="3010">
        <f>'数据-基础表'!E210</f>
        <v>2.74</v>
      </c>
      <c r="G203" s="3008" t="s">
        <v>3054</v>
      </c>
      <c r="H203" s="3009" t="s">
        <v>27</v>
      </c>
      <c r="I203" s="3006" t="s">
        <v>4358</v>
      </c>
      <c r="J203" s="3006" t="s">
        <v>4359</v>
      </c>
      <c r="K203" s="3012" t="s">
        <v>3127</v>
      </c>
      <c r="L203" s="3004">
        <f ca="1">典型户型修正!R221</f>
        <v>9960</v>
      </c>
      <c r="M203" s="3004">
        <f ca="1">典型户型修正!S221</f>
        <v>52</v>
      </c>
    </row>
    <row r="204" spans="1:13" ht="30.75" customHeight="1">
      <c r="A204" s="3012">
        <v>199</v>
      </c>
      <c r="B204" s="3008" t="s">
        <v>3765</v>
      </c>
      <c r="C204" s="3008" t="s">
        <v>4360</v>
      </c>
      <c r="D204" s="3008" t="s">
        <v>4619</v>
      </c>
      <c r="E204" s="3010">
        <v>52.17</v>
      </c>
      <c r="F204" s="3010">
        <f>'数据-基础表'!E211</f>
        <v>2.74</v>
      </c>
      <c r="G204" s="3008" t="s">
        <v>3054</v>
      </c>
      <c r="H204" s="3009" t="s">
        <v>27</v>
      </c>
      <c r="I204" s="3006" t="s">
        <v>4361</v>
      </c>
      <c r="J204" s="3006" t="s">
        <v>4362</v>
      </c>
      <c r="K204" s="3012" t="s">
        <v>3127</v>
      </c>
      <c r="L204" s="3004">
        <f ca="1">典型户型修正!R222</f>
        <v>9960</v>
      </c>
      <c r="M204" s="3004">
        <f ca="1">典型户型修正!S222</f>
        <v>52</v>
      </c>
    </row>
    <row r="205" spans="1:13" ht="30.75" customHeight="1">
      <c r="A205" s="3012">
        <v>200</v>
      </c>
      <c r="B205" s="3008" t="s">
        <v>3765</v>
      </c>
      <c r="C205" s="3008" t="s">
        <v>4363</v>
      </c>
      <c r="D205" s="3008" t="s">
        <v>4619</v>
      </c>
      <c r="E205" s="3010">
        <v>52.17</v>
      </c>
      <c r="F205" s="3010">
        <f>'数据-基础表'!E212</f>
        <v>2.74</v>
      </c>
      <c r="G205" s="3008" t="s">
        <v>3054</v>
      </c>
      <c r="H205" s="3009" t="s">
        <v>27</v>
      </c>
      <c r="I205" s="3005" t="s">
        <v>4364</v>
      </c>
      <c r="J205" s="3006" t="s">
        <v>4365</v>
      </c>
      <c r="K205" s="3012" t="s">
        <v>3127</v>
      </c>
      <c r="L205" s="3004">
        <f ca="1">典型户型修正!R223</f>
        <v>9960</v>
      </c>
      <c r="M205" s="3004">
        <f ca="1">典型户型修正!S223</f>
        <v>52</v>
      </c>
    </row>
    <row r="206" spans="1:13" ht="30.75" customHeight="1">
      <c r="A206" s="3012">
        <v>201</v>
      </c>
      <c r="B206" s="3007" t="s">
        <v>3765</v>
      </c>
      <c r="C206" s="3007" t="s">
        <v>4366</v>
      </c>
      <c r="D206" s="3008" t="s">
        <v>4619</v>
      </c>
      <c r="E206" s="3010">
        <v>52.17</v>
      </c>
      <c r="F206" s="3010">
        <f>'数据-基础表'!E213</f>
        <v>2.74</v>
      </c>
      <c r="G206" s="3008" t="s">
        <v>3054</v>
      </c>
      <c r="H206" s="3009" t="s">
        <v>27</v>
      </c>
      <c r="I206" s="3005" t="s">
        <v>4367</v>
      </c>
      <c r="J206" s="3006" t="s">
        <v>4368</v>
      </c>
      <c r="K206" s="3012" t="s">
        <v>3127</v>
      </c>
      <c r="L206" s="3004">
        <f ca="1">典型户型修正!R224</f>
        <v>9960</v>
      </c>
      <c r="M206" s="3004">
        <f ca="1">典型户型修正!S224</f>
        <v>52</v>
      </c>
    </row>
    <row r="207" spans="1:13" ht="30.75" customHeight="1">
      <c r="A207" s="3012">
        <v>202</v>
      </c>
      <c r="B207" s="3007" t="s">
        <v>3765</v>
      </c>
      <c r="C207" s="3007" t="s">
        <v>4369</v>
      </c>
      <c r="D207" s="3008" t="s">
        <v>4619</v>
      </c>
      <c r="E207" s="3010">
        <v>52.17</v>
      </c>
      <c r="F207" s="3010">
        <f>'数据-基础表'!E214</f>
        <v>2.74</v>
      </c>
      <c r="G207" s="3008" t="s">
        <v>3054</v>
      </c>
      <c r="H207" s="3009" t="s">
        <v>27</v>
      </c>
      <c r="I207" s="3006" t="s">
        <v>4370</v>
      </c>
      <c r="J207" s="3006" t="s">
        <v>4371</v>
      </c>
      <c r="K207" s="3012" t="s">
        <v>3127</v>
      </c>
      <c r="L207" s="3004">
        <f ca="1">典型户型修正!R225</f>
        <v>9960</v>
      </c>
      <c r="M207" s="3004">
        <f ca="1">典型户型修正!S225</f>
        <v>52</v>
      </c>
    </row>
    <row r="208" spans="1:13" ht="30.75" customHeight="1">
      <c r="A208" s="3012">
        <v>203</v>
      </c>
      <c r="B208" s="3007" t="s">
        <v>3765</v>
      </c>
      <c r="C208" s="3007" t="s">
        <v>4372</v>
      </c>
      <c r="D208" s="3008" t="s">
        <v>4619</v>
      </c>
      <c r="E208" s="3010">
        <v>52.17</v>
      </c>
      <c r="F208" s="3010">
        <f>'数据-基础表'!E215</f>
        <v>2.74</v>
      </c>
      <c r="G208" s="3008" t="s">
        <v>3054</v>
      </c>
      <c r="H208" s="3009" t="s">
        <v>27</v>
      </c>
      <c r="I208" s="3006" t="s">
        <v>4373</v>
      </c>
      <c r="J208" s="3006" t="s">
        <v>4374</v>
      </c>
      <c r="K208" s="3012" t="s">
        <v>3127</v>
      </c>
      <c r="L208" s="3004">
        <f ca="1">典型户型修正!R226</f>
        <v>9960</v>
      </c>
      <c r="M208" s="3004">
        <f ca="1">典型户型修正!S226</f>
        <v>52</v>
      </c>
    </row>
    <row r="209" spans="1:13" ht="30.75" customHeight="1">
      <c r="A209" s="3012">
        <v>204</v>
      </c>
      <c r="B209" s="3007" t="s">
        <v>3765</v>
      </c>
      <c r="C209" s="3007" t="s">
        <v>4375</v>
      </c>
      <c r="D209" s="3008" t="s">
        <v>4619</v>
      </c>
      <c r="E209" s="3010">
        <v>52.17</v>
      </c>
      <c r="F209" s="3010">
        <f>'数据-基础表'!E216</f>
        <v>2.74</v>
      </c>
      <c r="G209" s="3008" t="s">
        <v>3054</v>
      </c>
      <c r="H209" s="3009" t="s">
        <v>27</v>
      </c>
      <c r="I209" s="3006" t="s">
        <v>4376</v>
      </c>
      <c r="J209" s="3006" t="s">
        <v>4377</v>
      </c>
      <c r="K209" s="3012" t="s">
        <v>3127</v>
      </c>
      <c r="L209" s="3004">
        <f ca="1">典型户型修正!R227</f>
        <v>9960</v>
      </c>
      <c r="M209" s="3004">
        <f ca="1">典型户型修正!S227</f>
        <v>52</v>
      </c>
    </row>
    <row r="210" spans="1:13" ht="30.75" customHeight="1">
      <c r="A210" s="3012">
        <v>205</v>
      </c>
      <c r="B210" s="3007" t="s">
        <v>3765</v>
      </c>
      <c r="C210" s="3007" t="s">
        <v>4378</v>
      </c>
      <c r="D210" s="3008" t="s">
        <v>4619</v>
      </c>
      <c r="E210" s="3010">
        <v>52.17</v>
      </c>
      <c r="F210" s="3010">
        <f>'数据-基础表'!E217</f>
        <v>2.74</v>
      </c>
      <c r="G210" s="3008" t="s">
        <v>3054</v>
      </c>
      <c r="H210" s="3009" t="s">
        <v>27</v>
      </c>
      <c r="I210" s="3006" t="s">
        <v>4379</v>
      </c>
      <c r="J210" s="3006" t="s">
        <v>4380</v>
      </c>
      <c r="K210" s="3012" t="s">
        <v>3127</v>
      </c>
      <c r="L210" s="3004">
        <f ca="1">典型户型修正!R228</f>
        <v>9960</v>
      </c>
      <c r="M210" s="3004">
        <f ca="1">典型户型修正!S228</f>
        <v>52</v>
      </c>
    </row>
    <row r="211" spans="1:13" ht="30.75" customHeight="1">
      <c r="A211" s="3012">
        <v>206</v>
      </c>
      <c r="B211" s="3007" t="s">
        <v>3765</v>
      </c>
      <c r="C211" s="3007" t="s">
        <v>4381</v>
      </c>
      <c r="D211" s="3008" t="s">
        <v>4619</v>
      </c>
      <c r="E211" s="3010">
        <v>52.17</v>
      </c>
      <c r="F211" s="3010">
        <f>'数据-基础表'!E218</f>
        <v>2.74</v>
      </c>
      <c r="G211" s="3008" t="s">
        <v>3054</v>
      </c>
      <c r="H211" s="3009" t="s">
        <v>27</v>
      </c>
      <c r="I211" s="3006" t="s">
        <v>4382</v>
      </c>
      <c r="J211" s="3006" t="s">
        <v>4383</v>
      </c>
      <c r="K211" s="3012" t="s">
        <v>3127</v>
      </c>
      <c r="L211" s="3004">
        <f ca="1">典型户型修正!R229</f>
        <v>9960</v>
      </c>
      <c r="M211" s="3004">
        <f ca="1">典型户型修正!S229</f>
        <v>52</v>
      </c>
    </row>
    <row r="212" spans="1:13" ht="30.75" customHeight="1">
      <c r="A212" s="3012">
        <v>207</v>
      </c>
      <c r="B212" s="3007" t="s">
        <v>3765</v>
      </c>
      <c r="C212" s="3007" t="s">
        <v>4384</v>
      </c>
      <c r="D212" s="3008" t="s">
        <v>4619</v>
      </c>
      <c r="E212" s="3010">
        <v>80.73</v>
      </c>
      <c r="F212" s="3010">
        <f>'数据-基础表'!E219</f>
        <v>4.24</v>
      </c>
      <c r="G212" s="3008" t="s">
        <v>3054</v>
      </c>
      <c r="H212" s="3009" t="s">
        <v>27</v>
      </c>
      <c r="I212" s="3006" t="s">
        <v>4385</v>
      </c>
      <c r="J212" s="3006" t="s">
        <v>4386</v>
      </c>
      <c r="K212" s="3012" t="s">
        <v>3127</v>
      </c>
      <c r="L212" s="3004">
        <f ca="1">典型户型修正!R230</f>
        <v>9861</v>
      </c>
      <c r="M212" s="3004">
        <f ca="1">典型户型修正!S230</f>
        <v>80</v>
      </c>
    </row>
    <row r="213" spans="1:13" ht="30.75" customHeight="1">
      <c r="A213" s="3012">
        <v>208</v>
      </c>
      <c r="B213" s="3007" t="s">
        <v>3765</v>
      </c>
      <c r="C213" s="3007" t="s">
        <v>4387</v>
      </c>
      <c r="D213" s="3008" t="s">
        <v>4619</v>
      </c>
      <c r="E213" s="3010">
        <v>67.36</v>
      </c>
      <c r="F213" s="3010">
        <f>'数据-基础表'!E220</f>
        <v>3.54</v>
      </c>
      <c r="G213" s="3008" t="s">
        <v>3054</v>
      </c>
      <c r="H213" s="3009" t="s">
        <v>27</v>
      </c>
      <c r="I213" s="3006" t="s">
        <v>4388</v>
      </c>
      <c r="J213" s="3006" t="s">
        <v>4389</v>
      </c>
      <c r="K213" s="3012" t="s">
        <v>3127</v>
      </c>
      <c r="L213" s="3004">
        <f ca="1">典型户型修正!R231</f>
        <v>9861</v>
      </c>
      <c r="M213" s="3004">
        <f ca="1">典型户型修正!S231</f>
        <v>66</v>
      </c>
    </row>
    <row r="214" spans="1:13" ht="30.75" customHeight="1">
      <c r="A214" s="3012">
        <v>209</v>
      </c>
      <c r="B214" s="3007" t="s">
        <v>3765</v>
      </c>
      <c r="C214" s="3007" t="s">
        <v>4390</v>
      </c>
      <c r="D214" s="3008" t="s">
        <v>4619</v>
      </c>
      <c r="E214" s="3010">
        <v>67.36</v>
      </c>
      <c r="F214" s="3010">
        <f>'数据-基础表'!E221</f>
        <v>3.54</v>
      </c>
      <c r="G214" s="3008" t="s">
        <v>3054</v>
      </c>
      <c r="H214" s="3009" t="s">
        <v>27</v>
      </c>
      <c r="I214" s="3006" t="s">
        <v>4391</v>
      </c>
      <c r="J214" s="3006" t="s">
        <v>4392</v>
      </c>
      <c r="K214" s="3012" t="s">
        <v>3127</v>
      </c>
      <c r="L214" s="3004">
        <f ca="1">典型户型修正!R232</f>
        <v>9861</v>
      </c>
      <c r="M214" s="3004">
        <f ca="1">典型户型修正!S232</f>
        <v>66</v>
      </c>
    </row>
    <row r="215" spans="1:13" ht="30.75" customHeight="1">
      <c r="A215" s="3012">
        <v>210</v>
      </c>
      <c r="B215" s="3007" t="s">
        <v>3765</v>
      </c>
      <c r="C215" s="3007" t="s">
        <v>4393</v>
      </c>
      <c r="D215" s="3008" t="s">
        <v>4619</v>
      </c>
      <c r="E215" s="3010">
        <v>80.73</v>
      </c>
      <c r="F215" s="3010">
        <f>'数据-基础表'!E222</f>
        <v>4.24</v>
      </c>
      <c r="G215" s="3008" t="s">
        <v>3054</v>
      </c>
      <c r="H215" s="3009" t="s">
        <v>27</v>
      </c>
      <c r="I215" s="3006" t="s">
        <v>4394</v>
      </c>
      <c r="J215" s="3006" t="s">
        <v>4395</v>
      </c>
      <c r="K215" s="3012" t="s">
        <v>3127</v>
      </c>
      <c r="L215" s="3004">
        <f ca="1">典型户型修正!R233</f>
        <v>9861</v>
      </c>
      <c r="M215" s="3004">
        <f ca="1">典型户型修正!S233</f>
        <v>80</v>
      </c>
    </row>
    <row r="216" spans="1:13" ht="30.75" customHeight="1">
      <c r="A216" s="3012">
        <v>211</v>
      </c>
      <c r="B216" s="3007" t="s">
        <v>3765</v>
      </c>
      <c r="C216" s="3007" t="s">
        <v>4396</v>
      </c>
      <c r="D216" s="3008" t="s">
        <v>4619</v>
      </c>
      <c r="E216" s="3010">
        <v>52.17</v>
      </c>
      <c r="F216" s="3010">
        <f>'数据-基础表'!E223</f>
        <v>2.74</v>
      </c>
      <c r="G216" s="3008" t="s">
        <v>3054</v>
      </c>
      <c r="H216" s="3009" t="s">
        <v>27</v>
      </c>
      <c r="I216" s="3006" t="s">
        <v>4397</v>
      </c>
      <c r="J216" s="3006" t="s">
        <v>4398</v>
      </c>
      <c r="K216" s="3012" t="s">
        <v>3127</v>
      </c>
      <c r="L216" s="3004">
        <f ca="1">典型户型修正!R234</f>
        <v>9960</v>
      </c>
      <c r="M216" s="3004">
        <f ca="1">典型户型修正!S234</f>
        <v>52</v>
      </c>
    </row>
    <row r="217" spans="1:13" ht="30.75" customHeight="1">
      <c r="A217" s="3012">
        <v>212</v>
      </c>
      <c r="B217" s="3007" t="s">
        <v>3765</v>
      </c>
      <c r="C217" s="3007" t="s">
        <v>4399</v>
      </c>
      <c r="D217" s="3008" t="s">
        <v>4619</v>
      </c>
      <c r="E217" s="3010">
        <v>52.17</v>
      </c>
      <c r="F217" s="3010">
        <f>'数据-基础表'!E224</f>
        <v>2.74</v>
      </c>
      <c r="G217" s="3008" t="s">
        <v>3054</v>
      </c>
      <c r="H217" s="3009" t="s">
        <v>27</v>
      </c>
      <c r="I217" s="3006" t="s">
        <v>4400</v>
      </c>
      <c r="J217" s="3006" t="s">
        <v>4401</v>
      </c>
      <c r="K217" s="3012" t="s">
        <v>3127</v>
      </c>
      <c r="L217" s="3004">
        <f ca="1">典型户型修正!R235</f>
        <v>9960</v>
      </c>
      <c r="M217" s="3004">
        <f ca="1">典型户型修正!S235</f>
        <v>52</v>
      </c>
    </row>
    <row r="218" spans="1:13" ht="30.75" customHeight="1">
      <c r="A218" s="3012">
        <v>213</v>
      </c>
      <c r="B218" s="3007" t="s">
        <v>3765</v>
      </c>
      <c r="C218" s="3007" t="s">
        <v>4402</v>
      </c>
      <c r="D218" s="3008" t="s">
        <v>4619</v>
      </c>
      <c r="E218" s="3010">
        <v>52.17</v>
      </c>
      <c r="F218" s="3010">
        <f>'数据-基础表'!E225</f>
        <v>2.74</v>
      </c>
      <c r="G218" s="3008" t="s">
        <v>3054</v>
      </c>
      <c r="H218" s="3009" t="s">
        <v>27</v>
      </c>
      <c r="I218" s="3006" t="s">
        <v>4403</v>
      </c>
      <c r="J218" s="3006" t="s">
        <v>4404</v>
      </c>
      <c r="K218" s="3012" t="s">
        <v>3127</v>
      </c>
      <c r="L218" s="3004">
        <f ca="1">典型户型修正!R236</f>
        <v>9960</v>
      </c>
      <c r="M218" s="3004">
        <f ca="1">典型户型修正!S236</f>
        <v>52</v>
      </c>
    </row>
    <row r="219" spans="1:13" ht="30.75" customHeight="1">
      <c r="A219" s="3012">
        <v>214</v>
      </c>
      <c r="B219" s="3007" t="s">
        <v>3765</v>
      </c>
      <c r="C219" s="3007" t="s">
        <v>4405</v>
      </c>
      <c r="D219" s="3008" t="s">
        <v>4619</v>
      </c>
      <c r="E219" s="3010">
        <v>52.17</v>
      </c>
      <c r="F219" s="3010">
        <f>'数据-基础表'!E226</f>
        <v>2.74</v>
      </c>
      <c r="G219" s="3008" t="s">
        <v>3054</v>
      </c>
      <c r="H219" s="3009" t="s">
        <v>27</v>
      </c>
      <c r="I219" s="3006" t="s">
        <v>4406</v>
      </c>
      <c r="J219" s="3006" t="s">
        <v>4407</v>
      </c>
      <c r="K219" s="3012" t="s">
        <v>3127</v>
      </c>
      <c r="L219" s="3004">
        <f ca="1">典型户型修正!R237</f>
        <v>9960</v>
      </c>
      <c r="M219" s="3004">
        <f ca="1">典型户型修正!S237</f>
        <v>52</v>
      </c>
    </row>
    <row r="220" spans="1:13" ht="30.75" customHeight="1">
      <c r="A220" s="3012">
        <v>215</v>
      </c>
      <c r="B220" s="3007" t="s">
        <v>3765</v>
      </c>
      <c r="C220" s="3007" t="s">
        <v>4408</v>
      </c>
      <c r="D220" s="3008" t="s">
        <v>4619</v>
      </c>
      <c r="E220" s="3010">
        <v>52.17</v>
      </c>
      <c r="F220" s="3010">
        <f>'数据-基础表'!E227</f>
        <v>2.74</v>
      </c>
      <c r="G220" s="3008" t="s">
        <v>3054</v>
      </c>
      <c r="H220" s="3009" t="s">
        <v>27</v>
      </c>
      <c r="I220" s="3006" t="s">
        <v>4409</v>
      </c>
      <c r="J220" s="3006" t="s">
        <v>4410</v>
      </c>
      <c r="K220" s="3012" t="s">
        <v>3127</v>
      </c>
      <c r="L220" s="3004">
        <f ca="1">典型户型修正!R238</f>
        <v>9960</v>
      </c>
      <c r="M220" s="3004">
        <f ca="1">典型户型修正!S238</f>
        <v>52</v>
      </c>
    </row>
    <row r="221" spans="1:13" ht="30.75" customHeight="1">
      <c r="A221" s="3012">
        <v>216</v>
      </c>
      <c r="B221" s="3007" t="s">
        <v>3765</v>
      </c>
      <c r="C221" s="3007" t="s">
        <v>4411</v>
      </c>
      <c r="D221" s="3008" t="s">
        <v>4619</v>
      </c>
      <c r="E221" s="3010">
        <v>52.17</v>
      </c>
      <c r="F221" s="3010">
        <f>'数据-基础表'!E228</f>
        <v>2.74</v>
      </c>
      <c r="G221" s="3008" t="s">
        <v>3054</v>
      </c>
      <c r="H221" s="3009" t="s">
        <v>27</v>
      </c>
      <c r="I221" s="3006" t="s">
        <v>4412</v>
      </c>
      <c r="J221" s="3006" t="s">
        <v>4413</v>
      </c>
      <c r="K221" s="3012" t="s">
        <v>3127</v>
      </c>
      <c r="L221" s="3004">
        <f ca="1">典型户型修正!R239</f>
        <v>9960</v>
      </c>
      <c r="M221" s="3004">
        <f ca="1">典型户型修正!S239</f>
        <v>52</v>
      </c>
    </row>
    <row r="222" spans="1:13" ht="30.75" customHeight="1">
      <c r="A222" s="3012">
        <v>217</v>
      </c>
      <c r="B222" s="3007" t="s">
        <v>3765</v>
      </c>
      <c r="C222" s="3007" t="s">
        <v>4414</v>
      </c>
      <c r="D222" s="3008" t="s">
        <v>4619</v>
      </c>
      <c r="E222" s="3010">
        <v>52.17</v>
      </c>
      <c r="F222" s="3010">
        <f>'数据-基础表'!E229</f>
        <v>2.74</v>
      </c>
      <c r="G222" s="3008" t="s">
        <v>3054</v>
      </c>
      <c r="H222" s="3009" t="s">
        <v>27</v>
      </c>
      <c r="I222" s="3006" t="s">
        <v>4415</v>
      </c>
      <c r="J222" s="3006" t="s">
        <v>4416</v>
      </c>
      <c r="K222" s="3012" t="s">
        <v>3127</v>
      </c>
      <c r="L222" s="3004">
        <f ca="1">典型户型修正!R240</f>
        <v>9960</v>
      </c>
      <c r="M222" s="3004">
        <f ca="1">典型户型修正!S240</f>
        <v>52</v>
      </c>
    </row>
    <row r="223" spans="1:13" ht="30.75" customHeight="1">
      <c r="A223" s="3012">
        <v>218</v>
      </c>
      <c r="B223" s="3007" t="s">
        <v>3765</v>
      </c>
      <c r="C223" s="3007" t="s">
        <v>4417</v>
      </c>
      <c r="D223" s="3008" t="s">
        <v>4619</v>
      </c>
      <c r="E223" s="3010">
        <v>52.17</v>
      </c>
      <c r="F223" s="3010">
        <f>'数据-基础表'!E230</f>
        <v>2.74</v>
      </c>
      <c r="G223" s="3008" t="s">
        <v>3054</v>
      </c>
      <c r="H223" s="3009" t="s">
        <v>27</v>
      </c>
      <c r="I223" s="3006" t="s">
        <v>4418</v>
      </c>
      <c r="J223" s="3006" t="s">
        <v>4419</v>
      </c>
      <c r="K223" s="3012" t="s">
        <v>3127</v>
      </c>
      <c r="L223" s="3004">
        <f ca="1">典型户型修正!R241</f>
        <v>9960</v>
      </c>
      <c r="M223" s="3004">
        <f ca="1">典型户型修正!S241</f>
        <v>52</v>
      </c>
    </row>
    <row r="224" spans="1:13" ht="30.75" customHeight="1">
      <c r="A224" s="3012">
        <v>219</v>
      </c>
      <c r="B224" s="3007" t="s">
        <v>3765</v>
      </c>
      <c r="C224" s="3007" t="s">
        <v>4420</v>
      </c>
      <c r="D224" s="3008" t="s">
        <v>4619</v>
      </c>
      <c r="E224" s="3010">
        <v>52.17</v>
      </c>
      <c r="F224" s="3010">
        <f>'数据-基础表'!E231</f>
        <v>2.74</v>
      </c>
      <c r="G224" s="3008" t="s">
        <v>3054</v>
      </c>
      <c r="H224" s="3009" t="s">
        <v>27</v>
      </c>
      <c r="I224" s="3006" t="s">
        <v>4421</v>
      </c>
      <c r="J224" s="3006" t="s">
        <v>4422</v>
      </c>
      <c r="K224" s="3012" t="s">
        <v>3127</v>
      </c>
      <c r="L224" s="3004">
        <f ca="1">典型户型修正!R242</f>
        <v>9960</v>
      </c>
      <c r="M224" s="3004">
        <f ca="1">典型户型修正!S242</f>
        <v>52</v>
      </c>
    </row>
    <row r="225" spans="1:13" ht="30.75" customHeight="1">
      <c r="A225" s="3012">
        <v>220</v>
      </c>
      <c r="B225" s="3007" t="s">
        <v>3765</v>
      </c>
      <c r="C225" s="3007" t="s">
        <v>4423</v>
      </c>
      <c r="D225" s="3008" t="s">
        <v>4619</v>
      </c>
      <c r="E225" s="3010">
        <v>52.17</v>
      </c>
      <c r="F225" s="3010">
        <f>'数据-基础表'!E232</f>
        <v>2.74</v>
      </c>
      <c r="G225" s="3008" t="s">
        <v>3054</v>
      </c>
      <c r="H225" s="3009" t="s">
        <v>27</v>
      </c>
      <c r="I225" s="3006" t="s">
        <v>4424</v>
      </c>
      <c r="J225" s="3006" t="s">
        <v>4425</v>
      </c>
      <c r="K225" s="3012" t="s">
        <v>3127</v>
      </c>
      <c r="L225" s="3004">
        <f ca="1">典型户型修正!R243</f>
        <v>9960</v>
      </c>
      <c r="M225" s="3004">
        <f ca="1">典型户型修正!S243</f>
        <v>52</v>
      </c>
    </row>
    <row r="226" spans="1:13" ht="30.75" customHeight="1">
      <c r="A226" s="3012">
        <v>221</v>
      </c>
      <c r="B226" s="3007" t="s">
        <v>3765</v>
      </c>
      <c r="C226" s="3007" t="s">
        <v>4426</v>
      </c>
      <c r="D226" s="3008" t="s">
        <v>4619</v>
      </c>
      <c r="E226" s="3010">
        <v>80.73</v>
      </c>
      <c r="F226" s="3010">
        <f>'数据-基础表'!E233</f>
        <v>4.24</v>
      </c>
      <c r="G226" s="3008" t="s">
        <v>3054</v>
      </c>
      <c r="H226" s="3009" t="s">
        <v>27</v>
      </c>
      <c r="I226" s="3006" t="s">
        <v>4427</v>
      </c>
      <c r="J226" s="3006" t="s">
        <v>4428</v>
      </c>
      <c r="K226" s="3012" t="s">
        <v>3127</v>
      </c>
      <c r="L226" s="3004">
        <f ca="1">典型户型修正!R244</f>
        <v>9861</v>
      </c>
      <c r="M226" s="3004">
        <f ca="1">典型户型修正!S244</f>
        <v>80</v>
      </c>
    </row>
    <row r="227" spans="1:13" ht="30.75" customHeight="1">
      <c r="A227" s="3012">
        <v>222</v>
      </c>
      <c r="B227" s="3007" t="s">
        <v>3765</v>
      </c>
      <c r="C227" s="3007" t="s">
        <v>4429</v>
      </c>
      <c r="D227" s="3008" t="s">
        <v>4619</v>
      </c>
      <c r="E227" s="3010">
        <v>93.08</v>
      </c>
      <c r="F227" s="3010">
        <f>'数据-基础表'!E234</f>
        <v>4.8899999999999997</v>
      </c>
      <c r="G227" s="3008" t="s">
        <v>3054</v>
      </c>
      <c r="H227" s="3009" t="s">
        <v>27</v>
      </c>
      <c r="I227" s="3006" t="s">
        <v>4430</v>
      </c>
      <c r="J227" s="3006" t="s">
        <v>4431</v>
      </c>
      <c r="K227" s="3012" t="s">
        <v>3127</v>
      </c>
      <c r="L227" s="3004">
        <f ca="1">典型户型修正!R245</f>
        <v>9861</v>
      </c>
      <c r="M227" s="3004">
        <f ca="1">典型户型修正!S245</f>
        <v>92</v>
      </c>
    </row>
    <row r="228" spans="1:13" ht="30.75" customHeight="1">
      <c r="A228" s="3012">
        <v>223</v>
      </c>
      <c r="B228" s="3007" t="s">
        <v>3765</v>
      </c>
      <c r="C228" s="3007" t="s">
        <v>4432</v>
      </c>
      <c r="D228" s="3008" t="s">
        <v>4619</v>
      </c>
      <c r="E228" s="3010">
        <v>93.08</v>
      </c>
      <c r="F228" s="3010">
        <f>'数据-基础表'!E235</f>
        <v>4.8899999999999997</v>
      </c>
      <c r="G228" s="3008" t="s">
        <v>3054</v>
      </c>
      <c r="H228" s="3009" t="s">
        <v>27</v>
      </c>
      <c r="I228" s="3006" t="s">
        <v>4433</v>
      </c>
      <c r="J228" s="3006" t="s">
        <v>4434</v>
      </c>
      <c r="K228" s="3012" t="s">
        <v>3127</v>
      </c>
      <c r="L228" s="3004">
        <f ca="1">典型户型修正!R246</f>
        <v>9861</v>
      </c>
      <c r="M228" s="3004">
        <f ca="1">典型户型修正!S246</f>
        <v>92</v>
      </c>
    </row>
    <row r="229" spans="1:13" ht="30.75" customHeight="1">
      <c r="A229" s="3012">
        <v>224</v>
      </c>
      <c r="B229" s="3007" t="s">
        <v>3765</v>
      </c>
      <c r="C229" s="3007" t="s">
        <v>4435</v>
      </c>
      <c r="D229" s="3007" t="s">
        <v>4620</v>
      </c>
      <c r="E229" s="3010">
        <v>80.73</v>
      </c>
      <c r="F229" s="3010">
        <f>'数据-基础表'!E236</f>
        <v>4.24</v>
      </c>
      <c r="G229" s="3008" t="s">
        <v>3054</v>
      </c>
      <c r="H229" s="3009" t="s">
        <v>27</v>
      </c>
      <c r="I229" s="3006" t="s">
        <v>4436</v>
      </c>
      <c r="J229" s="3006" t="s">
        <v>4437</v>
      </c>
      <c r="K229" s="3012" t="s">
        <v>3127</v>
      </c>
      <c r="L229" s="3004">
        <f ca="1">典型户型修正!R247</f>
        <v>9861</v>
      </c>
      <c r="M229" s="3004">
        <f ca="1">典型户型修正!S247</f>
        <v>80</v>
      </c>
    </row>
    <row r="230" spans="1:13" ht="30.75" customHeight="1">
      <c r="A230" s="3012">
        <v>225</v>
      </c>
      <c r="B230" s="3007" t="s">
        <v>3765</v>
      </c>
      <c r="C230" s="3007" t="s">
        <v>4438</v>
      </c>
      <c r="D230" s="3007" t="s">
        <v>4620</v>
      </c>
      <c r="E230" s="3010">
        <v>52.17</v>
      </c>
      <c r="F230" s="3010">
        <f>'数据-基础表'!E237</f>
        <v>2.74</v>
      </c>
      <c r="G230" s="3008" t="s">
        <v>3054</v>
      </c>
      <c r="H230" s="3009" t="s">
        <v>27</v>
      </c>
      <c r="I230" s="3006" t="s">
        <v>4439</v>
      </c>
      <c r="J230" s="3006" t="s">
        <v>4440</v>
      </c>
      <c r="K230" s="3012" t="s">
        <v>3127</v>
      </c>
      <c r="L230" s="3004">
        <f ca="1">典型户型修正!R248</f>
        <v>9960</v>
      </c>
      <c r="M230" s="3004">
        <f ca="1">典型户型修正!S248</f>
        <v>52</v>
      </c>
    </row>
    <row r="231" spans="1:13" ht="30.75" customHeight="1">
      <c r="A231" s="3012">
        <v>226</v>
      </c>
      <c r="B231" s="3007" t="s">
        <v>3765</v>
      </c>
      <c r="C231" s="3007" t="s">
        <v>4441</v>
      </c>
      <c r="D231" s="3007" t="s">
        <v>4620</v>
      </c>
      <c r="E231" s="3010">
        <v>52.17</v>
      </c>
      <c r="F231" s="3010">
        <f>'数据-基础表'!E238</f>
        <v>2.74</v>
      </c>
      <c r="G231" s="3008" t="s">
        <v>3054</v>
      </c>
      <c r="H231" s="3009" t="s">
        <v>27</v>
      </c>
      <c r="I231" s="3006" t="s">
        <v>4442</v>
      </c>
      <c r="J231" s="3006" t="s">
        <v>4443</v>
      </c>
      <c r="K231" s="3012" t="s">
        <v>3127</v>
      </c>
      <c r="L231" s="3004">
        <f ca="1">典型户型修正!R249</f>
        <v>9960</v>
      </c>
      <c r="M231" s="3004">
        <f ca="1">典型户型修正!S249</f>
        <v>52</v>
      </c>
    </row>
    <row r="232" spans="1:13" ht="30.75" customHeight="1">
      <c r="A232" s="3012">
        <v>227</v>
      </c>
      <c r="B232" s="3007" t="s">
        <v>3765</v>
      </c>
      <c r="C232" s="3007" t="s">
        <v>4444</v>
      </c>
      <c r="D232" s="3007" t="s">
        <v>4620</v>
      </c>
      <c r="E232" s="3010">
        <v>52.17</v>
      </c>
      <c r="F232" s="3010">
        <f>'数据-基础表'!E239</f>
        <v>2.74</v>
      </c>
      <c r="G232" s="3008" t="s">
        <v>3054</v>
      </c>
      <c r="H232" s="3009" t="s">
        <v>27</v>
      </c>
      <c r="I232" s="3006" t="s">
        <v>4445</v>
      </c>
      <c r="J232" s="3006" t="s">
        <v>4446</v>
      </c>
      <c r="K232" s="3012" t="s">
        <v>3127</v>
      </c>
      <c r="L232" s="3004">
        <f ca="1">典型户型修正!R250</f>
        <v>9960</v>
      </c>
      <c r="M232" s="3004">
        <f ca="1">典型户型修正!S250</f>
        <v>52</v>
      </c>
    </row>
    <row r="233" spans="1:13" ht="30.75" customHeight="1">
      <c r="A233" s="3012">
        <v>228</v>
      </c>
      <c r="B233" s="3007" t="s">
        <v>3765</v>
      </c>
      <c r="C233" s="3007" t="s">
        <v>4447</v>
      </c>
      <c r="D233" s="3007" t="s">
        <v>4620</v>
      </c>
      <c r="E233" s="3010">
        <v>52.17</v>
      </c>
      <c r="F233" s="3010">
        <f>'数据-基础表'!E240</f>
        <v>2.74</v>
      </c>
      <c r="G233" s="3008" t="s">
        <v>3054</v>
      </c>
      <c r="H233" s="3009" t="s">
        <v>27</v>
      </c>
      <c r="I233" s="3006" t="s">
        <v>4448</v>
      </c>
      <c r="J233" s="3006" t="s">
        <v>4449</v>
      </c>
      <c r="K233" s="3012" t="s">
        <v>3127</v>
      </c>
      <c r="L233" s="3004">
        <f ca="1">典型户型修正!R251</f>
        <v>9960</v>
      </c>
      <c r="M233" s="3004">
        <f ca="1">典型户型修正!S251</f>
        <v>52</v>
      </c>
    </row>
    <row r="234" spans="1:13" ht="30.75" customHeight="1">
      <c r="A234" s="3012">
        <v>229</v>
      </c>
      <c r="B234" s="3007" t="s">
        <v>3765</v>
      </c>
      <c r="C234" s="3007" t="s">
        <v>4450</v>
      </c>
      <c r="D234" s="3007" t="s">
        <v>4620</v>
      </c>
      <c r="E234" s="3010">
        <v>52.17</v>
      </c>
      <c r="F234" s="3010">
        <f>'数据-基础表'!E241</f>
        <v>2.74</v>
      </c>
      <c r="G234" s="3008" t="s">
        <v>3054</v>
      </c>
      <c r="H234" s="3009" t="s">
        <v>27</v>
      </c>
      <c r="I234" s="3006" t="s">
        <v>4451</v>
      </c>
      <c r="J234" s="3006" t="s">
        <v>4452</v>
      </c>
      <c r="K234" s="3012" t="s">
        <v>3127</v>
      </c>
      <c r="L234" s="3004">
        <f ca="1">典型户型修正!R252</f>
        <v>9960</v>
      </c>
      <c r="M234" s="3004">
        <f ca="1">典型户型修正!S252</f>
        <v>52</v>
      </c>
    </row>
    <row r="235" spans="1:13" ht="30.75" customHeight="1">
      <c r="A235" s="3012">
        <v>230</v>
      </c>
      <c r="B235" s="3007" t="s">
        <v>3765</v>
      </c>
      <c r="C235" s="3007" t="s">
        <v>4453</v>
      </c>
      <c r="D235" s="3007" t="s">
        <v>4620</v>
      </c>
      <c r="E235" s="3010">
        <v>52.17</v>
      </c>
      <c r="F235" s="3010">
        <f>'数据-基础表'!E242</f>
        <v>2.74</v>
      </c>
      <c r="G235" s="3008" t="s">
        <v>3054</v>
      </c>
      <c r="H235" s="3009" t="s">
        <v>27</v>
      </c>
      <c r="I235" s="3006" t="s">
        <v>4454</v>
      </c>
      <c r="J235" s="3006" t="s">
        <v>4455</v>
      </c>
      <c r="K235" s="3012" t="s">
        <v>3127</v>
      </c>
      <c r="L235" s="3004">
        <f ca="1">典型户型修正!R253</f>
        <v>9960</v>
      </c>
      <c r="M235" s="3004">
        <f ca="1">典型户型修正!S253</f>
        <v>52</v>
      </c>
    </row>
    <row r="236" spans="1:13" ht="30.75" customHeight="1">
      <c r="A236" s="3012">
        <v>231</v>
      </c>
      <c r="B236" s="3007" t="s">
        <v>3765</v>
      </c>
      <c r="C236" s="3007" t="s">
        <v>4456</v>
      </c>
      <c r="D236" s="3007" t="s">
        <v>4620</v>
      </c>
      <c r="E236" s="3010">
        <v>52.17</v>
      </c>
      <c r="F236" s="3010">
        <f>'数据-基础表'!E243</f>
        <v>2.74</v>
      </c>
      <c r="G236" s="3008" t="s">
        <v>3054</v>
      </c>
      <c r="H236" s="3009" t="s">
        <v>27</v>
      </c>
      <c r="I236" s="3006" t="s">
        <v>4457</v>
      </c>
      <c r="J236" s="3006" t="s">
        <v>4458</v>
      </c>
      <c r="K236" s="3012" t="s">
        <v>3127</v>
      </c>
      <c r="L236" s="3004">
        <f ca="1">典型户型修正!R254</f>
        <v>9960</v>
      </c>
      <c r="M236" s="3004">
        <f ca="1">典型户型修正!S254</f>
        <v>52</v>
      </c>
    </row>
    <row r="237" spans="1:13" ht="30.75" customHeight="1">
      <c r="A237" s="3012">
        <v>232</v>
      </c>
      <c r="B237" s="3007" t="s">
        <v>3765</v>
      </c>
      <c r="C237" s="3007" t="s">
        <v>4459</v>
      </c>
      <c r="D237" s="3007" t="s">
        <v>4620</v>
      </c>
      <c r="E237" s="3010">
        <v>52.17</v>
      </c>
      <c r="F237" s="3010">
        <f>'数据-基础表'!E244</f>
        <v>2.74</v>
      </c>
      <c r="G237" s="3008" t="s">
        <v>3054</v>
      </c>
      <c r="H237" s="3009" t="s">
        <v>27</v>
      </c>
      <c r="I237" s="3006" t="s">
        <v>4460</v>
      </c>
      <c r="J237" s="3006" t="s">
        <v>4461</v>
      </c>
      <c r="K237" s="3012" t="s">
        <v>3127</v>
      </c>
      <c r="L237" s="3004">
        <f ca="1">典型户型修正!R255</f>
        <v>9960</v>
      </c>
      <c r="M237" s="3004">
        <f ca="1">典型户型修正!S255</f>
        <v>52</v>
      </c>
    </row>
    <row r="238" spans="1:13" ht="30.75" customHeight="1">
      <c r="A238" s="3012">
        <v>233</v>
      </c>
      <c r="B238" s="3007" t="s">
        <v>3765</v>
      </c>
      <c r="C238" s="3007" t="s">
        <v>4462</v>
      </c>
      <c r="D238" s="3007" t="s">
        <v>4620</v>
      </c>
      <c r="E238" s="3010">
        <v>52.17</v>
      </c>
      <c r="F238" s="3010">
        <f>'数据-基础表'!E245</f>
        <v>2.74</v>
      </c>
      <c r="G238" s="3008" t="s">
        <v>3054</v>
      </c>
      <c r="H238" s="3009" t="s">
        <v>27</v>
      </c>
      <c r="I238" s="3006" t="s">
        <v>4463</v>
      </c>
      <c r="J238" s="3006" t="s">
        <v>4464</v>
      </c>
      <c r="K238" s="3012" t="s">
        <v>3127</v>
      </c>
      <c r="L238" s="3004">
        <f ca="1">典型户型修正!R256</f>
        <v>9960</v>
      </c>
      <c r="M238" s="3004">
        <f ca="1">典型户型修正!S256</f>
        <v>52</v>
      </c>
    </row>
    <row r="239" spans="1:13" ht="30.75" customHeight="1">
      <c r="A239" s="3012">
        <v>234</v>
      </c>
      <c r="B239" s="3007" t="s">
        <v>3765</v>
      </c>
      <c r="C239" s="3007" t="s">
        <v>4465</v>
      </c>
      <c r="D239" s="3007" t="s">
        <v>4620</v>
      </c>
      <c r="E239" s="3010">
        <v>52.17</v>
      </c>
      <c r="F239" s="3010">
        <f>'数据-基础表'!E246</f>
        <v>2.74</v>
      </c>
      <c r="G239" s="3008" t="s">
        <v>3054</v>
      </c>
      <c r="H239" s="3009" t="s">
        <v>27</v>
      </c>
      <c r="I239" s="3006" t="s">
        <v>4466</v>
      </c>
      <c r="J239" s="3006" t="s">
        <v>4467</v>
      </c>
      <c r="K239" s="3012" t="s">
        <v>3127</v>
      </c>
      <c r="L239" s="3004">
        <f ca="1">典型户型修正!R257</f>
        <v>9960</v>
      </c>
      <c r="M239" s="3004">
        <f ca="1">典型户型修正!S257</f>
        <v>52</v>
      </c>
    </row>
    <row r="240" spans="1:13" ht="30.75" customHeight="1">
      <c r="A240" s="3012">
        <v>235</v>
      </c>
      <c r="B240" s="3007" t="s">
        <v>3765</v>
      </c>
      <c r="C240" s="3007" t="s">
        <v>4468</v>
      </c>
      <c r="D240" s="3007" t="s">
        <v>4620</v>
      </c>
      <c r="E240" s="3010">
        <v>80.73</v>
      </c>
      <c r="F240" s="3010">
        <f>'数据-基础表'!E247</f>
        <v>4.24</v>
      </c>
      <c r="G240" s="3008" t="s">
        <v>3054</v>
      </c>
      <c r="H240" s="3009" t="s">
        <v>27</v>
      </c>
      <c r="I240" s="3006" t="s">
        <v>4469</v>
      </c>
      <c r="J240" s="3006" t="s">
        <v>4470</v>
      </c>
      <c r="K240" s="3012" t="s">
        <v>3127</v>
      </c>
      <c r="L240" s="3004">
        <f ca="1">典型户型修正!R258</f>
        <v>9861</v>
      </c>
      <c r="M240" s="3004">
        <f ca="1">典型户型修正!S258</f>
        <v>80</v>
      </c>
    </row>
    <row r="241" spans="1:13" ht="30.75" customHeight="1">
      <c r="A241" s="3012">
        <v>236</v>
      </c>
      <c r="B241" s="3007" t="s">
        <v>3765</v>
      </c>
      <c r="C241" s="3007" t="s">
        <v>4471</v>
      </c>
      <c r="D241" s="3007" t="s">
        <v>4620</v>
      </c>
      <c r="E241" s="3010">
        <v>67.36</v>
      </c>
      <c r="F241" s="3010">
        <f>'数据-基础表'!E248</f>
        <v>3.54</v>
      </c>
      <c r="G241" s="3008" t="s">
        <v>3054</v>
      </c>
      <c r="H241" s="3009" t="s">
        <v>27</v>
      </c>
      <c r="I241" s="3006" t="s">
        <v>4472</v>
      </c>
      <c r="J241" s="3006" t="s">
        <v>4473</v>
      </c>
      <c r="K241" s="3012" t="s">
        <v>3127</v>
      </c>
      <c r="L241" s="3004">
        <f ca="1">典型户型修正!R259</f>
        <v>9861</v>
      </c>
      <c r="M241" s="3004">
        <f ca="1">典型户型修正!S259</f>
        <v>66</v>
      </c>
    </row>
    <row r="242" spans="1:13" ht="30.75" customHeight="1">
      <c r="A242" s="3012">
        <v>237</v>
      </c>
      <c r="B242" s="3007" t="s">
        <v>3765</v>
      </c>
      <c r="C242" s="3007" t="s">
        <v>4474</v>
      </c>
      <c r="D242" s="3007" t="s">
        <v>4620</v>
      </c>
      <c r="E242" s="3010">
        <v>67.36</v>
      </c>
      <c r="F242" s="3010">
        <f>'数据-基础表'!E249</f>
        <v>3.54</v>
      </c>
      <c r="G242" s="3008" t="s">
        <v>3054</v>
      </c>
      <c r="H242" s="3009" t="s">
        <v>27</v>
      </c>
      <c r="I242" s="3006" t="s">
        <v>4475</v>
      </c>
      <c r="J242" s="3006" t="s">
        <v>4476</v>
      </c>
      <c r="K242" s="3012" t="s">
        <v>3127</v>
      </c>
      <c r="L242" s="3004">
        <f ca="1">典型户型修正!R260</f>
        <v>9861</v>
      </c>
      <c r="M242" s="3004">
        <f ca="1">典型户型修正!S260</f>
        <v>66</v>
      </c>
    </row>
    <row r="243" spans="1:13" ht="30.75" customHeight="1">
      <c r="A243" s="3012">
        <v>238</v>
      </c>
      <c r="B243" s="3007" t="s">
        <v>3765</v>
      </c>
      <c r="C243" s="3007" t="s">
        <v>4477</v>
      </c>
      <c r="D243" s="3007" t="s">
        <v>4620</v>
      </c>
      <c r="E243" s="3010">
        <v>80.73</v>
      </c>
      <c r="F243" s="3010">
        <f>'数据-基础表'!E250</f>
        <v>4.24</v>
      </c>
      <c r="G243" s="3008" t="s">
        <v>3054</v>
      </c>
      <c r="H243" s="3009" t="s">
        <v>27</v>
      </c>
      <c r="I243" s="3006" t="s">
        <v>4478</v>
      </c>
      <c r="J243" s="3006" t="s">
        <v>4479</v>
      </c>
      <c r="K243" s="3012" t="s">
        <v>3127</v>
      </c>
      <c r="L243" s="3004">
        <f ca="1">典型户型修正!R261</f>
        <v>9861</v>
      </c>
      <c r="M243" s="3004">
        <f ca="1">典型户型修正!S261</f>
        <v>80</v>
      </c>
    </row>
    <row r="244" spans="1:13" ht="30.75" customHeight="1">
      <c r="A244" s="3012">
        <v>239</v>
      </c>
      <c r="B244" s="3007" t="s">
        <v>3765</v>
      </c>
      <c r="C244" s="3007" t="s">
        <v>4480</v>
      </c>
      <c r="D244" s="3007" t="s">
        <v>4620</v>
      </c>
      <c r="E244" s="3010">
        <v>52.17</v>
      </c>
      <c r="F244" s="3010">
        <f>'数据-基础表'!E251</f>
        <v>2.74</v>
      </c>
      <c r="G244" s="3008" t="s">
        <v>3054</v>
      </c>
      <c r="H244" s="3009" t="s">
        <v>27</v>
      </c>
      <c r="I244" s="3006" t="s">
        <v>4481</v>
      </c>
      <c r="J244" s="3006" t="s">
        <v>4482</v>
      </c>
      <c r="K244" s="3012" t="s">
        <v>3127</v>
      </c>
      <c r="L244" s="3004">
        <f ca="1">典型户型修正!R262</f>
        <v>9960</v>
      </c>
      <c r="M244" s="3004">
        <f ca="1">典型户型修正!S262</f>
        <v>52</v>
      </c>
    </row>
    <row r="245" spans="1:13" ht="30.75" customHeight="1">
      <c r="A245" s="3012">
        <v>240</v>
      </c>
      <c r="B245" s="3007" t="s">
        <v>3765</v>
      </c>
      <c r="C245" s="3007" t="s">
        <v>4483</v>
      </c>
      <c r="D245" s="3007" t="s">
        <v>4620</v>
      </c>
      <c r="E245" s="3010">
        <v>52.17</v>
      </c>
      <c r="F245" s="3010">
        <f>'数据-基础表'!E252</f>
        <v>2.74</v>
      </c>
      <c r="G245" s="3008" t="s">
        <v>3054</v>
      </c>
      <c r="H245" s="3009" t="s">
        <v>27</v>
      </c>
      <c r="I245" s="3006" t="s">
        <v>4484</v>
      </c>
      <c r="J245" s="3006" t="s">
        <v>4485</v>
      </c>
      <c r="K245" s="3012" t="s">
        <v>3127</v>
      </c>
      <c r="L245" s="3004">
        <f ca="1">典型户型修正!R263</f>
        <v>9960</v>
      </c>
      <c r="M245" s="3004">
        <f ca="1">典型户型修正!S263</f>
        <v>52</v>
      </c>
    </row>
    <row r="246" spans="1:13" ht="30.75" customHeight="1">
      <c r="A246" s="3012">
        <v>241</v>
      </c>
      <c r="B246" s="3007" t="s">
        <v>3765</v>
      </c>
      <c r="C246" s="3007" t="s">
        <v>4486</v>
      </c>
      <c r="D246" s="3007" t="s">
        <v>4620</v>
      </c>
      <c r="E246" s="3010">
        <v>52.17</v>
      </c>
      <c r="F246" s="3010">
        <f>'数据-基础表'!E253</f>
        <v>2.74</v>
      </c>
      <c r="G246" s="3008" t="s">
        <v>3054</v>
      </c>
      <c r="H246" s="3009" t="s">
        <v>27</v>
      </c>
      <c r="I246" s="3006" t="s">
        <v>4487</v>
      </c>
      <c r="J246" s="3006" t="s">
        <v>4488</v>
      </c>
      <c r="K246" s="3012" t="s">
        <v>3127</v>
      </c>
      <c r="L246" s="3004">
        <f ca="1">典型户型修正!R264</f>
        <v>9960</v>
      </c>
      <c r="M246" s="3004">
        <f ca="1">典型户型修正!S264</f>
        <v>52</v>
      </c>
    </row>
    <row r="247" spans="1:13" ht="30.75" customHeight="1">
      <c r="A247" s="3012">
        <v>242</v>
      </c>
      <c r="B247" s="3007" t="s">
        <v>3765</v>
      </c>
      <c r="C247" s="3007" t="s">
        <v>4489</v>
      </c>
      <c r="D247" s="3007" t="s">
        <v>4620</v>
      </c>
      <c r="E247" s="3010">
        <v>52.17</v>
      </c>
      <c r="F247" s="3010">
        <f>'数据-基础表'!E254</f>
        <v>2.74</v>
      </c>
      <c r="G247" s="3008" t="s">
        <v>3054</v>
      </c>
      <c r="H247" s="3009" t="s">
        <v>27</v>
      </c>
      <c r="I247" s="3006" t="s">
        <v>4490</v>
      </c>
      <c r="J247" s="3006" t="s">
        <v>4491</v>
      </c>
      <c r="K247" s="3012" t="s">
        <v>3127</v>
      </c>
      <c r="L247" s="3004">
        <f ca="1">典型户型修正!R265</f>
        <v>9960</v>
      </c>
      <c r="M247" s="3004">
        <f ca="1">典型户型修正!S265</f>
        <v>52</v>
      </c>
    </row>
    <row r="248" spans="1:13" ht="30.75" customHeight="1">
      <c r="A248" s="3012">
        <v>243</v>
      </c>
      <c r="B248" s="3007" t="s">
        <v>3765</v>
      </c>
      <c r="C248" s="3007" t="s">
        <v>4492</v>
      </c>
      <c r="D248" s="3007" t="s">
        <v>4620</v>
      </c>
      <c r="E248" s="3010">
        <v>52.17</v>
      </c>
      <c r="F248" s="3010">
        <f>'数据-基础表'!E255</f>
        <v>2.74</v>
      </c>
      <c r="G248" s="3008" t="s">
        <v>3054</v>
      </c>
      <c r="H248" s="3009" t="s">
        <v>27</v>
      </c>
      <c r="I248" s="3006" t="s">
        <v>4493</v>
      </c>
      <c r="J248" s="3006" t="s">
        <v>4494</v>
      </c>
      <c r="K248" s="3012" t="s">
        <v>3127</v>
      </c>
      <c r="L248" s="3004">
        <f ca="1">典型户型修正!R266</f>
        <v>9960</v>
      </c>
      <c r="M248" s="3004">
        <f ca="1">典型户型修正!S266</f>
        <v>52</v>
      </c>
    </row>
    <row r="249" spans="1:13" ht="30.75" customHeight="1">
      <c r="A249" s="3012">
        <v>244</v>
      </c>
      <c r="B249" s="3007" t="s">
        <v>3765</v>
      </c>
      <c r="C249" s="3007" t="s">
        <v>4495</v>
      </c>
      <c r="D249" s="3007" t="s">
        <v>4620</v>
      </c>
      <c r="E249" s="3010">
        <v>52.17</v>
      </c>
      <c r="F249" s="3010">
        <f>'数据-基础表'!E256</f>
        <v>2.74</v>
      </c>
      <c r="G249" s="3008" t="s">
        <v>3054</v>
      </c>
      <c r="H249" s="3009" t="s">
        <v>27</v>
      </c>
      <c r="I249" s="3006" t="s">
        <v>4496</v>
      </c>
      <c r="J249" s="3006" t="s">
        <v>4497</v>
      </c>
      <c r="K249" s="3012" t="s">
        <v>3127</v>
      </c>
      <c r="L249" s="3004">
        <f ca="1">典型户型修正!R267</f>
        <v>9960</v>
      </c>
      <c r="M249" s="3004">
        <f ca="1">典型户型修正!S267</f>
        <v>52</v>
      </c>
    </row>
    <row r="250" spans="1:13" ht="30.75" customHeight="1">
      <c r="A250" s="3012">
        <v>245</v>
      </c>
      <c r="B250" s="3007" t="s">
        <v>3765</v>
      </c>
      <c r="C250" s="3007" t="s">
        <v>4498</v>
      </c>
      <c r="D250" s="3007" t="s">
        <v>4620</v>
      </c>
      <c r="E250" s="3010">
        <v>52.17</v>
      </c>
      <c r="F250" s="3010">
        <f>'数据-基础表'!E257</f>
        <v>2.74</v>
      </c>
      <c r="G250" s="3008" t="s">
        <v>3054</v>
      </c>
      <c r="H250" s="3009" t="s">
        <v>27</v>
      </c>
      <c r="I250" s="3006" t="s">
        <v>4499</v>
      </c>
      <c r="J250" s="3006" t="s">
        <v>4500</v>
      </c>
      <c r="K250" s="3012" t="s">
        <v>3127</v>
      </c>
      <c r="L250" s="3004">
        <f ca="1">典型户型修正!R268</f>
        <v>9960</v>
      </c>
      <c r="M250" s="3004">
        <f ca="1">典型户型修正!S268</f>
        <v>52</v>
      </c>
    </row>
    <row r="251" spans="1:13" ht="30.75" customHeight="1">
      <c r="A251" s="3012">
        <v>246</v>
      </c>
      <c r="B251" s="3007" t="s">
        <v>3765</v>
      </c>
      <c r="C251" s="3007" t="s">
        <v>4501</v>
      </c>
      <c r="D251" s="3007" t="s">
        <v>4620</v>
      </c>
      <c r="E251" s="3010">
        <v>52.17</v>
      </c>
      <c r="F251" s="3010">
        <f>'数据-基础表'!E258</f>
        <v>2.74</v>
      </c>
      <c r="G251" s="3008" t="s">
        <v>3054</v>
      </c>
      <c r="H251" s="3009" t="s">
        <v>27</v>
      </c>
      <c r="I251" s="3006" t="s">
        <v>4502</v>
      </c>
      <c r="J251" s="3006" t="s">
        <v>4503</v>
      </c>
      <c r="K251" s="3012" t="s">
        <v>3127</v>
      </c>
      <c r="L251" s="3004">
        <f ca="1">典型户型修正!R269</f>
        <v>9960</v>
      </c>
      <c r="M251" s="3004">
        <f ca="1">典型户型修正!S269</f>
        <v>52</v>
      </c>
    </row>
    <row r="252" spans="1:13" ht="30.75" customHeight="1">
      <c r="A252" s="3012">
        <v>247</v>
      </c>
      <c r="B252" s="3007" t="s">
        <v>3765</v>
      </c>
      <c r="C252" s="3007" t="s">
        <v>4504</v>
      </c>
      <c r="D252" s="3007" t="s">
        <v>4620</v>
      </c>
      <c r="E252" s="3010">
        <v>52.17</v>
      </c>
      <c r="F252" s="3010">
        <f>'数据-基础表'!E259</f>
        <v>2.74</v>
      </c>
      <c r="G252" s="3008" t="s">
        <v>3054</v>
      </c>
      <c r="H252" s="3009" t="s">
        <v>27</v>
      </c>
      <c r="I252" s="3006" t="s">
        <v>4505</v>
      </c>
      <c r="J252" s="3006" t="s">
        <v>4506</v>
      </c>
      <c r="K252" s="3012" t="s">
        <v>3127</v>
      </c>
      <c r="L252" s="3004">
        <f ca="1">典型户型修正!R270</f>
        <v>9960</v>
      </c>
      <c r="M252" s="3004">
        <f ca="1">典型户型修正!S270</f>
        <v>52</v>
      </c>
    </row>
    <row r="253" spans="1:13" ht="30.75" customHeight="1">
      <c r="A253" s="3012">
        <v>248</v>
      </c>
      <c r="B253" s="3007" t="s">
        <v>3765</v>
      </c>
      <c r="C253" s="3007" t="s">
        <v>4507</v>
      </c>
      <c r="D253" s="3007" t="s">
        <v>4620</v>
      </c>
      <c r="E253" s="3010">
        <v>52.17</v>
      </c>
      <c r="F253" s="3010">
        <f>'数据-基础表'!E260</f>
        <v>2.74</v>
      </c>
      <c r="G253" s="3008" t="s">
        <v>3054</v>
      </c>
      <c r="H253" s="3009" t="s">
        <v>27</v>
      </c>
      <c r="I253" s="3006" t="s">
        <v>4508</v>
      </c>
      <c r="J253" s="3006" t="s">
        <v>4509</v>
      </c>
      <c r="K253" s="3012" t="s">
        <v>3127</v>
      </c>
      <c r="L253" s="3004">
        <f ca="1">典型户型修正!R271</f>
        <v>9960</v>
      </c>
      <c r="M253" s="3004">
        <f ca="1">典型户型修正!S271</f>
        <v>52</v>
      </c>
    </row>
    <row r="254" spans="1:13" ht="30.75" customHeight="1">
      <c r="A254" s="3012">
        <v>249</v>
      </c>
      <c r="B254" s="3007" t="s">
        <v>3765</v>
      </c>
      <c r="C254" s="3007" t="s">
        <v>4510</v>
      </c>
      <c r="D254" s="3007" t="s">
        <v>4620</v>
      </c>
      <c r="E254" s="3010">
        <v>80.73</v>
      </c>
      <c r="F254" s="3010">
        <f>'数据-基础表'!E261</f>
        <v>4.24</v>
      </c>
      <c r="G254" s="3008" t="s">
        <v>3054</v>
      </c>
      <c r="H254" s="3009" t="s">
        <v>27</v>
      </c>
      <c r="I254" s="3006" t="s">
        <v>4511</v>
      </c>
      <c r="J254" s="3006" t="s">
        <v>4512</v>
      </c>
      <c r="K254" s="3012" t="s">
        <v>3127</v>
      </c>
      <c r="L254" s="3004">
        <f ca="1">典型户型修正!R272</f>
        <v>9861</v>
      </c>
      <c r="M254" s="3004">
        <f ca="1">典型户型修正!S272</f>
        <v>80</v>
      </c>
    </row>
    <row r="255" spans="1:13" ht="30.75" customHeight="1">
      <c r="A255" s="3012">
        <v>250</v>
      </c>
      <c r="B255" s="3007" t="s">
        <v>3765</v>
      </c>
      <c r="C255" s="3007" t="s">
        <v>4513</v>
      </c>
      <c r="D255" s="3007" t="s">
        <v>4620</v>
      </c>
      <c r="E255" s="3010">
        <v>93.08</v>
      </c>
      <c r="F255" s="3010">
        <f>'数据-基础表'!E262</f>
        <v>4.8899999999999997</v>
      </c>
      <c r="G255" s="3008" t="s">
        <v>3054</v>
      </c>
      <c r="H255" s="3009" t="s">
        <v>27</v>
      </c>
      <c r="I255" s="3006" t="s">
        <v>4514</v>
      </c>
      <c r="J255" s="3006" t="s">
        <v>4515</v>
      </c>
      <c r="K255" s="3012" t="s">
        <v>3127</v>
      </c>
      <c r="L255" s="3004">
        <f ca="1">典型户型修正!R273</f>
        <v>9861</v>
      </c>
      <c r="M255" s="3004">
        <f ca="1">典型户型修正!S273</f>
        <v>92</v>
      </c>
    </row>
    <row r="256" spans="1:13" ht="30.75" customHeight="1">
      <c r="A256" s="3012">
        <v>251</v>
      </c>
      <c r="B256" s="3007" t="s">
        <v>3765</v>
      </c>
      <c r="C256" s="3007" t="s">
        <v>4516</v>
      </c>
      <c r="D256" s="3007" t="s">
        <v>4620</v>
      </c>
      <c r="E256" s="3010">
        <v>93.08</v>
      </c>
      <c r="F256" s="3010">
        <f>'数据-基础表'!E263</f>
        <v>4.8899999999999997</v>
      </c>
      <c r="G256" s="3008" t="s">
        <v>3054</v>
      </c>
      <c r="H256" s="3009" t="s">
        <v>27</v>
      </c>
      <c r="I256" s="3006" t="s">
        <v>4517</v>
      </c>
      <c r="J256" s="3006" t="s">
        <v>4518</v>
      </c>
      <c r="K256" s="3012" t="s">
        <v>3127</v>
      </c>
      <c r="L256" s="3004">
        <f ca="1">典型户型修正!R274</f>
        <v>9861</v>
      </c>
      <c r="M256" s="3004">
        <f ca="1">典型户型修正!S274</f>
        <v>92</v>
      </c>
    </row>
    <row r="257" spans="1:13" ht="30.75" customHeight="1">
      <c r="A257" s="3012">
        <v>252</v>
      </c>
      <c r="B257" s="3007" t="s">
        <v>3765</v>
      </c>
      <c r="C257" s="3007" t="s">
        <v>4519</v>
      </c>
      <c r="D257" s="3007" t="s">
        <v>4621</v>
      </c>
      <c r="E257" s="3010">
        <v>80.73</v>
      </c>
      <c r="F257" s="3010">
        <f>'数据-基础表'!E264</f>
        <v>4.24</v>
      </c>
      <c r="G257" s="3008" t="s">
        <v>3054</v>
      </c>
      <c r="H257" s="3009" t="s">
        <v>27</v>
      </c>
      <c r="I257" s="3006" t="s">
        <v>4520</v>
      </c>
      <c r="J257" s="3006" t="s">
        <v>4521</v>
      </c>
      <c r="K257" s="3012" t="s">
        <v>3127</v>
      </c>
      <c r="L257" s="3004">
        <f ca="1">典型户型修正!R275</f>
        <v>9861</v>
      </c>
      <c r="M257" s="3004">
        <f ca="1">典型户型修正!S275</f>
        <v>80</v>
      </c>
    </row>
    <row r="258" spans="1:13" ht="30.75" customHeight="1">
      <c r="A258" s="3012">
        <v>253</v>
      </c>
      <c r="B258" s="3007" t="s">
        <v>3765</v>
      </c>
      <c r="C258" s="3007" t="s">
        <v>4522</v>
      </c>
      <c r="D258" s="3007" t="s">
        <v>4621</v>
      </c>
      <c r="E258" s="3010">
        <v>52.17</v>
      </c>
      <c r="F258" s="3010">
        <f>'数据-基础表'!E265</f>
        <v>2.74</v>
      </c>
      <c r="G258" s="3008" t="s">
        <v>3054</v>
      </c>
      <c r="H258" s="3009" t="s">
        <v>27</v>
      </c>
      <c r="I258" s="3006" t="s">
        <v>4523</v>
      </c>
      <c r="J258" s="3006" t="s">
        <v>4524</v>
      </c>
      <c r="K258" s="3012" t="s">
        <v>3127</v>
      </c>
      <c r="L258" s="3004">
        <f ca="1">典型户型修正!R276</f>
        <v>9960</v>
      </c>
      <c r="M258" s="3004">
        <f ca="1">典型户型修正!S276</f>
        <v>52</v>
      </c>
    </row>
    <row r="259" spans="1:13" ht="30.75" customHeight="1">
      <c r="A259" s="3012">
        <v>254</v>
      </c>
      <c r="B259" s="3007" t="s">
        <v>3765</v>
      </c>
      <c r="C259" s="3007" t="s">
        <v>4525</v>
      </c>
      <c r="D259" s="3007" t="s">
        <v>4621</v>
      </c>
      <c r="E259" s="3010">
        <v>52.17</v>
      </c>
      <c r="F259" s="3010">
        <f>'数据-基础表'!E266</f>
        <v>2.74</v>
      </c>
      <c r="G259" s="3008" t="s">
        <v>3054</v>
      </c>
      <c r="H259" s="3009" t="s">
        <v>27</v>
      </c>
      <c r="I259" s="3006" t="s">
        <v>4526</v>
      </c>
      <c r="J259" s="3006" t="s">
        <v>4527</v>
      </c>
      <c r="K259" s="3012" t="s">
        <v>3127</v>
      </c>
      <c r="L259" s="3004">
        <f ca="1">典型户型修正!R277</f>
        <v>9960</v>
      </c>
      <c r="M259" s="3004">
        <f ca="1">典型户型修正!S277</f>
        <v>52</v>
      </c>
    </row>
    <row r="260" spans="1:13" ht="30.75" customHeight="1">
      <c r="A260" s="3012">
        <v>255</v>
      </c>
      <c r="B260" s="3007" t="s">
        <v>3765</v>
      </c>
      <c r="C260" s="3007" t="s">
        <v>4528</v>
      </c>
      <c r="D260" s="3007" t="s">
        <v>4621</v>
      </c>
      <c r="E260" s="3010">
        <v>52.17</v>
      </c>
      <c r="F260" s="3010">
        <f>'数据-基础表'!E267</f>
        <v>2.74</v>
      </c>
      <c r="G260" s="3008" t="s">
        <v>3054</v>
      </c>
      <c r="H260" s="3009" t="s">
        <v>27</v>
      </c>
      <c r="I260" s="3006" t="s">
        <v>4529</v>
      </c>
      <c r="J260" s="3006" t="s">
        <v>4530</v>
      </c>
      <c r="K260" s="3012" t="s">
        <v>3127</v>
      </c>
      <c r="L260" s="3004">
        <f ca="1">典型户型修正!R278</f>
        <v>9960</v>
      </c>
      <c r="M260" s="3004">
        <f ca="1">典型户型修正!S278</f>
        <v>52</v>
      </c>
    </row>
    <row r="261" spans="1:13" ht="30.75" customHeight="1">
      <c r="A261" s="3012">
        <v>256</v>
      </c>
      <c r="B261" s="3007" t="s">
        <v>3765</v>
      </c>
      <c r="C261" s="3007" t="s">
        <v>4531</v>
      </c>
      <c r="D261" s="3007" t="s">
        <v>4621</v>
      </c>
      <c r="E261" s="3010">
        <v>52.17</v>
      </c>
      <c r="F261" s="3010">
        <f>'数据-基础表'!E268</f>
        <v>2.74</v>
      </c>
      <c r="G261" s="3008" t="s">
        <v>3054</v>
      </c>
      <c r="H261" s="3009" t="s">
        <v>27</v>
      </c>
      <c r="I261" s="3006" t="s">
        <v>4532</v>
      </c>
      <c r="J261" s="3006" t="s">
        <v>4533</v>
      </c>
      <c r="K261" s="3012" t="s">
        <v>3127</v>
      </c>
      <c r="L261" s="3004">
        <f ca="1">典型户型修正!R279</f>
        <v>9960</v>
      </c>
      <c r="M261" s="3004">
        <f ca="1">典型户型修正!S279</f>
        <v>52</v>
      </c>
    </row>
    <row r="262" spans="1:13" ht="30.75" customHeight="1">
      <c r="A262" s="3012">
        <v>257</v>
      </c>
      <c r="B262" s="3007" t="s">
        <v>3765</v>
      </c>
      <c r="C262" s="3007" t="s">
        <v>4534</v>
      </c>
      <c r="D262" s="3007" t="s">
        <v>4621</v>
      </c>
      <c r="E262" s="3010">
        <v>52.17</v>
      </c>
      <c r="F262" s="3010">
        <f>'数据-基础表'!E269</f>
        <v>2.74</v>
      </c>
      <c r="G262" s="3008" t="s">
        <v>3054</v>
      </c>
      <c r="H262" s="3009" t="s">
        <v>27</v>
      </c>
      <c r="I262" s="3006" t="s">
        <v>4535</v>
      </c>
      <c r="J262" s="3006" t="s">
        <v>4536</v>
      </c>
      <c r="K262" s="3012" t="s">
        <v>3127</v>
      </c>
      <c r="L262" s="3004">
        <f ca="1">典型户型修正!R280</f>
        <v>9960</v>
      </c>
      <c r="M262" s="3004">
        <f ca="1">典型户型修正!S280</f>
        <v>52</v>
      </c>
    </row>
    <row r="263" spans="1:13" ht="30.75" customHeight="1">
      <c r="A263" s="3012">
        <v>258</v>
      </c>
      <c r="B263" s="3007" t="s">
        <v>3765</v>
      </c>
      <c r="C263" s="3007" t="s">
        <v>4537</v>
      </c>
      <c r="D263" s="3007" t="s">
        <v>4621</v>
      </c>
      <c r="E263" s="3010">
        <v>52.17</v>
      </c>
      <c r="F263" s="3010">
        <f>'数据-基础表'!E270</f>
        <v>2.74</v>
      </c>
      <c r="G263" s="3008" t="s">
        <v>3054</v>
      </c>
      <c r="H263" s="3009" t="s">
        <v>27</v>
      </c>
      <c r="I263" s="3006" t="s">
        <v>4538</v>
      </c>
      <c r="J263" s="3006" t="s">
        <v>4539</v>
      </c>
      <c r="K263" s="3012" t="s">
        <v>3127</v>
      </c>
      <c r="L263" s="3004">
        <f ca="1">典型户型修正!R281</f>
        <v>9960</v>
      </c>
      <c r="M263" s="3004">
        <f ca="1">典型户型修正!S281</f>
        <v>52</v>
      </c>
    </row>
    <row r="264" spans="1:13" ht="30.75" customHeight="1">
      <c r="A264" s="3012">
        <v>259</v>
      </c>
      <c r="B264" s="3007" t="s">
        <v>3765</v>
      </c>
      <c r="C264" s="3007" t="s">
        <v>4540</v>
      </c>
      <c r="D264" s="3007" t="s">
        <v>4621</v>
      </c>
      <c r="E264" s="3010">
        <v>52.17</v>
      </c>
      <c r="F264" s="3010">
        <f>'数据-基础表'!E271</f>
        <v>2.74</v>
      </c>
      <c r="G264" s="3008" t="s">
        <v>3054</v>
      </c>
      <c r="H264" s="3009" t="s">
        <v>27</v>
      </c>
      <c r="I264" s="3006" t="s">
        <v>4541</v>
      </c>
      <c r="J264" s="3006" t="s">
        <v>4542</v>
      </c>
      <c r="K264" s="3012" t="s">
        <v>3127</v>
      </c>
      <c r="L264" s="3004">
        <f ca="1">典型户型修正!R282</f>
        <v>9960</v>
      </c>
      <c r="M264" s="3004">
        <f ca="1">典型户型修正!S282</f>
        <v>52</v>
      </c>
    </row>
    <row r="265" spans="1:13" ht="30.75" customHeight="1">
      <c r="A265" s="3012">
        <v>260</v>
      </c>
      <c r="B265" s="3007" t="s">
        <v>3765</v>
      </c>
      <c r="C265" s="3007" t="s">
        <v>4543</v>
      </c>
      <c r="D265" s="3007" t="s">
        <v>4621</v>
      </c>
      <c r="E265" s="3010">
        <v>52.17</v>
      </c>
      <c r="F265" s="3010">
        <f>'数据-基础表'!E272</f>
        <v>2.74</v>
      </c>
      <c r="G265" s="3008" t="s">
        <v>3054</v>
      </c>
      <c r="H265" s="3009" t="s">
        <v>27</v>
      </c>
      <c r="I265" s="3006" t="s">
        <v>4544</v>
      </c>
      <c r="J265" s="3006" t="s">
        <v>4545</v>
      </c>
      <c r="K265" s="3012" t="s">
        <v>3127</v>
      </c>
      <c r="L265" s="3004">
        <f ca="1">典型户型修正!R283</f>
        <v>9960</v>
      </c>
      <c r="M265" s="3004">
        <f ca="1">典型户型修正!S283</f>
        <v>52</v>
      </c>
    </row>
    <row r="266" spans="1:13" ht="30.75" customHeight="1">
      <c r="A266" s="3012">
        <v>261</v>
      </c>
      <c r="B266" s="3007" t="s">
        <v>3765</v>
      </c>
      <c r="C266" s="3007" t="s">
        <v>4546</v>
      </c>
      <c r="D266" s="3007" t="s">
        <v>4621</v>
      </c>
      <c r="E266" s="3010">
        <v>52.17</v>
      </c>
      <c r="F266" s="3010">
        <f>'数据-基础表'!E273</f>
        <v>2.74</v>
      </c>
      <c r="G266" s="3008" t="s">
        <v>3054</v>
      </c>
      <c r="H266" s="3009" t="s">
        <v>27</v>
      </c>
      <c r="I266" s="3006" t="s">
        <v>4547</v>
      </c>
      <c r="J266" s="3006" t="s">
        <v>4548</v>
      </c>
      <c r="K266" s="3012" t="s">
        <v>3127</v>
      </c>
      <c r="L266" s="3004">
        <f ca="1">典型户型修正!R284</f>
        <v>9960</v>
      </c>
      <c r="M266" s="3004">
        <f ca="1">典型户型修正!S284</f>
        <v>52</v>
      </c>
    </row>
    <row r="267" spans="1:13" ht="30.75" customHeight="1">
      <c r="A267" s="3012">
        <v>262</v>
      </c>
      <c r="B267" s="3007" t="s">
        <v>3765</v>
      </c>
      <c r="C267" s="3007" t="s">
        <v>4549</v>
      </c>
      <c r="D267" s="3007" t="s">
        <v>4621</v>
      </c>
      <c r="E267" s="3010">
        <v>52.17</v>
      </c>
      <c r="F267" s="3010">
        <f>'数据-基础表'!E274</f>
        <v>2.74</v>
      </c>
      <c r="G267" s="3008" t="s">
        <v>3054</v>
      </c>
      <c r="H267" s="3009" t="s">
        <v>27</v>
      </c>
      <c r="I267" s="3006" t="s">
        <v>4550</v>
      </c>
      <c r="J267" s="3006" t="s">
        <v>4551</v>
      </c>
      <c r="K267" s="3012" t="s">
        <v>3127</v>
      </c>
      <c r="L267" s="3004">
        <f ca="1">典型户型修正!R285</f>
        <v>9960</v>
      </c>
      <c r="M267" s="3004">
        <f ca="1">典型户型修正!S285</f>
        <v>52</v>
      </c>
    </row>
    <row r="268" spans="1:13" ht="30.75" customHeight="1">
      <c r="A268" s="3012">
        <v>263</v>
      </c>
      <c r="B268" s="3007" t="s">
        <v>3765</v>
      </c>
      <c r="C268" s="3007" t="s">
        <v>4552</v>
      </c>
      <c r="D268" s="3007" t="s">
        <v>4621</v>
      </c>
      <c r="E268" s="3010">
        <v>80.73</v>
      </c>
      <c r="F268" s="3010">
        <f>'数据-基础表'!E275</f>
        <v>4.24</v>
      </c>
      <c r="G268" s="3008" t="s">
        <v>3054</v>
      </c>
      <c r="H268" s="3009" t="s">
        <v>27</v>
      </c>
      <c r="I268" s="3006" t="s">
        <v>4553</v>
      </c>
      <c r="J268" s="3006" t="s">
        <v>4554</v>
      </c>
      <c r="K268" s="3012" t="s">
        <v>3127</v>
      </c>
      <c r="L268" s="3004">
        <f ca="1">典型户型修正!R286</f>
        <v>9861</v>
      </c>
      <c r="M268" s="3004">
        <f ca="1">典型户型修正!S286</f>
        <v>80</v>
      </c>
    </row>
    <row r="269" spans="1:13" ht="30.75" customHeight="1">
      <c r="A269" s="3012">
        <v>264</v>
      </c>
      <c r="B269" s="3007" t="s">
        <v>3765</v>
      </c>
      <c r="C269" s="3007" t="s">
        <v>4555</v>
      </c>
      <c r="D269" s="3007" t="s">
        <v>4621</v>
      </c>
      <c r="E269" s="3010">
        <v>67.36</v>
      </c>
      <c r="F269" s="3010">
        <f>'数据-基础表'!E276</f>
        <v>3.54</v>
      </c>
      <c r="G269" s="3008" t="s">
        <v>3054</v>
      </c>
      <c r="H269" s="3009" t="s">
        <v>27</v>
      </c>
      <c r="I269" s="3006" t="s">
        <v>4556</v>
      </c>
      <c r="J269" s="3006" t="s">
        <v>4557</v>
      </c>
      <c r="K269" s="3012" t="s">
        <v>3127</v>
      </c>
      <c r="L269" s="3004">
        <f ca="1">典型户型修正!R287</f>
        <v>9861</v>
      </c>
      <c r="M269" s="3004">
        <f ca="1">典型户型修正!S287</f>
        <v>66</v>
      </c>
    </row>
    <row r="270" spans="1:13" ht="30.75" customHeight="1">
      <c r="A270" s="3012">
        <v>265</v>
      </c>
      <c r="B270" s="3007" t="s">
        <v>3765</v>
      </c>
      <c r="C270" s="3007" t="s">
        <v>4558</v>
      </c>
      <c r="D270" s="3007" t="s">
        <v>4621</v>
      </c>
      <c r="E270" s="3010">
        <v>67.36</v>
      </c>
      <c r="F270" s="3010">
        <f>'数据-基础表'!E277</f>
        <v>3.54</v>
      </c>
      <c r="G270" s="3008" t="s">
        <v>3054</v>
      </c>
      <c r="H270" s="3009" t="s">
        <v>27</v>
      </c>
      <c r="I270" s="3006" t="s">
        <v>4559</v>
      </c>
      <c r="J270" s="3006" t="s">
        <v>4560</v>
      </c>
      <c r="K270" s="3012" t="s">
        <v>3127</v>
      </c>
      <c r="L270" s="3004">
        <f ca="1">典型户型修正!R288</f>
        <v>9861</v>
      </c>
      <c r="M270" s="3004">
        <f ca="1">典型户型修正!S288</f>
        <v>66</v>
      </c>
    </row>
    <row r="271" spans="1:13" ht="30.75" customHeight="1">
      <c r="A271" s="3012">
        <v>266</v>
      </c>
      <c r="B271" s="3007" t="s">
        <v>3765</v>
      </c>
      <c r="C271" s="3007" t="s">
        <v>4561</v>
      </c>
      <c r="D271" s="3007" t="s">
        <v>4621</v>
      </c>
      <c r="E271" s="3010">
        <v>80.73</v>
      </c>
      <c r="F271" s="3010">
        <f>'数据-基础表'!E278</f>
        <v>4.24</v>
      </c>
      <c r="G271" s="3008" t="s">
        <v>3054</v>
      </c>
      <c r="H271" s="3009" t="s">
        <v>27</v>
      </c>
      <c r="I271" s="3006" t="s">
        <v>4562</v>
      </c>
      <c r="J271" s="3006" t="s">
        <v>4563</v>
      </c>
      <c r="K271" s="3012" t="s">
        <v>3127</v>
      </c>
      <c r="L271" s="3004">
        <f ca="1">典型户型修正!R289</f>
        <v>9861</v>
      </c>
      <c r="M271" s="3004">
        <f ca="1">典型户型修正!S289</f>
        <v>80</v>
      </c>
    </row>
    <row r="272" spans="1:13" ht="30.75" customHeight="1">
      <c r="A272" s="3012">
        <v>267</v>
      </c>
      <c r="B272" s="3007" t="s">
        <v>3765</v>
      </c>
      <c r="C272" s="3007" t="s">
        <v>4564</v>
      </c>
      <c r="D272" s="3007" t="s">
        <v>4621</v>
      </c>
      <c r="E272" s="3010">
        <v>52.17</v>
      </c>
      <c r="F272" s="3010">
        <f>'数据-基础表'!E279</f>
        <v>2.74</v>
      </c>
      <c r="G272" s="3008" t="s">
        <v>3054</v>
      </c>
      <c r="H272" s="3009" t="s">
        <v>27</v>
      </c>
      <c r="I272" s="3006" t="s">
        <v>4565</v>
      </c>
      <c r="J272" s="3006" t="s">
        <v>4566</v>
      </c>
      <c r="K272" s="3012" t="s">
        <v>3127</v>
      </c>
      <c r="L272" s="3004">
        <f ca="1">典型户型修正!R290</f>
        <v>9960</v>
      </c>
      <c r="M272" s="3004">
        <f ca="1">典型户型修正!S290</f>
        <v>52</v>
      </c>
    </row>
    <row r="273" spans="1:13" ht="30.75" customHeight="1">
      <c r="A273" s="3012">
        <v>268</v>
      </c>
      <c r="B273" s="3007" t="s">
        <v>3765</v>
      </c>
      <c r="C273" s="3007" t="s">
        <v>4567</v>
      </c>
      <c r="D273" s="3007" t="s">
        <v>4621</v>
      </c>
      <c r="E273" s="3010">
        <v>52.17</v>
      </c>
      <c r="F273" s="3010">
        <f>'数据-基础表'!E280</f>
        <v>2.74</v>
      </c>
      <c r="G273" s="3008" t="s">
        <v>3054</v>
      </c>
      <c r="H273" s="3009" t="s">
        <v>27</v>
      </c>
      <c r="I273" s="3006" t="s">
        <v>4568</v>
      </c>
      <c r="J273" s="3006" t="s">
        <v>4569</v>
      </c>
      <c r="K273" s="3012" t="s">
        <v>3127</v>
      </c>
      <c r="L273" s="3004">
        <f ca="1">典型户型修正!R291</f>
        <v>9960</v>
      </c>
      <c r="M273" s="3004">
        <f ca="1">典型户型修正!S291</f>
        <v>52</v>
      </c>
    </row>
    <row r="274" spans="1:13" ht="30.75" customHeight="1">
      <c r="A274" s="3012">
        <v>269</v>
      </c>
      <c r="B274" s="3007" t="s">
        <v>3765</v>
      </c>
      <c r="C274" s="3007" t="s">
        <v>4570</v>
      </c>
      <c r="D274" s="3007" t="s">
        <v>4621</v>
      </c>
      <c r="E274" s="3010">
        <v>52.17</v>
      </c>
      <c r="F274" s="3010">
        <f>'数据-基础表'!E281</f>
        <v>2.74</v>
      </c>
      <c r="G274" s="3008" t="s">
        <v>3054</v>
      </c>
      <c r="H274" s="3009" t="s">
        <v>27</v>
      </c>
      <c r="I274" s="3006" t="s">
        <v>4571</v>
      </c>
      <c r="J274" s="3006" t="s">
        <v>4572</v>
      </c>
      <c r="K274" s="3012" t="s">
        <v>3127</v>
      </c>
      <c r="L274" s="3004">
        <f ca="1">典型户型修正!R292</f>
        <v>9960</v>
      </c>
      <c r="M274" s="3004">
        <f ca="1">典型户型修正!S292</f>
        <v>52</v>
      </c>
    </row>
    <row r="275" spans="1:13" ht="30.75" customHeight="1">
      <c r="A275" s="3012">
        <v>270</v>
      </c>
      <c r="B275" s="3007" t="s">
        <v>3765</v>
      </c>
      <c r="C275" s="3007" t="s">
        <v>4573</v>
      </c>
      <c r="D275" s="3007" t="s">
        <v>4621</v>
      </c>
      <c r="E275" s="3010">
        <v>52.17</v>
      </c>
      <c r="F275" s="3010">
        <f>'数据-基础表'!E282</f>
        <v>2.74</v>
      </c>
      <c r="G275" s="3008" t="s">
        <v>3054</v>
      </c>
      <c r="H275" s="3009" t="s">
        <v>27</v>
      </c>
      <c r="I275" s="3006" t="s">
        <v>4574</v>
      </c>
      <c r="J275" s="3006" t="s">
        <v>4575</v>
      </c>
      <c r="K275" s="3012" t="s">
        <v>3127</v>
      </c>
      <c r="L275" s="3004">
        <f ca="1">典型户型修正!R293</f>
        <v>9960</v>
      </c>
      <c r="M275" s="3004">
        <f ca="1">典型户型修正!S293</f>
        <v>52</v>
      </c>
    </row>
    <row r="276" spans="1:13" ht="30.75" customHeight="1">
      <c r="A276" s="3012">
        <v>271</v>
      </c>
      <c r="B276" s="3007" t="s">
        <v>3765</v>
      </c>
      <c r="C276" s="3007" t="s">
        <v>4576</v>
      </c>
      <c r="D276" s="3007" t="s">
        <v>4621</v>
      </c>
      <c r="E276" s="3010">
        <v>52.17</v>
      </c>
      <c r="F276" s="3010">
        <f>'数据-基础表'!E283</f>
        <v>2.74</v>
      </c>
      <c r="G276" s="3008" t="s">
        <v>3054</v>
      </c>
      <c r="H276" s="3009" t="s">
        <v>27</v>
      </c>
      <c r="I276" s="3006" t="s">
        <v>4577</v>
      </c>
      <c r="J276" s="3006" t="s">
        <v>4578</v>
      </c>
      <c r="K276" s="3012" t="s">
        <v>3127</v>
      </c>
      <c r="L276" s="3004">
        <f ca="1">典型户型修正!R294</f>
        <v>9960</v>
      </c>
      <c r="M276" s="3004">
        <f ca="1">典型户型修正!S294</f>
        <v>52</v>
      </c>
    </row>
    <row r="277" spans="1:13" ht="30.75" customHeight="1">
      <c r="A277" s="3012">
        <v>272</v>
      </c>
      <c r="B277" s="3007" t="s">
        <v>3765</v>
      </c>
      <c r="C277" s="3007" t="s">
        <v>4579</v>
      </c>
      <c r="D277" s="3007" t="s">
        <v>4621</v>
      </c>
      <c r="E277" s="3010">
        <v>52.17</v>
      </c>
      <c r="F277" s="3010">
        <f>'数据-基础表'!E284</f>
        <v>2.74</v>
      </c>
      <c r="G277" s="3008" t="s">
        <v>3054</v>
      </c>
      <c r="H277" s="3009" t="s">
        <v>27</v>
      </c>
      <c r="I277" s="3006" t="s">
        <v>4580</v>
      </c>
      <c r="J277" s="3006" t="s">
        <v>4581</v>
      </c>
      <c r="K277" s="3012" t="s">
        <v>3127</v>
      </c>
      <c r="L277" s="3004">
        <f ca="1">典型户型修正!R295</f>
        <v>9960</v>
      </c>
      <c r="M277" s="3004">
        <f ca="1">典型户型修正!S295</f>
        <v>52</v>
      </c>
    </row>
    <row r="278" spans="1:13" ht="30.75" customHeight="1">
      <c r="A278" s="3012">
        <v>273</v>
      </c>
      <c r="B278" s="3007" t="s">
        <v>3765</v>
      </c>
      <c r="C278" s="3007" t="s">
        <v>4582</v>
      </c>
      <c r="D278" s="3007" t="s">
        <v>4621</v>
      </c>
      <c r="E278" s="3010">
        <v>52.17</v>
      </c>
      <c r="F278" s="3010">
        <f>'数据-基础表'!E285</f>
        <v>2.74</v>
      </c>
      <c r="G278" s="3008" t="s">
        <v>3054</v>
      </c>
      <c r="H278" s="3009" t="s">
        <v>27</v>
      </c>
      <c r="I278" s="3006" t="s">
        <v>4583</v>
      </c>
      <c r="J278" s="3006" t="s">
        <v>4584</v>
      </c>
      <c r="K278" s="3012" t="s">
        <v>3127</v>
      </c>
      <c r="L278" s="3004">
        <f ca="1">典型户型修正!R296</f>
        <v>9960</v>
      </c>
      <c r="M278" s="3004">
        <f ca="1">典型户型修正!S296</f>
        <v>52</v>
      </c>
    </row>
    <row r="279" spans="1:13" ht="30.75" customHeight="1">
      <c r="A279" s="3012">
        <v>274</v>
      </c>
      <c r="B279" s="3007" t="s">
        <v>3765</v>
      </c>
      <c r="C279" s="3007" t="s">
        <v>4585</v>
      </c>
      <c r="D279" s="3007" t="s">
        <v>4621</v>
      </c>
      <c r="E279" s="3010">
        <v>52.17</v>
      </c>
      <c r="F279" s="3010">
        <f>'数据-基础表'!E286</f>
        <v>2.74</v>
      </c>
      <c r="G279" s="3008" t="s">
        <v>3054</v>
      </c>
      <c r="H279" s="3009" t="s">
        <v>27</v>
      </c>
      <c r="I279" s="3006" t="s">
        <v>4586</v>
      </c>
      <c r="J279" s="3006" t="s">
        <v>4587</v>
      </c>
      <c r="K279" s="3012" t="s">
        <v>3127</v>
      </c>
      <c r="L279" s="3004">
        <f ca="1">典型户型修正!R297</f>
        <v>9960</v>
      </c>
      <c r="M279" s="3004">
        <f ca="1">典型户型修正!S297</f>
        <v>52</v>
      </c>
    </row>
    <row r="280" spans="1:13" ht="30.75" customHeight="1">
      <c r="A280" s="3012">
        <v>275</v>
      </c>
      <c r="B280" s="3007" t="s">
        <v>3765</v>
      </c>
      <c r="C280" s="3007" t="s">
        <v>4588</v>
      </c>
      <c r="D280" s="3007" t="s">
        <v>4621</v>
      </c>
      <c r="E280" s="3010">
        <v>52.17</v>
      </c>
      <c r="F280" s="3010">
        <f>'数据-基础表'!E287</f>
        <v>2.74</v>
      </c>
      <c r="G280" s="3008" t="s">
        <v>3054</v>
      </c>
      <c r="H280" s="3009" t="s">
        <v>27</v>
      </c>
      <c r="I280" s="3006" t="s">
        <v>4589</v>
      </c>
      <c r="J280" s="3006" t="s">
        <v>4590</v>
      </c>
      <c r="K280" s="3012" t="s">
        <v>3127</v>
      </c>
      <c r="L280" s="3004">
        <f ca="1">典型户型修正!R298</f>
        <v>9960</v>
      </c>
      <c r="M280" s="3004">
        <f ca="1">典型户型修正!S298</f>
        <v>52</v>
      </c>
    </row>
    <row r="281" spans="1:13" ht="30.75" customHeight="1">
      <c r="A281" s="3012">
        <v>276</v>
      </c>
      <c r="B281" s="3007" t="s">
        <v>3765</v>
      </c>
      <c r="C281" s="3007" t="s">
        <v>4591</v>
      </c>
      <c r="D281" s="3007" t="s">
        <v>4621</v>
      </c>
      <c r="E281" s="3010">
        <v>52.17</v>
      </c>
      <c r="F281" s="3010">
        <f>'数据-基础表'!E288</f>
        <v>2.74</v>
      </c>
      <c r="G281" s="3008" t="s">
        <v>3054</v>
      </c>
      <c r="H281" s="3009" t="s">
        <v>27</v>
      </c>
      <c r="I281" s="3006" t="s">
        <v>4592</v>
      </c>
      <c r="J281" s="3006" t="s">
        <v>4593</v>
      </c>
      <c r="K281" s="3012" t="s">
        <v>3127</v>
      </c>
      <c r="L281" s="3004">
        <f ca="1">典型户型修正!R299</f>
        <v>9960</v>
      </c>
      <c r="M281" s="3004">
        <f ca="1">典型户型修正!S299</f>
        <v>52</v>
      </c>
    </row>
    <row r="282" spans="1:13" ht="30.75" customHeight="1">
      <c r="A282" s="3012">
        <v>277</v>
      </c>
      <c r="B282" s="3007" t="s">
        <v>3765</v>
      </c>
      <c r="C282" s="3007" t="s">
        <v>4594</v>
      </c>
      <c r="D282" s="3007" t="s">
        <v>4621</v>
      </c>
      <c r="E282" s="3010">
        <v>80.73</v>
      </c>
      <c r="F282" s="3010">
        <f>'数据-基础表'!E289</f>
        <v>4.24</v>
      </c>
      <c r="G282" s="3008" t="s">
        <v>3054</v>
      </c>
      <c r="H282" s="3009" t="s">
        <v>27</v>
      </c>
      <c r="I282" s="3006" t="s">
        <v>4595</v>
      </c>
      <c r="J282" s="3006" t="s">
        <v>4596</v>
      </c>
      <c r="K282" s="3012" t="s">
        <v>3127</v>
      </c>
      <c r="L282" s="3004">
        <f ca="1">典型户型修正!R300</f>
        <v>9861</v>
      </c>
      <c r="M282" s="3004">
        <f ca="1">典型户型修正!S300</f>
        <v>80</v>
      </c>
    </row>
    <row r="283" spans="1:13" ht="30.75" customHeight="1">
      <c r="A283" s="3012">
        <v>278</v>
      </c>
      <c r="B283" s="3007" t="s">
        <v>3765</v>
      </c>
      <c r="C283" s="3007" t="s">
        <v>4597</v>
      </c>
      <c r="D283" s="3007" t="s">
        <v>4621</v>
      </c>
      <c r="E283" s="3010">
        <v>93.08</v>
      </c>
      <c r="F283" s="3010">
        <f>'数据-基础表'!E290</f>
        <v>4.8899999999999997</v>
      </c>
      <c r="G283" s="3008" t="s">
        <v>3054</v>
      </c>
      <c r="H283" s="3009" t="s">
        <v>27</v>
      </c>
      <c r="I283" s="3006" t="s">
        <v>4598</v>
      </c>
      <c r="J283" s="3006" t="s">
        <v>4599</v>
      </c>
      <c r="K283" s="3012" t="s">
        <v>3127</v>
      </c>
      <c r="L283" s="3004">
        <f ca="1">典型户型修正!R301</f>
        <v>9861</v>
      </c>
      <c r="M283" s="3004">
        <f ca="1">典型户型修正!S301</f>
        <v>92</v>
      </c>
    </row>
    <row r="284" spans="1:13" ht="30.75" customHeight="1">
      <c r="A284" s="3012">
        <v>279</v>
      </c>
      <c r="B284" s="3007" t="s">
        <v>3765</v>
      </c>
      <c r="C284" s="3007" t="s">
        <v>4600</v>
      </c>
      <c r="D284" s="3007" t="s">
        <v>4621</v>
      </c>
      <c r="E284" s="3010">
        <v>93.08</v>
      </c>
      <c r="F284" s="3010">
        <f>'数据-基础表'!E291</f>
        <v>4.8899999999999997</v>
      </c>
      <c r="G284" s="3008" t="s">
        <v>3054</v>
      </c>
      <c r="H284" s="3009" t="s">
        <v>27</v>
      </c>
      <c r="I284" s="3006" t="s">
        <v>4601</v>
      </c>
      <c r="J284" s="3006" t="s">
        <v>4602</v>
      </c>
      <c r="K284" s="3012" t="s">
        <v>3127</v>
      </c>
      <c r="L284" s="3004">
        <f ca="1">典型户型修正!R302</f>
        <v>9861</v>
      </c>
      <c r="M284" s="3004">
        <f ca="1">典型户型修正!S302</f>
        <v>92</v>
      </c>
    </row>
    <row r="285" spans="1:13" ht="30.75" customHeight="1">
      <c r="A285" s="3012">
        <v>280</v>
      </c>
      <c r="B285" s="3007" t="s">
        <v>3765</v>
      </c>
      <c r="C285" s="3007" t="s">
        <v>4603</v>
      </c>
      <c r="D285" s="3007" t="s">
        <v>4622</v>
      </c>
      <c r="E285" s="3010">
        <v>98.91</v>
      </c>
      <c r="F285" s="3010">
        <f>'数据-基础表'!E292</f>
        <v>5.2</v>
      </c>
      <c r="G285" s="3008" t="s">
        <v>3054</v>
      </c>
      <c r="H285" s="3009" t="s">
        <v>27</v>
      </c>
      <c r="I285" s="3006" t="s">
        <v>4604</v>
      </c>
      <c r="J285" s="3006" t="s">
        <v>4605</v>
      </c>
      <c r="K285" s="3012" t="s">
        <v>3127</v>
      </c>
      <c r="L285" s="3004">
        <f ca="1">典型户型修正!R303</f>
        <v>9668</v>
      </c>
      <c r="M285" s="3004">
        <f ca="1">典型户型修正!S303</f>
        <v>96</v>
      </c>
    </row>
    <row r="286" spans="1:13" ht="30.75" customHeight="1">
      <c r="A286" s="3012">
        <v>281</v>
      </c>
      <c r="B286" s="3007" t="s">
        <v>3765</v>
      </c>
      <c r="C286" s="3007" t="s">
        <v>4606</v>
      </c>
      <c r="D286" s="3007" t="s">
        <v>4616</v>
      </c>
      <c r="E286" s="3010">
        <v>52.17</v>
      </c>
      <c r="F286" s="3010">
        <f>'数据-基础表'!E293</f>
        <v>2.74</v>
      </c>
      <c r="G286" s="3008" t="s">
        <v>3054</v>
      </c>
      <c r="H286" s="3009" t="s">
        <v>27</v>
      </c>
      <c r="I286" s="3006" t="s">
        <v>4607</v>
      </c>
      <c r="J286" s="3006" t="s">
        <v>4608</v>
      </c>
      <c r="K286" s="3012" t="s">
        <v>3127</v>
      </c>
      <c r="L286" s="3004">
        <f ca="1">典型户型修正!R304</f>
        <v>9960</v>
      </c>
      <c r="M286" s="3004">
        <f ca="1">典型户型修正!S304</f>
        <v>52</v>
      </c>
    </row>
    <row r="287" spans="1:13">
      <c r="A287" s="3108" t="s">
        <v>4623</v>
      </c>
      <c r="B287" s="3109"/>
      <c r="C287" s="3109"/>
      <c r="D287" s="3110"/>
      <c r="E287" s="3011">
        <f>SUM(E6:E286)</f>
        <v>16960.349999999999</v>
      </c>
      <c r="F287" s="3011">
        <f>SUM(F6:F286)</f>
        <v>888.10000000000139</v>
      </c>
      <c r="G287" s="3108" t="s">
        <v>4624</v>
      </c>
      <c r="H287" s="3109"/>
      <c r="I287" s="3109"/>
      <c r="J287" s="3109"/>
      <c r="K287" s="3110"/>
      <c r="L287" s="3004"/>
      <c r="M287" s="3011">
        <f ca="1">SUM(M6:M286)</f>
        <v>16814</v>
      </c>
    </row>
    <row r="288" spans="1:13" ht="14.25">
      <c r="G288" s="3003"/>
    </row>
  </sheetData>
  <mergeCells count="18">
    <mergeCell ref="A1:K1"/>
    <mergeCell ref="A2:K2"/>
    <mergeCell ref="A3:K3"/>
    <mergeCell ref="H4:H5"/>
    <mergeCell ref="I4:I5"/>
    <mergeCell ref="K4:K5"/>
    <mergeCell ref="J4:J5"/>
    <mergeCell ref="A4:A5"/>
    <mergeCell ref="B4:B5"/>
    <mergeCell ref="C4:C5"/>
    <mergeCell ref="E4:E5"/>
    <mergeCell ref="G4:G5"/>
    <mergeCell ref="L4:L5"/>
    <mergeCell ref="M4:M5"/>
    <mergeCell ref="F4:F5"/>
    <mergeCell ref="D4:D5"/>
    <mergeCell ref="A287:D287"/>
    <mergeCell ref="G287:K287"/>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125" t="s">
        <v>1940</v>
      </c>
      <c r="B2" s="3125"/>
      <c r="C2" s="3125"/>
      <c r="D2" s="969" t="s">
        <v>1916</v>
      </c>
      <c r="E2" s="2229" t="s">
        <v>1917</v>
      </c>
      <c r="F2" s="1394"/>
      <c r="G2" s="2230"/>
      <c r="H2" s="2231"/>
      <c r="I2" s="2232" t="s">
        <v>1941</v>
      </c>
      <c r="J2" s="1394"/>
      <c r="K2" s="1394"/>
      <c r="L2" s="1394"/>
      <c r="M2" s="1394"/>
      <c r="N2" s="1429"/>
      <c r="O2" s="1394"/>
      <c r="P2" s="1394"/>
    </row>
    <row r="3" spans="1:16" ht="15.75" thickBot="1">
      <c r="A3" s="3126" t="s">
        <v>1914</v>
      </c>
      <c r="B3" s="3126"/>
      <c r="C3" s="3126"/>
      <c r="D3" s="45">
        <f>'数据-基础表'!AY6</f>
        <v>888.1</v>
      </c>
      <c r="E3" s="45">
        <f>'数据-基础表'!AZ5</f>
        <v>16960.349999999999</v>
      </c>
      <c r="F3" s="1394"/>
      <c r="G3" s="1401"/>
      <c r="H3" s="1249" t="s">
        <v>1915</v>
      </c>
      <c r="I3" s="54">
        <f>ROUND('数据-基础表'!B3/'数据-基础表'!A3,2)</f>
        <v>19.100000000000001</v>
      </c>
      <c r="J3" s="1394"/>
      <c r="K3" s="1394"/>
      <c r="L3" s="1394"/>
      <c r="M3" s="1394"/>
      <c r="N3" s="1429"/>
      <c r="O3" s="1394"/>
      <c r="P3" s="1394"/>
    </row>
    <row r="4" spans="1:16" ht="15">
      <c r="A4" s="3127"/>
      <c r="B4" s="3128"/>
      <c r="C4" s="3129"/>
      <c r="D4" s="2233" t="s">
        <v>1916</v>
      </c>
      <c r="E4" s="2234" t="s">
        <v>1917</v>
      </c>
      <c r="F4" s="1394"/>
      <c r="G4" s="2235" t="s">
        <v>1942</v>
      </c>
      <c r="H4" s="1249" t="s">
        <v>1922</v>
      </c>
      <c r="I4" s="54">
        <f>ROUND(SUMIF('数据-基础表'!I9:AS9,"地上",'数据-基础表'!I5:AS5)/'数据-基础表'!A3,2)</f>
        <v>19.100000000000001</v>
      </c>
      <c r="J4" s="1394"/>
      <c r="K4" s="1394"/>
      <c r="L4" s="1394"/>
      <c r="M4" s="1394"/>
      <c r="N4" s="1429"/>
      <c r="O4" s="1394"/>
      <c r="P4" s="1394"/>
    </row>
    <row r="5" spans="1:16">
      <c r="A5" s="46" t="s">
        <v>1918</v>
      </c>
      <c r="B5" s="3130" t="s">
        <v>1919</v>
      </c>
      <c r="C5" s="3130"/>
      <c r="D5" s="47">
        <f>ROUND($D$3*E5/$E$3,2)</f>
        <v>0</v>
      </c>
      <c r="E5" s="48">
        <f>SUMIF('数据-基础表'!$11:$11,"住宅",'数据-基础表'!$5:$5)</f>
        <v>0</v>
      </c>
      <c r="F5" s="1394"/>
      <c r="G5" s="1401"/>
      <c r="H5" s="1249" t="s">
        <v>1915</v>
      </c>
      <c r="I5" s="54">
        <f>ROUND(E31/D31,2)</f>
        <v>19.100000000000001</v>
      </c>
      <c r="J5" s="1394"/>
      <c r="K5" s="1394"/>
      <c r="L5" s="1394"/>
      <c r="M5" s="1394"/>
      <c r="N5" s="1394"/>
      <c r="O5" s="1394"/>
      <c r="P5" s="1394"/>
    </row>
    <row r="6" spans="1:16" ht="15" thickBot="1">
      <c r="A6" s="2236"/>
      <c r="B6" s="3130" t="s">
        <v>1920</v>
      </c>
      <c r="C6" s="3130"/>
      <c r="D6" s="47">
        <f>ROUND($D$3*E6/$E$3,2)</f>
        <v>888.1</v>
      </c>
      <c r="E6" s="48">
        <f>E3-E5</f>
        <v>16960.349999999999</v>
      </c>
      <c r="F6" s="1394"/>
      <c r="G6" s="2237" t="s">
        <v>1921</v>
      </c>
      <c r="H6" s="1401" t="s">
        <v>1922</v>
      </c>
      <c r="I6" s="941">
        <f>ROUND(F31/D31,2)</f>
        <v>19.100000000000001</v>
      </c>
      <c r="J6" s="1394"/>
      <c r="K6" s="1394"/>
      <c r="L6" s="1394"/>
      <c r="M6" s="1394"/>
      <c r="N6" s="1394"/>
      <c r="O6" s="1394"/>
      <c r="P6" s="1394"/>
    </row>
    <row r="7" spans="1:16" ht="15">
      <c r="A7" s="3122"/>
      <c r="B7" s="3123"/>
      <c r="C7" s="3124"/>
      <c r="D7" s="2233" t="s">
        <v>1916</v>
      </c>
      <c r="E7" s="2238" t="s">
        <v>1923</v>
      </c>
      <c r="F7" s="1394"/>
      <c r="G7" s="2230" t="s">
        <v>1924</v>
      </c>
      <c r="H7" s="63"/>
      <c r="I7" s="419">
        <v>2.91</v>
      </c>
      <c r="J7" s="1394"/>
      <c r="K7" s="1394"/>
      <c r="L7" s="1394"/>
      <c r="M7" s="1394"/>
      <c r="N7" s="1394"/>
      <c r="O7" s="1394"/>
      <c r="P7" s="1394"/>
    </row>
    <row r="8" spans="1:16">
      <c r="A8" s="46" t="s">
        <v>1925</v>
      </c>
      <c r="B8" s="49" t="s">
        <v>1926</v>
      </c>
      <c r="C8" s="47" t="s">
        <v>1927</v>
      </c>
      <c r="D8" s="47">
        <f t="shared" ref="D8:D15" si="0">ROUND($D$3*E8/$E$3,2)</f>
        <v>888.1</v>
      </c>
      <c r="E8" s="50">
        <f>SUMIF('数据-基础表'!BB10:BK10,"地上",'数据-基础表'!BB5:BK5)</f>
        <v>16960.349999999999</v>
      </c>
      <c r="F8" s="1394"/>
      <c r="G8" s="2239"/>
      <c r="H8" s="2239"/>
      <c r="I8" s="1394"/>
      <c r="J8" s="1394"/>
      <c r="K8" s="1394"/>
      <c r="L8" s="1394"/>
      <c r="M8" s="1394"/>
      <c r="N8" s="1394"/>
      <c r="O8" s="1394"/>
      <c r="P8" s="1394"/>
    </row>
    <row r="9" spans="1:16">
      <c r="A9" s="2240"/>
      <c r="B9" s="2241"/>
      <c r="C9" s="47" t="s">
        <v>1928</v>
      </c>
      <c r="D9" s="47">
        <f t="shared" si="0"/>
        <v>0</v>
      </c>
      <c r="E9" s="51">
        <v>0</v>
      </c>
      <c r="F9" s="1394"/>
      <c r="G9" s="2239"/>
      <c r="H9" s="2239"/>
      <c r="I9" s="1394"/>
      <c r="J9" s="1394"/>
      <c r="K9" s="1394"/>
      <c r="L9" s="1394"/>
      <c r="M9" s="1394"/>
      <c r="N9" s="1394"/>
      <c r="O9" s="1394"/>
      <c r="P9" s="1394"/>
    </row>
    <row r="10" spans="1:16">
      <c r="A10" s="2240"/>
      <c r="B10" s="2241"/>
      <c r="C10" s="47" t="s">
        <v>1937</v>
      </c>
      <c r="D10" s="47">
        <f t="shared" si="0"/>
        <v>0</v>
      </c>
      <c r="E10" s="50">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7" t="s">
        <v>1929</v>
      </c>
      <c r="D11" s="47">
        <f t="shared" si="0"/>
        <v>0</v>
      </c>
      <c r="E11" s="50">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7" t="s">
        <v>1930</v>
      </c>
      <c r="D12" s="47">
        <f t="shared" si="0"/>
        <v>0</v>
      </c>
      <c r="E12" s="50">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7" t="s">
        <v>1931</v>
      </c>
      <c r="D13" s="47">
        <f t="shared" si="0"/>
        <v>0</v>
      </c>
      <c r="E13" s="50">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7" t="s">
        <v>1943</v>
      </c>
      <c r="D14" s="47">
        <f t="shared" si="0"/>
        <v>0</v>
      </c>
      <c r="E14" s="50">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7" t="s">
        <v>1938</v>
      </c>
      <c r="D15" s="47">
        <f t="shared" si="0"/>
        <v>0</v>
      </c>
      <c r="E15" s="50">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49" t="s">
        <v>1932</v>
      </c>
      <c r="D16" s="49">
        <f>SUM(D8:D15)</f>
        <v>888.1</v>
      </c>
      <c r="E16" s="52">
        <f>SUM(E8:E15)</f>
        <v>16960.349999999999</v>
      </c>
      <c r="F16" s="1394"/>
      <c r="G16" s="2239"/>
      <c r="H16" s="2242" t="s">
        <v>1944</v>
      </c>
      <c r="I16" s="2243"/>
      <c r="J16" s="1394"/>
      <c r="K16" s="3119" t="s">
        <v>1944</v>
      </c>
      <c r="L16" s="3120"/>
      <c r="M16" s="3120"/>
      <c r="N16" s="3120"/>
      <c r="O16" s="3120"/>
      <c r="P16" s="3121"/>
    </row>
    <row r="17" spans="1:19" ht="15">
      <c r="A17" s="2244" t="s">
        <v>1945</v>
      </c>
      <c r="B17" s="2245" t="s">
        <v>1946</v>
      </c>
      <c r="C17" s="2246" t="s">
        <v>1947</v>
      </c>
      <c r="D17" s="2247" t="s">
        <v>1935</v>
      </c>
      <c r="E17" s="2248" t="s">
        <v>1936</v>
      </c>
      <c r="F17" s="2249"/>
      <c r="G17" s="2250"/>
      <c r="H17" s="2251" t="s">
        <v>1948</v>
      </c>
      <c r="I17" s="2252" t="s">
        <v>1933</v>
      </c>
      <c r="J17" s="1394"/>
      <c r="K17" s="3116" t="s">
        <v>1949</v>
      </c>
      <c r="L17" s="3117"/>
      <c r="M17" s="3118"/>
      <c r="N17" s="3116" t="s">
        <v>1950</v>
      </c>
      <c r="O17" s="3117"/>
      <c r="P17" s="3118"/>
      <c r="R17" s="2230" t="s">
        <v>1951</v>
      </c>
      <c r="S17" s="63"/>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49" t="s">
        <v>1934</v>
      </c>
      <c r="C19" s="2262" t="str">
        <f>办公清单!C6</f>
        <v>18层1801号</v>
      </c>
      <c r="D19" s="2984">
        <f>'数据-基础表'!E13</f>
        <v>4.24</v>
      </c>
      <c r="E19" s="55">
        <f t="shared" ref="E19:E26" si="1">SUM(F19:G19)</f>
        <v>80.73</v>
      </c>
      <c r="F19" s="56">
        <f>办公清单!E6</f>
        <v>80.73</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4.24</v>
      </c>
      <c r="S19" s="1250">
        <f t="shared" si="5"/>
        <v>80.73</v>
      </c>
    </row>
    <row r="20" spans="1:19">
      <c r="A20" s="2265"/>
      <c r="B20" s="49" t="s">
        <v>1962</v>
      </c>
      <c r="C20" s="2952" t="s">
        <v>3300</v>
      </c>
      <c r="D20" s="2984">
        <f>SUM(办公清单!F287-办公清单!F6)</f>
        <v>883.86000000000138</v>
      </c>
      <c r="E20" s="55">
        <f t="shared" si="1"/>
        <v>16879.62</v>
      </c>
      <c r="F20" s="56">
        <f>办公清单!E287-办公清单!E6</f>
        <v>16879.62</v>
      </c>
      <c r="G20" s="57"/>
      <c r="H20" s="722">
        <f t="shared" ref="H20:H26" si="6">ROUND($D$3*I20/$E$3,2)</f>
        <v>0</v>
      </c>
      <c r="I20" s="50">
        <f t="shared" si="2"/>
        <v>0</v>
      </c>
      <c r="J20" s="1394"/>
      <c r="K20" s="1393">
        <f t="shared" si="3"/>
        <v>0</v>
      </c>
      <c r="L20" s="1249">
        <f t="shared" si="4"/>
        <v>0</v>
      </c>
      <c r="M20" s="1405">
        <f t="shared" ref="M20:M26" si="7">K20+L20</f>
        <v>0</v>
      </c>
      <c r="N20" s="2263"/>
      <c r="O20" s="2264"/>
      <c r="P20" s="1405">
        <f t="shared" ref="P20:P26" si="8">N20+O20</f>
        <v>0</v>
      </c>
      <c r="R20" s="1249">
        <f t="shared" si="5"/>
        <v>883.86000000000138</v>
      </c>
      <c r="S20" s="1250">
        <f t="shared" si="5"/>
        <v>16879.62</v>
      </c>
    </row>
    <row r="21" spans="1:19" hidden="1">
      <c r="A21" s="2265"/>
      <c r="B21" s="49" t="s">
        <v>1962</v>
      </c>
      <c r="C21" s="2262"/>
      <c r="D21" s="2984">
        <f t="shared" ref="D21:D26" si="9">ROUND($D$3*E21/$E$3,2)</f>
        <v>0</v>
      </c>
      <c r="E21" s="55">
        <f t="shared" si="1"/>
        <v>0</v>
      </c>
      <c r="F21" s="56"/>
      <c r="G21" s="57"/>
      <c r="H21" s="722">
        <f t="shared" si="6"/>
        <v>0</v>
      </c>
      <c r="I21" s="50">
        <f t="shared" si="2"/>
        <v>0</v>
      </c>
      <c r="J21" s="1394"/>
      <c r="K21" s="1393">
        <f t="shared" si="3"/>
        <v>0</v>
      </c>
      <c r="L21" s="1249">
        <f t="shared" si="4"/>
        <v>0</v>
      </c>
      <c r="M21" s="1405">
        <f t="shared" si="7"/>
        <v>0</v>
      </c>
      <c r="N21" s="2263"/>
      <c r="O21" s="2264"/>
      <c r="P21" s="1405">
        <f t="shared" si="8"/>
        <v>0</v>
      </c>
      <c r="R21" s="1249">
        <f t="shared" si="5"/>
        <v>0</v>
      </c>
      <c r="S21" s="1250">
        <f t="shared" si="5"/>
        <v>0</v>
      </c>
    </row>
    <row r="22" spans="1:19" hidden="1">
      <c r="A22" s="2265"/>
      <c r="B22" s="49" t="s">
        <v>1962</v>
      </c>
      <c r="C22" s="59"/>
      <c r="D22" s="2984">
        <f t="shared" si="9"/>
        <v>0</v>
      </c>
      <c r="E22" s="55">
        <f t="shared" si="1"/>
        <v>0</v>
      </c>
      <c r="F22" s="60"/>
      <c r="G22" s="61"/>
      <c r="H22" s="722">
        <f t="shared" si="6"/>
        <v>0</v>
      </c>
      <c r="I22" s="50">
        <f t="shared" si="2"/>
        <v>0</v>
      </c>
      <c r="J22" s="1394"/>
      <c r="K22" s="1393">
        <f t="shared" si="3"/>
        <v>0</v>
      </c>
      <c r="L22" s="1249">
        <f t="shared" si="4"/>
        <v>0</v>
      </c>
      <c r="M22" s="1405">
        <f t="shared" si="7"/>
        <v>0</v>
      </c>
      <c r="N22" s="2263"/>
      <c r="O22" s="2264"/>
      <c r="P22" s="1405">
        <f t="shared" si="8"/>
        <v>0</v>
      </c>
      <c r="R22" s="1249">
        <f t="shared" si="5"/>
        <v>0</v>
      </c>
      <c r="S22" s="1250">
        <f t="shared" si="5"/>
        <v>0</v>
      </c>
    </row>
    <row r="23" spans="1:19" hidden="1">
      <c r="A23" s="2265"/>
      <c r="B23" s="49" t="s">
        <v>1962</v>
      </c>
      <c r="C23" s="59"/>
      <c r="D23" s="2984">
        <f>ROUND($D$3*E23/$E$3,2)</f>
        <v>0</v>
      </c>
      <c r="E23" s="55">
        <f>SUM(F23:G23)</f>
        <v>0</v>
      </c>
      <c r="F23" s="60"/>
      <c r="G23" s="61"/>
      <c r="H23" s="722">
        <f>ROUND($D$3*I23/$E$3,2)</f>
        <v>0</v>
      </c>
      <c r="I23" s="50">
        <f t="shared" si="2"/>
        <v>0</v>
      </c>
      <c r="J23" s="1394"/>
      <c r="K23" s="1393">
        <f t="shared" si="3"/>
        <v>0</v>
      </c>
      <c r="L23" s="1249">
        <f t="shared" si="4"/>
        <v>0</v>
      </c>
      <c r="M23" s="1405">
        <f t="shared" si="7"/>
        <v>0</v>
      </c>
      <c r="N23" s="2263"/>
      <c r="O23" s="2264"/>
      <c r="P23" s="1405">
        <f t="shared" si="8"/>
        <v>0</v>
      </c>
      <c r="R23" s="1249">
        <f t="shared" si="5"/>
        <v>0</v>
      </c>
      <c r="S23" s="1250">
        <f t="shared" si="5"/>
        <v>0</v>
      </c>
    </row>
    <row r="24" spans="1:19" hidden="1">
      <c r="A24" s="2265"/>
      <c r="B24" s="49" t="s">
        <v>1962</v>
      </c>
      <c r="C24" s="59"/>
      <c r="D24" s="2984">
        <f>ROUND($D$3*E24/$E$3,2)</f>
        <v>0</v>
      </c>
      <c r="E24" s="55">
        <f>SUM(F24:G24)</f>
        <v>0</v>
      </c>
      <c r="F24" s="60"/>
      <c r="G24" s="61"/>
      <c r="H24" s="722">
        <f>ROUND($D$3*I24/$E$3,2)</f>
        <v>0</v>
      </c>
      <c r="I24" s="50">
        <f t="shared" si="2"/>
        <v>0</v>
      </c>
      <c r="J24" s="1394"/>
      <c r="K24" s="1393">
        <f t="shared" si="3"/>
        <v>0</v>
      </c>
      <c r="L24" s="1249">
        <f t="shared" si="4"/>
        <v>0</v>
      </c>
      <c r="M24" s="1405">
        <f t="shared" si="7"/>
        <v>0</v>
      </c>
      <c r="N24" s="2263"/>
      <c r="O24" s="2264"/>
      <c r="P24" s="1405">
        <f t="shared" si="8"/>
        <v>0</v>
      </c>
      <c r="R24" s="1249">
        <f t="shared" si="5"/>
        <v>0</v>
      </c>
      <c r="S24" s="1250">
        <f t="shared" si="5"/>
        <v>0</v>
      </c>
    </row>
    <row r="25" spans="1:19" hidden="1">
      <c r="A25" s="2265"/>
      <c r="B25" s="49" t="s">
        <v>1962</v>
      </c>
      <c r="C25" s="59"/>
      <c r="D25" s="2984">
        <f t="shared" si="9"/>
        <v>0</v>
      </c>
      <c r="E25" s="55">
        <f t="shared" si="1"/>
        <v>0</v>
      </c>
      <c r="F25" s="60"/>
      <c r="G25" s="61"/>
      <c r="H25" s="46">
        <f t="shared" si="6"/>
        <v>0</v>
      </c>
      <c r="I25" s="50">
        <f t="shared" si="2"/>
        <v>0</v>
      </c>
      <c r="J25" s="1394"/>
      <c r="K25" s="1393">
        <f t="shared" si="3"/>
        <v>0</v>
      </c>
      <c r="L25" s="1249">
        <f t="shared" si="4"/>
        <v>0</v>
      </c>
      <c r="M25" s="1405">
        <f t="shared" si="7"/>
        <v>0</v>
      </c>
      <c r="N25" s="2263"/>
      <c r="O25" s="2264"/>
      <c r="P25" s="1405">
        <f t="shared" si="8"/>
        <v>0</v>
      </c>
      <c r="R25" s="1249">
        <f t="shared" si="5"/>
        <v>0</v>
      </c>
      <c r="S25" s="1250">
        <f t="shared" si="5"/>
        <v>0</v>
      </c>
    </row>
    <row r="26" spans="1:19" hidden="1">
      <c r="A26" s="2265"/>
      <c r="B26" s="49" t="s">
        <v>1962</v>
      </c>
      <c r="C26" s="62"/>
      <c r="D26" s="2984">
        <f t="shared" si="9"/>
        <v>0</v>
      </c>
      <c r="E26" s="55">
        <f t="shared" si="1"/>
        <v>0</v>
      </c>
      <c r="F26" s="60"/>
      <c r="G26" s="61"/>
      <c r="H26" s="46">
        <f t="shared" si="6"/>
        <v>0</v>
      </c>
      <c r="I26" s="50">
        <f t="shared" si="2"/>
        <v>0</v>
      </c>
      <c r="J26" s="1394"/>
      <c r="K26" s="1400">
        <f t="shared" si="3"/>
        <v>0</v>
      </c>
      <c r="L26" s="1401">
        <f t="shared" si="4"/>
        <v>0</v>
      </c>
      <c r="M26" s="66">
        <f t="shared" si="7"/>
        <v>0</v>
      </c>
      <c r="N26" s="2266"/>
      <c r="O26" s="2267"/>
      <c r="P26" s="66">
        <f t="shared" si="8"/>
        <v>0</v>
      </c>
      <c r="R26" s="1249">
        <f t="shared" si="5"/>
        <v>0</v>
      </c>
      <c r="S26" s="1250">
        <f t="shared" si="5"/>
        <v>0</v>
      </c>
    </row>
    <row r="27" spans="1:19" ht="43.5" thickBot="1">
      <c r="A27" s="2265"/>
      <c r="B27" s="47"/>
      <c r="C27" s="2268" t="s">
        <v>1963</v>
      </c>
      <c r="D27" s="1395">
        <f>SUM(D19:D26)</f>
        <v>888.10000000000139</v>
      </c>
      <c r="E27" s="1396">
        <f>IF(SUM(E19:E26)='数据-基础表'!BA5,SUM(E19:E26),IF(F27="地上面积有误","面积有误","地下面积有误"))</f>
        <v>16960.349999999999</v>
      </c>
      <c r="F27" s="1395">
        <f>IF(SUM(F19:F26)=E8,SUM(F19:F26),"地上面积有误")</f>
        <v>16960.349999999999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888.100000000001误差0</v>
      </c>
      <c r="S27" s="1249">
        <f>IF(SUM(S19:S26)=$E$3,SUM(S19:S26),SUM(S19:S26)&amp;"误差"&amp;ROUND(SUM(S19:S26)-E3,2))</f>
        <v>16960.349999999999</v>
      </c>
    </row>
    <row r="28" spans="1:19">
      <c r="A28" s="2265"/>
      <c r="B28" s="49" t="s">
        <v>1964</v>
      </c>
      <c r="C28" s="1261" t="s">
        <v>1965</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5"/>
      <c r="B29" s="49" t="s">
        <v>1964</v>
      </c>
      <c r="C29" s="2269" t="s">
        <v>1966</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5"/>
      <c r="B30" s="49"/>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888.10000000000139</v>
      </c>
      <c r="E31" s="728">
        <f>E27+E30</f>
        <v>16960.349999999999</v>
      </c>
      <c r="F31" s="729">
        <f>F27+F30</f>
        <v>16960.349999999999</v>
      </c>
      <c r="G31" s="730">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25" width="6.75" style="2277" customWidth="1"/>
    <col min="26" max="30" width="6.75" style="2277" hidden="1" customWidth="1"/>
    <col min="31" max="31" width="8" style="2277" customWidth="1"/>
    <col min="32" max="33" width="7.25" style="2277" customWidth="1"/>
    <col min="34" max="34" width="10.37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43214</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7"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3302</v>
      </c>
      <c r="O5" s="2298" t="s">
        <v>1990</v>
      </c>
      <c r="P5" s="2301" t="s">
        <v>1991</v>
      </c>
      <c r="Q5" s="68" t="s">
        <v>1992</v>
      </c>
      <c r="R5" s="2302" t="s">
        <v>1993</v>
      </c>
      <c r="S5" s="2303" t="s">
        <v>1994</v>
      </c>
      <c r="T5" s="2304" t="s">
        <v>1995</v>
      </c>
      <c r="U5" s="1269" t="s">
        <v>1996</v>
      </c>
      <c r="V5" s="1270" t="s">
        <v>1997</v>
      </c>
      <c r="W5" s="1270" t="s">
        <v>1998</v>
      </c>
      <c r="X5" s="70"/>
      <c r="Y5" s="69" t="s">
        <v>1999</v>
      </c>
      <c r="Z5" s="2305" t="s">
        <v>1996</v>
      </c>
      <c r="AA5" s="1270" t="s">
        <v>1997</v>
      </c>
      <c r="AB5" s="1270" t="s">
        <v>1998</v>
      </c>
      <c r="AC5" s="70"/>
      <c r="AD5" s="70" t="s">
        <v>1999</v>
      </c>
      <c r="AE5" s="1269" t="s">
        <v>2000</v>
      </c>
      <c r="AF5" s="1270" t="s">
        <v>2001</v>
      </c>
      <c r="AG5" s="69" t="s">
        <v>2002</v>
      </c>
      <c r="AH5" s="1269" t="s">
        <v>2003</v>
      </c>
      <c r="AI5" s="2305" t="s">
        <v>2004</v>
      </c>
      <c r="AJ5" s="2305" t="s">
        <v>2005</v>
      </c>
      <c r="AK5" s="1270" t="s">
        <v>2006</v>
      </c>
      <c r="AL5" s="1270" t="s">
        <v>2007</v>
      </c>
      <c r="AM5" s="69"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5">
      <c r="A6" s="2308" t="str">
        <f>'数据-汇总表'!C19</f>
        <v>18层1801号</v>
      </c>
      <c r="B6" s="2309" t="str">
        <f>IF(A6=0,"","经营性")</f>
        <v>经营性</v>
      </c>
      <c r="C6" s="2953" t="s">
        <v>3301</v>
      </c>
      <c r="D6" s="1053">
        <f>SUMIF(项目基本情况!D$12:I$12,C6,项目基本情况!D$14:I$14)</f>
        <v>40</v>
      </c>
      <c r="E6" s="1050">
        <f>IF(B6="","",SUMIF(项目基本情况!D$12:I$12,C6,项目基本情况!D$13:I$13))</f>
        <v>55683</v>
      </c>
      <c r="F6" s="71">
        <f>SUMIF(项目基本情况!D$12:I$12,C6,项目基本情况!D$15:I$15)</f>
        <v>34.159999999999997</v>
      </c>
      <c r="G6" s="72">
        <f>IF(ISERROR(ROUND(POWER(1+H6,D6-F6)*(POWER(1+H6,F6)-1)/(POWER(1+H6,D6)-1),3)),0,ROUND(POWER(1+H6,D6-F6)*(POWER(1+H6,F6)-1)/(POWER(1+H6,D6)-1),3))</f>
        <v>0.93899999999999995</v>
      </c>
      <c r="H6" s="801">
        <v>4.4999999999999998E-2</v>
      </c>
      <c r="I6" s="801">
        <v>0.05</v>
      </c>
      <c r="J6" s="73">
        <v>8.5000000000000006E-2</v>
      </c>
      <c r="K6" s="1253">
        <f>SUMIF('数据-汇总表'!C$19:C$33,A6,'数据-汇总表'!E$19:E$33)</f>
        <v>80.73</v>
      </c>
      <c r="L6" s="802">
        <v>2800</v>
      </c>
      <c r="M6" s="74">
        <f t="shared" ref="M6:M14" si="0">ROUND(K6*L6/10000,0)</f>
        <v>23</v>
      </c>
      <c r="N6" s="800">
        <f>ROUND(1-(2018-2016)/60,2)</f>
        <v>0.97</v>
      </c>
      <c r="O6" s="74" t="str">
        <f>IF($N$5="成新度","——",ROUND(M6*N6,0))</f>
        <v>——</v>
      </c>
      <c r="P6" s="75" t="str">
        <f>IF($N$5="成新度","——",M6-O6)</f>
        <v>——</v>
      </c>
      <c r="Q6" s="803">
        <v>0.1</v>
      </c>
      <c r="R6" s="76">
        <f ca="1">SUMIF('数据-汇总表'!C$19:C$33,A6,'数据-汇总表'!R$19:R$27)</f>
        <v>4.24</v>
      </c>
      <c r="S6" s="53">
        <f>IF('数据-汇总表'!$I$17="按面积比例",SUMIF('数据-汇总表'!C$19:C$33,A6,'数据-汇总表'!K$19:K$33),SUMIF('数据-汇总表'!C$19:C$33,A6,'数据-汇总表'!N$19:N$33))</f>
        <v>0</v>
      </c>
      <c r="T6" s="1445">
        <f>ROUND($L$14*S6/10000,0)</f>
        <v>0</v>
      </c>
      <c r="U6" s="2988">
        <v>1.8</v>
      </c>
      <c r="V6" s="78">
        <v>0.03</v>
      </c>
      <c r="W6" s="78">
        <v>0.1</v>
      </c>
      <c r="X6" s="1263"/>
      <c r="Y6" s="79">
        <f>N6</f>
        <v>0.97</v>
      </c>
      <c r="Z6" s="80"/>
      <c r="AA6" s="73"/>
      <c r="AB6" s="73"/>
      <c r="AC6" s="1263"/>
      <c r="AD6" s="81"/>
      <c r="AE6" s="1264">
        <f ca="1">IF(AN6="",0,SUMIF(INDIRECT("'"&amp;AN6&amp;"'"&amp;"!E:E"),$AE$5,INDIRECT("'"&amp;AN6&amp;"'"&amp;"!F:F")))</f>
        <v>34.159999999999997</v>
      </c>
      <c r="AF6" s="1806"/>
      <c r="AG6" s="146">
        <f>IF(AF6="",0,AE6-AF6)</f>
        <v>0</v>
      </c>
      <c r="AH6" s="2954">
        <f>K6</f>
        <v>80.73</v>
      </c>
      <c r="AI6" s="84">
        <v>365</v>
      </c>
      <c r="AJ6" s="85"/>
      <c r="AK6" s="86">
        <v>0.02</v>
      </c>
      <c r="AL6" s="87">
        <v>2E-3</v>
      </c>
      <c r="AM6" s="88">
        <v>0.03</v>
      </c>
      <c r="AN6" s="2311" t="s">
        <v>3303</v>
      </c>
      <c r="AO6" s="54">
        <f ca="1">SUMIF(INDIRECT("'"&amp;AN6&amp;"'"&amp;"!A:A"),"总价",INDIRECT("'"&amp;AN6&amp;"'"&amp;"!B:B"))</f>
        <v>75</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5">
      <c r="A7" s="2308" t="str">
        <f>'数据-汇总表'!C20</f>
        <v>其余办公用房</v>
      </c>
      <c r="B7" s="2309" t="str">
        <f t="shared" ref="B7:B13" si="1">IF(A7=0,"","经营性")</f>
        <v>经营性</v>
      </c>
      <c r="C7" s="2953" t="s">
        <v>3301</v>
      </c>
      <c r="D7" s="1053">
        <f>SUMIF(项目基本情况!D$12:I$12,C7,项目基本情况!D$14:I$14)</f>
        <v>40</v>
      </c>
      <c r="E7" s="1050">
        <f>IF(B7="","",SUMIF(项目基本情况!D$12:I$12,C7,项目基本情况!D$13:I$13))</f>
        <v>55683</v>
      </c>
      <c r="F7" s="71">
        <f>SUMIF(项目基本情况!D$12:I$12,C7,项目基本情况!D$15:I$15)</f>
        <v>34.159999999999997</v>
      </c>
      <c r="G7" s="72">
        <f t="shared" ref="G7:G11" si="2">IF(ISERROR(ROUND(POWER(1+H7,D7-F7)*(POWER(1+H7,F7)-1)/(POWER(1+H7,D7)-1),3)),0,ROUND(POWER(1+H7,D7-F7)*(POWER(1+H7,F7)-1)/(POWER(1+H7,D7)-1),3))</f>
        <v>0.93899999999999995</v>
      </c>
      <c r="H7" s="801">
        <v>4.4999999999999998E-2</v>
      </c>
      <c r="I7" s="801">
        <v>0.05</v>
      </c>
      <c r="J7" s="73">
        <v>8.5000000000000006E-2</v>
      </c>
      <c r="K7" s="1253">
        <f>SUMIF('数据-汇总表'!C$19:C$33,A7,'数据-汇总表'!E$19:E$33)</f>
        <v>16879.62</v>
      </c>
      <c r="L7" s="802">
        <v>2800</v>
      </c>
      <c r="M7" s="74">
        <f t="shared" si="0"/>
        <v>4726</v>
      </c>
      <c r="N7" s="800">
        <f>N6</f>
        <v>0.97</v>
      </c>
      <c r="O7" s="74" t="str">
        <f t="shared" ref="O7:O14" si="3">IF($N$5="成新度","——",ROUND(M7*N7,0))</f>
        <v>——</v>
      </c>
      <c r="P7" s="75" t="str">
        <f t="shared" ref="P7:P14" si="4">IF($N$5="成新度","——",M7-O7)</f>
        <v>——</v>
      </c>
      <c r="Q7" s="803">
        <v>0.1</v>
      </c>
      <c r="R7" s="76">
        <f ca="1">SUMIF('数据-汇总表'!C$19:C$33,A7,'数据-汇总表'!R$19:R$27)</f>
        <v>883.86000000000138</v>
      </c>
      <c r="S7" s="53">
        <f>IF('数据-汇总表'!$I$17="按面积比例",SUMIF('数据-汇总表'!C$19:C$33,A7,'数据-汇总表'!K$19:K$33),SUMIF('数据-汇总表'!C$19:C$33,A7,'数据-汇总表'!N$19:N$33))</f>
        <v>0</v>
      </c>
      <c r="T7" s="1445">
        <f t="shared" ref="T7:T13" si="5">ROUND($L$14*S7/10000,0)</f>
        <v>0</v>
      </c>
      <c r="U7" s="2988">
        <v>1.8</v>
      </c>
      <c r="V7" s="78">
        <v>0.03</v>
      </c>
      <c r="W7" s="78">
        <v>0.1</v>
      </c>
      <c r="X7" s="1263"/>
      <c r="Y7" s="79">
        <f>N7</f>
        <v>0.97</v>
      </c>
      <c r="Z7" s="80"/>
      <c r="AA7" s="73"/>
      <c r="AB7" s="73"/>
      <c r="AC7" s="1263"/>
      <c r="AD7" s="81"/>
      <c r="AE7" s="1264">
        <f t="shared" ref="AE7:AE13" ca="1" si="6">IF(AN7="",0,SUMIF(INDIRECT("'"&amp;AN7&amp;"'"&amp;"!E:E"),$AE$5,INDIRECT("'"&amp;AN7&amp;"'"&amp;"!F:F")))</f>
        <v>0</v>
      </c>
      <c r="AF7" s="1806"/>
      <c r="AG7" s="146">
        <f t="shared" ref="AG7:AG13" si="7">IF(AF7="",0,AE7-AF7)</f>
        <v>0</v>
      </c>
      <c r="AH7" s="2954">
        <f>K7</f>
        <v>16879.62</v>
      </c>
      <c r="AI7" s="84">
        <v>365</v>
      </c>
      <c r="AJ7" s="85"/>
      <c r="AK7" s="86">
        <v>0.02</v>
      </c>
      <c r="AL7" s="87">
        <v>2E-3</v>
      </c>
      <c r="AM7" s="88">
        <v>0.03</v>
      </c>
      <c r="AN7" s="2311"/>
      <c r="AO7" s="54" t="e">
        <f t="shared" ref="AO7:AO13" ca="1" si="8">SUMIF(INDIRECT("'"&amp;AN7&amp;"'"&amp;"!A:A"),"总价",INDIRECT("'"&amp;AN7&amp;"'"&amp;"!B:B"))</f>
        <v>#REF!</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hidden="1">
      <c r="A8" s="2308">
        <f>'数据-汇总表'!C21</f>
        <v>0</v>
      </c>
      <c r="B8" s="2309" t="str">
        <f t="shared" si="1"/>
        <v/>
      </c>
      <c r="C8" s="2310"/>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11"/>
      <c r="AO8" s="54" t="e">
        <f t="shared" ca="1" si="8"/>
        <v>#REF!</v>
      </c>
      <c r="AP8" s="2312">
        <f t="shared" si="9"/>
        <v>0</v>
      </c>
      <c r="AQ8" s="54">
        <f t="shared" si="10"/>
        <v>0</v>
      </c>
      <c r="AR8" s="54">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hidden="1">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hidden="1">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hidden="1">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hidden="1">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hidden="1">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6"/>
      <c r="C16" s="1007"/>
      <c r="D16" s="2316"/>
      <c r="E16" s="96"/>
      <c r="F16" s="96"/>
      <c r="G16" s="97">
        <f>ROUND(SUMPRODUCT(G6:G13,K6:K13)/SUMPRODUCT((G6:G13&gt;0)*(K6:K13)),3)</f>
        <v>0.93899999999999995</v>
      </c>
      <c r="H16" s="98">
        <f>ROUND(SUMPRODUCT(H6:H13,K6:K13)/SUMPRODUCT((H6:H13&gt;0)*(K6:K13)),3)</f>
        <v>4.4999999999999998E-2</v>
      </c>
      <c r="I16" s="99"/>
      <c r="J16" s="99"/>
      <c r="K16" s="100">
        <f>SUM(K6:K15)</f>
        <v>16960.349999999999</v>
      </c>
      <c r="L16" s="101">
        <f>ROUND(M16*10000/SUM(K6:K14),0)</f>
        <v>2800</v>
      </c>
      <c r="M16" s="101">
        <f>SUM(M6:M14)</f>
        <v>4749</v>
      </c>
      <c r="N16" s="102">
        <f>ROUND(SUMPRODUCT(M6:M14,N6:N14)/M16,3)</f>
        <v>0.97</v>
      </c>
      <c r="O16" s="101">
        <f>SUM(O6:O14)</f>
        <v>0</v>
      </c>
      <c r="P16" s="101">
        <f>SUM(P6:P14)</f>
        <v>0</v>
      </c>
      <c r="Q16" s="103">
        <f>ROUND(SUMPRODUCT(Q6:Q13,K6:K13)/SUMPRODUCT((Q6:Q13&gt;0)*(K6:K13)),2)</f>
        <v>0.1</v>
      </c>
      <c r="R16" s="1257">
        <f ca="1">SUM(R6:R13)</f>
        <v>888.10000000000139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2019</v>
      </c>
      <c r="B18" s="2282"/>
      <c r="C18" s="2279"/>
      <c r="D18" s="2280"/>
      <c r="E18" s="2279"/>
      <c r="F18" s="2279"/>
      <c r="G18" s="2279"/>
      <c r="H18" s="2279"/>
      <c r="I18" s="2279"/>
      <c r="J18" s="2279"/>
      <c r="K18" s="3131" t="s">
        <v>3304</v>
      </c>
      <c r="L18" s="3132" t="s">
        <v>3305</v>
      </c>
      <c r="M18" s="3133"/>
      <c r="N18" s="3134"/>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1">
        <v>0</v>
      </c>
      <c r="C19" s="2279" t="s">
        <v>2021</v>
      </c>
      <c r="D19" s="2280"/>
      <c r="E19" s="2279"/>
      <c r="F19" s="2279"/>
      <c r="G19" s="2279"/>
      <c r="H19" s="2279"/>
      <c r="I19" s="2279"/>
      <c r="J19" s="2279"/>
      <c r="K19" s="3131"/>
      <c r="L19" s="2955" t="s">
        <v>3306</v>
      </c>
      <c r="M19" s="2956" t="s">
        <v>3307</v>
      </c>
      <c r="N19" s="2957" t="s">
        <v>3308</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2">
        <v>2</v>
      </c>
      <c r="C20" s="2279" t="s">
        <v>2023</v>
      </c>
      <c r="D20" s="2280"/>
      <c r="E20" s="2279"/>
      <c r="F20" s="2279"/>
      <c r="G20" s="2279"/>
      <c r="H20" s="2279"/>
      <c r="I20" s="2279"/>
      <c r="J20" s="2279"/>
      <c r="K20" s="2958" t="s">
        <v>3309</v>
      </c>
      <c r="L20" s="2959">
        <v>0</v>
      </c>
      <c r="M20" s="2960">
        <v>1620</v>
      </c>
      <c r="N20" s="2961">
        <v>1750</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2">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3">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4">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5">
        <v>80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8">
        <v>160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0"/>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1">
        <v>0</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8">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2">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123">
        <v>1.4999999999999999E-2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1">
        <v>0.03</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16</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526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3"/>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3"/>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3"/>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3"/>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3"/>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3"/>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3">
        <v>16</v>
      </c>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3"/>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3"/>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mergeCells count="2">
    <mergeCell ref="K18:K19"/>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53',16);"/>
  </hyperlinks>
  <pageMargins left="0.7" right="0.7" top="0.75" bottom="0.75" header="0.3" footer="0.3"/>
  <pageSetup paperSize="9" scale="25" fitToHeight="0" orientation="portrait" r:id="rId2"/>
  <ignoredErrors>
    <ignoredError sqref="G16:H16" formulaRange="1"/>
  </ignoredError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5" t="s">
        <v>2085</v>
      </c>
      <c r="B1" s="3136"/>
      <c r="C1" s="3136"/>
      <c r="D1" s="3136"/>
      <c r="E1" s="3136"/>
      <c r="F1" s="3136"/>
      <c r="G1" s="313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1"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6"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7"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5" sqref="C35"/>
    </sheetView>
  </sheetViews>
  <sheetFormatPr defaultRowHeight="13.5"/>
  <cols>
    <col min="1" max="1" width="23.375" style="1740" customWidth="1"/>
    <col min="2" max="9" width="15.75" style="1740" customWidth="1"/>
    <col min="10" max="16384" width="9" style="1740"/>
  </cols>
  <sheetData>
    <row r="1" spans="1:10" ht="16.5">
      <c r="A1" s="1745" t="s">
        <v>1365</v>
      </c>
      <c r="B1" s="1745">
        <f>SUM(B14:B23)</f>
        <v>0</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43214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78</v>
      </c>
      <c r="C5" s="1745" t="e">
        <f ca="1">ROUND(B5*10000/$B$1,0)</f>
        <v>#DIV/0!</v>
      </c>
      <c r="D5" s="1745" t="e">
        <f ca="1">ROUND(B5*10000/$B$2,0)</f>
        <v>#DIV/0!</v>
      </c>
      <c r="E5" s="1744"/>
      <c r="F5" s="1742"/>
      <c r="G5" s="1742"/>
    </row>
    <row r="6" spans="1:10" ht="16.5">
      <c r="A6" s="1745" t="s">
        <v>1356</v>
      </c>
      <c r="B6" s="1745">
        <f ca="1">SUM(G14:G23)</f>
        <v>78</v>
      </c>
      <c r="C6" s="1745" t="e">
        <f ca="1">ROUND(B6*10000/$B$1,0)</f>
        <v>#DIV/0!</v>
      </c>
      <c r="D6" s="1745" t="e">
        <f ca="1">ROUND(B6*10000/$B$2,0)</f>
        <v>#DIV/0!</v>
      </c>
      <c r="E6" s="1744"/>
      <c r="F6" s="1742"/>
      <c r="G6" s="1742"/>
    </row>
    <row r="7" spans="1:10" ht="16.5">
      <c r="A7" s="1745" t="s">
        <v>1364</v>
      </c>
      <c r="B7" s="1745">
        <f>SUM(H14:H23)</f>
        <v>0</v>
      </c>
      <c r="C7" s="1745" t="e">
        <f>ROUND(B7*10000/$B$1,0)</f>
        <v>#DIV/0!</v>
      </c>
      <c r="D7" s="1745" t="e">
        <f>ROUND(B7*10000/$B$2,0)</f>
        <v>#DIV/0!</v>
      </c>
      <c r="E7" s="1744"/>
      <c r="F7" s="1742"/>
      <c r="G7" s="1742"/>
    </row>
    <row r="8" spans="1:10" ht="16.5">
      <c r="A8" s="1745" t="s">
        <v>1285</v>
      </c>
      <c r="B8" s="1745">
        <f>SUM(I14:I23)</f>
        <v>0</v>
      </c>
      <c r="C8" s="1745" t="e">
        <f>ROUND(B8*10000/$B$1,0)</f>
        <v>#DIV/0!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0</v>
      </c>
      <c r="C14" s="1743">
        <f>结果表!C118</f>
        <v>0</v>
      </c>
      <c r="D14" s="1743">
        <f ca="1">结果表!H118</f>
        <v>78</v>
      </c>
      <c r="E14" s="1743" t="e">
        <f ca="1">ROUND(D14*10000/B14,0)</f>
        <v>#DIV/0!</v>
      </c>
      <c r="F14" s="1743" t="e">
        <f ca="1">ROUND(D14*10000/C14,0)</f>
        <v>#DIV/0!</v>
      </c>
      <c r="G14" s="1743">
        <f ca="1">结果表!D122</f>
        <v>78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0" t="str">
        <f>项目基本情况!B1</f>
        <v>预评估</v>
      </c>
      <c r="C37" s="3020"/>
      <c r="D37" s="3020"/>
      <c r="E37" s="3020"/>
      <c r="F37" s="3020"/>
      <c r="G37" s="3020"/>
      <c r="H37" s="3020"/>
      <c r="I37" s="3020"/>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K27" sqref="K27"/>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2122</v>
      </c>
      <c r="B1" s="2421"/>
      <c r="C1" s="2422" t="s">
        <v>3294</v>
      </c>
      <c r="D1" s="2421"/>
      <c r="E1" s="2421"/>
      <c r="F1" s="2423" t="s">
        <v>2123</v>
      </c>
      <c r="G1" s="2073" t="s">
        <v>3341</v>
      </c>
      <c r="H1" s="2424" t="str">
        <f>IF(G1="现房","——","估价对象范围")</f>
        <v>——</v>
      </c>
      <c r="I1" s="2425" t="s">
        <v>3342</v>
      </c>
    </row>
    <row r="2" spans="1:12" ht="21.75" customHeight="1" thickBot="1">
      <c r="A2" s="3170" t="str">
        <f>项目基本情况!S2</f>
        <v>房地产</v>
      </c>
      <c r="B2" s="3171"/>
      <c r="C2" s="3171"/>
      <c r="D2" s="3171"/>
      <c r="E2" s="3171"/>
      <c r="F2" s="3171"/>
      <c r="G2" s="3171"/>
      <c r="H2" s="3171"/>
      <c r="I2" s="3172"/>
    </row>
    <row r="3" spans="1:12" ht="12.75">
      <c r="A3" s="3174" t="s">
        <v>2124</v>
      </c>
      <c r="B3" s="3175"/>
      <c r="C3" s="3175"/>
      <c r="D3" s="3175"/>
      <c r="E3" s="3175"/>
      <c r="F3" s="3175"/>
      <c r="G3" s="3175"/>
      <c r="H3" s="3175"/>
      <c r="I3" s="3175"/>
    </row>
    <row r="4" spans="1:12" ht="14.25">
      <c r="A4" s="2428" t="s">
        <v>2125</v>
      </c>
      <c r="B4" s="2429" t="s">
        <v>2126</v>
      </c>
      <c r="C4" s="2430" t="s">
        <v>3343</v>
      </c>
      <c r="D4" s="2430" t="s">
        <v>3303</v>
      </c>
      <c r="E4" s="3167" t="s">
        <v>2127</v>
      </c>
      <c r="F4" s="3168"/>
      <c r="G4" s="3168"/>
      <c r="H4" s="3168"/>
      <c r="I4" s="3176"/>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2128</v>
      </c>
      <c r="B5" s="3064">
        <v>25</v>
      </c>
      <c r="C5" s="3153"/>
      <c r="D5" s="3173"/>
      <c r="E5" s="139" t="s">
        <v>2129</v>
      </c>
      <c r="F5" s="2432"/>
      <c r="G5" s="2432"/>
      <c r="H5" s="2432"/>
      <c r="I5" s="1833"/>
    </row>
    <row r="6" spans="1:12" ht="12.75">
      <c r="A6" s="3150"/>
      <c r="B6" s="3064"/>
      <c r="C6" s="3154"/>
      <c r="D6" s="3173"/>
      <c r="E6" s="139" t="s">
        <v>2130</v>
      </c>
      <c r="F6" s="2432"/>
      <c r="G6" s="2432"/>
      <c r="H6" s="2432"/>
      <c r="I6" s="1833"/>
    </row>
    <row r="7" spans="1:12" ht="12.75">
      <c r="A7" s="3150"/>
      <c r="B7" s="3064"/>
      <c r="C7" s="3155"/>
      <c r="D7" s="3173"/>
      <c r="E7" s="139" t="s">
        <v>2131</v>
      </c>
      <c r="F7" s="2432"/>
      <c r="G7" s="2432"/>
      <c r="H7" s="2432"/>
      <c r="I7" s="1833"/>
    </row>
    <row r="8" spans="1:12" ht="12.75">
      <c r="A8" s="3150" t="s">
        <v>2132</v>
      </c>
      <c r="B8" s="3064">
        <v>15</v>
      </c>
      <c r="C8" s="3153"/>
      <c r="D8" s="3173"/>
      <c r="E8" s="139" t="s">
        <v>2133</v>
      </c>
      <c r="F8" s="2432"/>
      <c r="G8" s="2432"/>
      <c r="H8" s="2432"/>
      <c r="I8" s="1833"/>
    </row>
    <row r="9" spans="1:12" ht="12.75">
      <c r="A9" s="3150"/>
      <c r="B9" s="3064"/>
      <c r="C9" s="3155"/>
      <c r="D9" s="3173"/>
      <c r="E9" s="139" t="s">
        <v>2134</v>
      </c>
      <c r="F9" s="2432"/>
      <c r="G9" s="2432"/>
      <c r="H9" s="2432"/>
      <c r="I9" s="1833"/>
    </row>
    <row r="10" spans="1:12" ht="12.75">
      <c r="A10" s="3150" t="s">
        <v>2135</v>
      </c>
      <c r="B10" s="3064">
        <v>15</v>
      </c>
      <c r="C10" s="3153"/>
      <c r="D10" s="3173"/>
      <c r="E10" s="139" t="s">
        <v>2136</v>
      </c>
      <c r="F10" s="2432"/>
      <c r="G10" s="2432"/>
      <c r="H10" s="2432"/>
      <c r="I10" s="1833"/>
    </row>
    <row r="11" spans="1:12" ht="12.75">
      <c r="A11" s="3150"/>
      <c r="B11" s="3064"/>
      <c r="C11" s="3155"/>
      <c r="D11" s="3173"/>
      <c r="E11" s="139" t="s">
        <v>2137</v>
      </c>
      <c r="F11" s="2432"/>
      <c r="G11" s="2432"/>
      <c r="H11" s="2432"/>
      <c r="I11" s="1833"/>
    </row>
    <row r="12" spans="1:12" ht="12.75">
      <c r="A12" s="3150" t="s">
        <v>2138</v>
      </c>
      <c r="B12" s="3064">
        <v>15</v>
      </c>
      <c r="C12" s="3153"/>
      <c r="D12" s="3173"/>
      <c r="E12" s="139" t="s">
        <v>2139</v>
      </c>
      <c r="F12" s="2432"/>
      <c r="G12" s="2432"/>
      <c r="H12" s="2432"/>
      <c r="I12" s="1833"/>
    </row>
    <row r="13" spans="1:12" ht="12.75">
      <c r="A13" s="3150"/>
      <c r="B13" s="3064"/>
      <c r="C13" s="3155"/>
      <c r="D13" s="3173"/>
      <c r="E13" s="139" t="s">
        <v>2140</v>
      </c>
      <c r="F13" s="2432"/>
      <c r="G13" s="2432"/>
      <c r="H13" s="2432"/>
      <c r="I13" s="1833"/>
    </row>
    <row r="14" spans="1:12" ht="12.75">
      <c r="A14" s="3150" t="s">
        <v>2141</v>
      </c>
      <c r="B14" s="3064">
        <v>30</v>
      </c>
      <c r="C14" s="3153">
        <v>5</v>
      </c>
      <c r="D14" s="3173">
        <v>5</v>
      </c>
      <c r="E14" s="139" t="s">
        <v>2142</v>
      </c>
      <c r="F14" s="2432"/>
      <c r="G14" s="2432"/>
      <c r="H14" s="2432"/>
      <c r="I14" s="1833"/>
    </row>
    <row r="15" spans="1:12" ht="12.75">
      <c r="A15" s="3150"/>
      <c r="B15" s="3064"/>
      <c r="C15" s="3154"/>
      <c r="D15" s="3173"/>
      <c r="E15" s="139" t="s">
        <v>2143</v>
      </c>
      <c r="F15" s="2432"/>
      <c r="G15" s="2432"/>
      <c r="H15" s="2432"/>
      <c r="I15" s="1833"/>
    </row>
    <row r="16" spans="1:12" ht="12.75">
      <c r="A16" s="3150"/>
      <c r="B16" s="3064"/>
      <c r="C16" s="3155"/>
      <c r="D16" s="3173"/>
      <c r="E16" s="139" t="s">
        <v>2144</v>
      </c>
      <c r="F16" s="2432"/>
      <c r="G16" s="2432"/>
      <c r="H16" s="2432"/>
      <c r="I16" s="1833"/>
    </row>
    <row r="17" spans="1:35" ht="15">
      <c r="A17" s="2433" t="s">
        <v>2145</v>
      </c>
      <c r="B17" s="63"/>
      <c r="C17" s="140">
        <f>SUM(C5:C16)</f>
        <v>5</v>
      </c>
      <c r="D17" s="140">
        <f>SUM(D5:D16)</f>
        <v>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SUMIF(INDIRECT("'"&amp;C4&amp;"'"&amp;"!A:A"),结果表!B19,INDIRECT("'"&amp;C4&amp;"'"&amp;"!B:B"))</f>
        <v>81</v>
      </c>
      <c r="D19" s="143">
        <f ca="1">SUMIF(INDIRECT("'"&amp;D4&amp;"'"&amp;"!A:A"),结果表!B19,INDIRECT("'"&amp;D4&amp;"'"&amp;"!B:B"))</f>
        <v>75</v>
      </c>
      <c r="E19" s="2437" t="s">
        <v>2152</v>
      </c>
      <c r="F19" s="2438" t="s">
        <v>2151</v>
      </c>
      <c r="G19" s="144">
        <f ca="1">ROUND(C19*$C$18+D19*$D$18,0)</f>
        <v>78</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SUMIF(INDIRECT("'"&amp;C4&amp;"'"&amp;"!A:A"),结果表!B20,INDIRECT("'"&amp;C4&amp;"'"&amp;"!B:B"))</f>
        <v>10010</v>
      </c>
      <c r="D20" s="146">
        <f ca="1">SUMIF(INDIRECT("'"&amp;D4&amp;"'"&amp;"!A:A"),结果表!B20,INDIRECT("'"&amp;D4&amp;"'"&amp;"!B:B"))</f>
        <v>9326</v>
      </c>
      <c r="E20" s="2440"/>
      <c r="F20" s="1249" t="s">
        <v>2155</v>
      </c>
      <c r="G20" s="147">
        <f ca="1">ROUND(C20*$C$18+D20*$D$18,0)</f>
        <v>9668</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8.0000000000000071E-2</v>
      </c>
      <c r="E22" s="137"/>
      <c r="F22" s="137"/>
      <c r="G22" s="137"/>
      <c r="H22" s="137"/>
      <c r="I22" s="137"/>
    </row>
    <row r="23" spans="1:35" ht="13.5" thickBot="1">
      <c r="A23" s="2421"/>
      <c r="B23" s="2421"/>
      <c r="C23" s="2421"/>
      <c r="D23" s="2421"/>
      <c r="E23" s="137"/>
      <c r="F23" s="137"/>
      <c r="G23" s="137"/>
      <c r="H23" s="137"/>
      <c r="I23" s="137"/>
    </row>
    <row r="24" spans="1:35" ht="14.25">
      <c r="A24" s="3144" t="s">
        <v>2159</v>
      </c>
      <c r="B24" s="2438" t="s">
        <v>2151</v>
      </c>
      <c r="C24" s="144">
        <f>IF(B30=0,0,D30)</f>
        <v>0</v>
      </c>
      <c r="D24" s="2445"/>
      <c r="E24" s="137"/>
      <c r="F24" s="137"/>
      <c r="G24" s="137"/>
      <c r="H24" s="137"/>
      <c r="I24" s="137"/>
    </row>
    <row r="25" spans="1:35" ht="14.25">
      <c r="A25" s="314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29"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78</v>
      </c>
      <c r="D32" s="2452" t="s">
        <v>2166</v>
      </c>
      <c r="E32" s="137"/>
      <c r="F32" s="137"/>
      <c r="G32" s="137"/>
      <c r="H32" s="137"/>
      <c r="I32" s="137"/>
    </row>
    <row r="33" spans="1:15" ht="15">
      <c r="A33" s="959" t="s">
        <v>2167</v>
      </c>
      <c r="B33" s="2453"/>
      <c r="C33" s="2454"/>
      <c r="D33" s="2455"/>
      <c r="E33" s="2456" t="s">
        <v>2168</v>
      </c>
      <c r="F33" s="2457" t="str">
        <f>IF(D32="楼面单价","取值（单价）","取值（总价）")</f>
        <v>取值（总价）</v>
      </c>
      <c r="G33" s="137"/>
      <c r="H33" s="137"/>
      <c r="I33" s="137"/>
    </row>
    <row r="34" spans="1:15" ht="15">
      <c r="A34" s="2458"/>
      <c r="B34" s="2459" t="s">
        <v>2169</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2170</v>
      </c>
      <c r="F34" s="1738"/>
      <c r="G34" s="137"/>
      <c r="H34" s="137"/>
      <c r="I34" s="137"/>
    </row>
    <row r="35" spans="1:15" ht="15.75" thickBot="1">
      <c r="A35" s="2461"/>
      <c r="B35" s="2462"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2172</v>
      </c>
      <c r="F35" s="162"/>
      <c r="G35" s="137"/>
      <c r="H35" s="137"/>
      <c r="I35" s="137"/>
    </row>
    <row r="36" spans="1:15" ht="15.75" thickBot="1">
      <c r="A36" s="3162" t="s">
        <v>2173</v>
      </c>
      <c r="B36" s="2464" t="s">
        <v>2174</v>
      </c>
      <c r="C36" s="153"/>
      <c r="D36" s="2465"/>
      <c r="E36" s="2466"/>
      <c r="F36" s="2467"/>
      <c r="G36" s="137"/>
      <c r="H36" s="137"/>
      <c r="I36" s="137"/>
    </row>
    <row r="37" spans="1:15" ht="15.75" thickBot="1">
      <c r="A37" s="3163"/>
      <c r="B37" s="2269" t="s">
        <v>2175</v>
      </c>
      <c r="C37" s="155"/>
      <c r="D37" s="1394"/>
      <c r="E37" s="1394"/>
      <c r="F37" s="2467"/>
      <c r="G37" s="137"/>
      <c r="H37" s="137"/>
      <c r="I37" s="137"/>
    </row>
    <row r="38" spans="1:15" ht="15.75" thickBot="1">
      <c r="A38" s="3164"/>
      <c r="B38" s="2468" t="s">
        <v>2176</v>
      </c>
      <c r="C38" s="726"/>
      <c r="D38" s="2469" t="s">
        <v>2177</v>
      </c>
      <c r="E38" s="1394"/>
      <c r="F38" s="2467"/>
      <c r="G38" s="137"/>
      <c r="H38" s="137"/>
      <c r="I38" s="137"/>
    </row>
    <row r="39" spans="1:15" ht="15">
      <c r="A39" s="2440" t="s">
        <v>2178</v>
      </c>
      <c r="B39" s="2470" t="s">
        <v>2179</v>
      </c>
      <c r="C39" s="2471" t="s">
        <v>2180</v>
      </c>
      <c r="D39" s="2471" t="s">
        <v>2181</v>
      </c>
      <c r="E39" s="2472" t="s">
        <v>2182</v>
      </c>
      <c r="F39" s="2467"/>
      <c r="G39" s="137"/>
      <c r="H39" s="137"/>
      <c r="I39" s="137"/>
    </row>
    <row r="40" spans="1:15" ht="14.25">
      <c r="A40" s="2473" t="s">
        <v>2183</v>
      </c>
      <c r="B40" s="157"/>
      <c r="C40" s="158"/>
      <c r="D40" s="158"/>
      <c r="E40" s="159"/>
      <c r="F40" s="2467"/>
      <c r="G40" s="137"/>
      <c r="H40" s="137"/>
      <c r="I40" s="137"/>
    </row>
    <row r="41" spans="1:15" ht="14.25">
      <c r="A41" s="2473" t="s">
        <v>2184</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41" t="s">
        <v>2187</v>
      </c>
      <c r="B45" s="3142"/>
      <c r="C45" s="3143"/>
      <c r="D45" s="163">
        <f ca="1">ROUND(H101*F45,0)</f>
        <v>78</v>
      </c>
      <c r="E45" s="164" t="s">
        <v>2188</v>
      </c>
      <c r="F45" s="165">
        <v>1</v>
      </c>
      <c r="G45" s="166" t="s">
        <v>2189</v>
      </c>
      <c r="H45" s="137"/>
      <c r="I45" s="137"/>
      <c r="J45" s="3201" t="s">
        <v>2190</v>
      </c>
      <c r="K45" s="3201"/>
      <c r="L45" s="3201"/>
      <c r="M45" s="3201"/>
      <c r="N45" s="3201"/>
      <c r="O45" s="3201"/>
    </row>
    <row r="46" spans="1:15" ht="14.25" customHeight="1">
      <c r="A46" s="3138" t="s">
        <v>2191</v>
      </c>
      <c r="B46" s="3139"/>
      <c r="C46" s="3139"/>
      <c r="D46" s="3139"/>
      <c r="E46" s="3139"/>
      <c r="F46" s="3139"/>
      <c r="G46" s="3140"/>
      <c r="H46" s="2483"/>
      <c r="I46" s="167"/>
      <c r="J46" s="1811">
        <v>1</v>
      </c>
      <c r="K46" s="3201" t="s">
        <v>2192</v>
      </c>
      <c r="L46" s="3201"/>
      <c r="M46" s="3221"/>
      <c r="N46" s="3221"/>
      <c r="O46" s="3221"/>
    </row>
    <row r="47" spans="1:15" ht="12" customHeight="1">
      <c r="A47" s="168" t="s">
        <v>2193</v>
      </c>
      <c r="B47" s="169"/>
      <c r="C47" s="170"/>
      <c r="D47" s="171" t="s">
        <v>2194</v>
      </c>
      <c r="E47" s="23" t="s">
        <v>2195</v>
      </c>
      <c r="F47" s="172" t="s">
        <v>2196</v>
      </c>
      <c r="G47" s="173" t="s">
        <v>2197</v>
      </c>
      <c r="H47" s="2483"/>
      <c r="I47" s="167"/>
      <c r="J47" s="1811">
        <v>2</v>
      </c>
      <c r="K47" s="3201" t="s">
        <v>2198</v>
      </c>
      <c r="L47" s="3201"/>
      <c r="M47" s="3222">
        <f>'数据-取费表'!B2</f>
        <v>43214</v>
      </c>
      <c r="N47" s="3222"/>
      <c r="O47" s="3222"/>
    </row>
    <row r="48" spans="1:15" ht="25.5">
      <c r="A48" s="3169" t="s">
        <v>2199</v>
      </c>
      <c r="B48" s="3152"/>
      <c r="C48" s="3152"/>
      <c r="D48" s="139">
        <f>IF(H48="情况1",0,IF(H48="情况2",D52,IF(H48="情况3",D53,IF(H48="情况4",D54))))</f>
        <v>0</v>
      </c>
      <c r="E48" s="1800" t="str">
        <f>IF(H48="情况4","(销售额-原购置价)×税（费）率","销售额×税（费）率")</f>
        <v>销售额×税（费）率</v>
      </c>
      <c r="F48" s="174" t="str">
        <f>IF(H48="情况1","免征",'数据-取费表'!B41)</f>
        <v>免征</v>
      </c>
      <c r="G48" s="2484" t="s">
        <v>2200</v>
      </c>
      <c r="H48" s="2485" t="s">
        <v>2201</v>
      </c>
      <c r="I48" s="2483"/>
      <c r="J48" s="1811">
        <v>3</v>
      </c>
      <c r="K48" s="3201" t="s">
        <v>2202</v>
      </c>
      <c r="L48" s="3201"/>
      <c r="M48" s="3223">
        <f ca="1">H101</f>
        <v>78</v>
      </c>
      <c r="N48" s="3223"/>
      <c r="O48" s="3223"/>
    </row>
    <row r="49" spans="1:35" ht="25.5" customHeight="1">
      <c r="A49" s="175" t="s">
        <v>2203</v>
      </c>
      <c r="B49" s="3137" t="s">
        <v>2204</v>
      </c>
      <c r="C49" s="3137"/>
      <c r="D49" s="176">
        <v>0</v>
      </c>
      <c r="E49" s="22" t="s">
        <v>2205</v>
      </c>
      <c r="F49" s="27" t="s">
        <v>34</v>
      </c>
      <c r="G49" s="3207"/>
      <c r="H49" s="137"/>
      <c r="I49" s="2486"/>
      <c r="J49" s="1811">
        <v>4</v>
      </c>
      <c r="K49" s="3201" t="str">
        <f>IF(项目基本情况!E8="房地产抵押价值","房地产抵押价值","抵押担保权已注销时的房地产抵押价值")</f>
        <v>抵押担保权已注销时的房地产抵押价值</v>
      </c>
      <c r="L49" s="3201"/>
      <c r="M49" s="3223" t="str">
        <f>IF(项目基本情况!E8="房地产抵押价值",H107,H109)</f>
        <v>——</v>
      </c>
      <c r="N49" s="3223"/>
      <c r="O49" s="3223"/>
    </row>
    <row r="50" spans="1:35" ht="25.5" customHeight="1">
      <c r="A50" s="177"/>
      <c r="B50" s="3137" t="s">
        <v>2206</v>
      </c>
      <c r="C50" s="3137"/>
      <c r="D50" s="178"/>
      <c r="E50" s="30"/>
      <c r="F50" s="179"/>
      <c r="G50" s="3208"/>
      <c r="H50" s="137"/>
      <c r="I50" s="2486"/>
      <c r="J50" s="3201" t="s">
        <v>2207</v>
      </c>
      <c r="K50" s="3201"/>
      <c r="L50" s="3201"/>
      <c r="M50" s="3201"/>
      <c r="N50" s="3201"/>
      <c r="O50" s="3201"/>
    </row>
    <row r="51" spans="1:35" ht="12" customHeight="1">
      <c r="A51" s="180"/>
      <c r="B51" s="3137" t="s">
        <v>2208</v>
      </c>
      <c r="C51" s="3137"/>
      <c r="D51" s="181"/>
      <c r="E51" s="29"/>
      <c r="F51" s="179"/>
      <c r="G51" s="3209"/>
      <c r="H51" s="137"/>
      <c r="I51" s="2486"/>
      <c r="J51" s="2487" t="s">
        <v>2209</v>
      </c>
      <c r="K51" s="3201" t="s">
        <v>2210</v>
      </c>
      <c r="L51" s="3201"/>
      <c r="M51" s="2487" t="s">
        <v>2211</v>
      </c>
      <c r="N51" s="2487" t="s">
        <v>2212</v>
      </c>
      <c r="O51" s="2487" t="s">
        <v>2213</v>
      </c>
    </row>
    <row r="52" spans="1:35" ht="24" customHeight="1">
      <c r="A52" s="182" t="s">
        <v>2214</v>
      </c>
      <c r="B52" s="3137" t="s">
        <v>2215</v>
      </c>
      <c r="C52" s="3137"/>
      <c r="D52" s="181">
        <f ca="1">ROUND(D45*'数据-取费表'!B41/(1+'数据-取费表'!C42),0)</f>
        <v>4</v>
      </c>
      <c r="E52" s="11" t="s">
        <v>2216</v>
      </c>
      <c r="F52" s="183">
        <f>'数据-取费表'!B41</f>
        <v>5.6000000000000001E-2</v>
      </c>
      <c r="G52" s="2488"/>
      <c r="H52" s="137"/>
      <c r="I52" s="2486"/>
      <c r="J52" s="1811">
        <v>1</v>
      </c>
      <c r="K52" s="3202" t="s">
        <v>2217</v>
      </c>
      <c r="L52" s="3202"/>
      <c r="M52" s="1753">
        <f>D48</f>
        <v>0</v>
      </c>
      <c r="N52" s="1811" t="str">
        <f>E48</f>
        <v>销售额×税（费）率</v>
      </c>
      <c r="O52" s="1754" t="str">
        <f>F48</f>
        <v>免征</v>
      </c>
    </row>
    <row r="53" spans="1:35" ht="12" customHeight="1">
      <c r="A53" s="182" t="s">
        <v>2218</v>
      </c>
      <c r="B53" s="3160" t="s">
        <v>2219</v>
      </c>
      <c r="C53" s="3161"/>
      <c r="D53" s="181">
        <f ca="1">ROUND(D45*'数据-取费表'!B41/(1+'数据-取费表'!C42),0)</f>
        <v>4</v>
      </c>
      <c r="E53" s="11" t="s">
        <v>2216</v>
      </c>
      <c r="F53" s="183">
        <f>'数据-取费表'!B41</f>
        <v>5.6000000000000001E-2</v>
      </c>
      <c r="G53" s="2488"/>
      <c r="H53" s="137"/>
      <c r="I53" s="2486"/>
      <c r="J53" s="1811">
        <v>2</v>
      </c>
      <c r="K53" s="3202" t="s">
        <v>2220</v>
      </c>
      <c r="L53" s="3202"/>
      <c r="M53" s="1753">
        <f t="shared" ref="M53:O54" ca="1" si="0">D55</f>
        <v>0</v>
      </c>
      <c r="N53" s="1811" t="str">
        <f t="shared" si="0"/>
        <v>销售额×税（费）率</v>
      </c>
      <c r="O53" s="1754">
        <f t="shared" si="0"/>
        <v>5.0000000000000001E-4</v>
      </c>
    </row>
    <row r="54" spans="1:35" ht="12" customHeight="1">
      <c r="A54" s="182" t="s">
        <v>2221</v>
      </c>
      <c r="B54" s="3160" t="s">
        <v>2222</v>
      </c>
      <c r="C54" s="3161"/>
      <c r="D54" s="181">
        <f ca="1">C68</f>
        <v>4</v>
      </c>
      <c r="E54" s="29" t="s">
        <v>2223</v>
      </c>
      <c r="F54" s="183">
        <f>'数据-取费表'!B41</f>
        <v>5.6000000000000001E-2</v>
      </c>
      <c r="G54" s="2488"/>
      <c r="H54" s="2489"/>
      <c r="I54" s="2486"/>
      <c r="J54" s="1811">
        <v>3</v>
      </c>
      <c r="K54" s="3202" t="s">
        <v>2224</v>
      </c>
      <c r="L54" s="3202"/>
      <c r="M54" s="1753" t="e">
        <f t="shared" ca="1" si="0"/>
        <v>#DIV/0!</v>
      </c>
      <c r="N54" s="1811" t="str">
        <f t="shared" si="0"/>
        <v>增值额×税（费）率</v>
      </c>
      <c r="O54" s="1755" t="str">
        <f t="shared" si="0"/>
        <v>——</v>
      </c>
    </row>
    <row r="55" spans="1:35" ht="24" customHeight="1">
      <c r="A55" s="3151" t="s">
        <v>2225</v>
      </c>
      <c r="B55" s="3152"/>
      <c r="C55" s="3152"/>
      <c r="D55" s="184">
        <f ca="1">IF(H55="个人住宅",0,ROUND(D45*I55,0))</f>
        <v>0</v>
      </c>
      <c r="E55" s="11" t="s">
        <v>2226</v>
      </c>
      <c r="F55" s="183">
        <f>IF(H55="正常",I55,"免征")</f>
        <v>5.0000000000000001E-4</v>
      </c>
      <c r="G55" s="2488"/>
      <c r="H55" s="2485" t="s">
        <v>2227</v>
      </c>
      <c r="I55" s="185">
        <f>'数据-取费表'!B49</f>
        <v>5.0000000000000001E-4</v>
      </c>
      <c r="J55" s="1811" t="str">
        <f>IF(H59="非个人房产","",4)</f>
        <v/>
      </c>
      <c r="K55" s="3202" t="str">
        <f>IF(H59="非个人房产","——","个人所得税")</f>
        <v>——</v>
      </c>
      <c r="L55" s="3202"/>
      <c r="M55" s="1756" t="str">
        <f>D59</f>
        <v>——</v>
      </c>
      <c r="N55" s="1809" t="str">
        <f>E59</f>
        <v>——</v>
      </c>
      <c r="O55" s="1757" t="str">
        <f>F59</f>
        <v>——</v>
      </c>
    </row>
    <row r="56" spans="1:35" ht="24.75">
      <c r="A56" s="3151" t="s">
        <v>2228</v>
      </c>
      <c r="B56" s="3152"/>
      <c r="C56" s="3152"/>
      <c r="D56" s="184" t="e">
        <f ca="1">IF(H56="个人住宅",D57,D58)</f>
        <v>#DIV/0!</v>
      </c>
      <c r="E56" s="11" t="s">
        <v>2229</v>
      </c>
      <c r="F56" s="183" t="str">
        <f>IF(H56="正常",F58,"免征")</f>
        <v>——</v>
      </c>
      <c r="G56" s="2490" t="s">
        <v>2230</v>
      </c>
      <c r="H56" s="2491" t="s">
        <v>2227</v>
      </c>
      <c r="I56" s="2492"/>
      <c r="J56" s="1811" t="str">
        <f>IF(项目基本情况!K6="上海银行",IF(J55="",4,J55+1),"")</f>
        <v/>
      </c>
      <c r="K56" s="3225" t="str">
        <f>IF(项目基本情况!K6="上海银行","其他处置费用","")</f>
        <v/>
      </c>
      <c r="L56" s="3226"/>
      <c r="M56" s="1753" t="str">
        <f>IF(项目基本情况!K6="上海银行",M69,"")</f>
        <v/>
      </c>
      <c r="N56" s="3228" t="str">
        <f>IF(项目基本情况!K6="上海银行","包含处置中涉及的律师、诉讼、拍卖、评估等费用","")</f>
        <v/>
      </c>
      <c r="O56" s="3229"/>
    </row>
    <row r="57" spans="1:35" ht="12.75">
      <c r="A57" s="182" t="s">
        <v>2203</v>
      </c>
      <c r="B57" s="3167" t="s">
        <v>2231</v>
      </c>
      <c r="C57" s="3176"/>
      <c r="D57" s="186">
        <v>0</v>
      </c>
      <c r="E57" s="22" t="s">
        <v>2205</v>
      </c>
      <c r="F57" s="154"/>
      <c r="G57" s="2488"/>
      <c r="H57" s="2492"/>
      <c r="I57" s="2492"/>
      <c r="J57" s="3202">
        <f>IF(AND(J55="",J56=""),4,IF(项目基本情况!K6="上海银行",结果表!J56+1,结果表!J55+1))</f>
        <v>4</v>
      </c>
      <c r="K57" s="3202" t="s">
        <v>2232</v>
      </c>
      <c r="L57" s="2493" t="s">
        <v>2233</v>
      </c>
      <c r="M57" s="1758"/>
      <c r="N57" s="1759">
        <f ca="1">SUMIF(M52:M56,"&lt;9e307")</f>
        <v>0</v>
      </c>
      <c r="O57" s="2494"/>
      <c r="P57" s="1752" t="e">
        <f ca="1">N57/M49</f>
        <v>#VALUE!</v>
      </c>
    </row>
    <row r="58" spans="1:35" ht="24.75">
      <c r="A58" s="182" t="s">
        <v>2214</v>
      </c>
      <c r="B58" s="3167" t="s">
        <v>2234</v>
      </c>
      <c r="C58" s="3168"/>
      <c r="D58" s="184" t="e">
        <f ca="1">IF(H58="转让取得",C81,C97)</f>
        <v>#DIV/0!</v>
      </c>
      <c r="E58" s="11" t="s">
        <v>2229</v>
      </c>
      <c r="F58" s="23" t="s">
        <v>34</v>
      </c>
      <c r="G58" s="2488"/>
      <c r="H58" s="2491" t="s">
        <v>2235</v>
      </c>
      <c r="I58" s="2492"/>
      <c r="J58" s="3202"/>
      <c r="K58" s="3202"/>
      <c r="L58" s="2493" t="s">
        <v>2236</v>
      </c>
      <c r="M58" s="1760"/>
      <c r="N58" s="2495" t="str">
        <f ca="1">NUMBERSTRING(INT(N57*10000),2)&amp;"元整"</f>
        <v>零元整</v>
      </c>
      <c r="O58" s="2496"/>
    </row>
    <row r="59" spans="1:35" ht="24.75" thickBot="1">
      <c r="A59" s="3205" t="s">
        <v>2237</v>
      </c>
      <c r="B59" s="3206"/>
      <c r="C59" s="3206"/>
      <c r="D59" s="187" t="str">
        <f>IF(H59="非个人房产","——",IF(H59="个人住宅",0,ROUND(D45*I59,0)))</f>
        <v>——</v>
      </c>
      <c r="E59" s="188" t="str">
        <f>IF(H59="非个人房产","——","销售额×税（费）率")</f>
        <v>——</v>
      </c>
      <c r="F59" s="189" t="str">
        <f>IF(H59="非个人房产","——",IF(H59="个人住宅","免征",I59))</f>
        <v>——</v>
      </c>
      <c r="G59" s="2497" t="s">
        <v>2230</v>
      </c>
      <c r="H59" s="2491" t="s">
        <v>2238</v>
      </c>
      <c r="I59" s="190">
        <v>0.01</v>
      </c>
      <c r="J59" s="3203">
        <f>J57+1</f>
        <v>5</v>
      </c>
      <c r="K59" s="3202" t="s">
        <v>2239</v>
      </c>
      <c r="L59" s="1811" t="s">
        <v>2233</v>
      </c>
      <c r="M59" s="1761"/>
      <c r="N59" s="1762" t="e">
        <f ca="1">M49-N57</f>
        <v>#VALUE!</v>
      </c>
      <c r="O59" s="2498"/>
    </row>
    <row r="60" spans="1:35" ht="12" customHeight="1">
      <c r="A60" s="2499"/>
      <c r="B60" s="2421"/>
      <c r="C60" s="2421"/>
      <c r="D60" s="2421"/>
      <c r="E60" s="2169"/>
      <c r="F60" s="2492"/>
      <c r="G60" s="2492"/>
      <c r="H60" s="2500"/>
      <c r="I60" s="137"/>
      <c r="J60" s="3204"/>
      <c r="K60" s="3202"/>
      <c r="L60" s="2493" t="s">
        <v>2236</v>
      </c>
      <c r="M60" s="1760"/>
      <c r="N60" s="2495" t="e">
        <f ca="1">NUMBERSTRING(INT(N59*10000),2)&amp;"元整"</f>
        <v>#VALUE!</v>
      </c>
      <c r="O60" s="2496"/>
    </row>
    <row r="61" spans="1:35" ht="13.5" thickBot="1">
      <c r="A61" s="3149" t="s">
        <v>2240</v>
      </c>
      <c r="B61" s="3149"/>
      <c r="C61" s="3149"/>
      <c r="D61" s="3149"/>
      <c r="E61" s="3149"/>
      <c r="F61" s="2492"/>
      <c r="G61" s="2492"/>
      <c r="H61" s="2500"/>
      <c r="I61" s="137"/>
      <c r="J61" s="1811">
        <f>J59+1</f>
        <v>6</v>
      </c>
      <c r="K61" s="3202" t="s">
        <v>2241</v>
      </c>
      <c r="L61" s="3202"/>
      <c r="M61" s="1763"/>
      <c r="N61" s="1764" t="e">
        <f ca="1">ROUND(N59*10000/'数据-汇总表'!E3,0)</f>
        <v>#VALUE!</v>
      </c>
      <c r="O61" s="2501"/>
    </row>
    <row r="62" spans="1:35" ht="12.75">
      <c r="A62" s="3165" t="s">
        <v>2242</v>
      </c>
      <c r="B62" s="3166"/>
      <c r="C62" s="1803"/>
      <c r="D62" s="1803" t="s">
        <v>2243</v>
      </c>
      <c r="E62" s="191" t="s">
        <v>2244</v>
      </c>
      <c r="F62" s="2492"/>
      <c r="G62" s="2492"/>
      <c r="H62" s="2500"/>
      <c r="I62" s="137"/>
    </row>
    <row r="63" spans="1:35" ht="12.75">
      <c r="A63" s="202" t="s">
        <v>775</v>
      </c>
      <c r="B63" s="192" t="s">
        <v>2245</v>
      </c>
      <c r="C63" s="193">
        <f ca="1">ROUND((C64+C65)/(1+'数据-取费表'!C42),0)</f>
        <v>74</v>
      </c>
      <c r="D63" s="194"/>
      <c r="E63" s="195"/>
      <c r="F63" s="2492"/>
      <c r="G63" s="2492"/>
      <c r="H63" s="2500"/>
      <c r="I63" s="137"/>
      <c r="J63" s="3227" t="s">
        <v>2246</v>
      </c>
      <c r="K63" s="2502" t="s">
        <v>2247</v>
      </c>
      <c r="L63" s="1751" t="e">
        <f>IF(M49&gt;10000,M49*0.5%,IF(AND(M49&gt;1000,M49&lt;=10000),M49*1%,IF(AND(M49&gt;100,M49&lt;=1000),M49*3%,IF(AND(M49&gt;10,M49&lt;=100),M49*5%,M49*8%))))</f>
        <v>#VALUE!</v>
      </c>
      <c r="M63" s="23" t="e">
        <f>ROUND(L63,1)</f>
        <v>#VALUE!</v>
      </c>
      <c r="Z63" s="2426"/>
      <c r="AI63" s="2427"/>
    </row>
    <row r="64" spans="1:35" ht="14.25" customHeight="1">
      <c r="A64" s="196" t="s">
        <v>770</v>
      </c>
      <c r="B64" s="197" t="s">
        <v>2248</v>
      </c>
      <c r="C64" s="198">
        <f ca="1">D45</f>
        <v>78</v>
      </c>
      <c r="D64" s="199" t="s">
        <v>32</v>
      </c>
      <c r="E64" s="200"/>
      <c r="F64" s="2492"/>
      <c r="G64" s="2492"/>
      <c r="H64" s="2500"/>
      <c r="I64" s="137"/>
      <c r="J64" s="3227"/>
      <c r="K64" s="2502" t="s">
        <v>2249</v>
      </c>
      <c r="L64" s="1751"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2250</v>
      </c>
      <c r="Z64" s="2426"/>
      <c r="AI64" s="2427"/>
    </row>
    <row r="65" spans="1:35" ht="14.25" customHeight="1">
      <c r="A65" s="196" t="s">
        <v>771</v>
      </c>
      <c r="B65" s="197" t="s">
        <v>2251</v>
      </c>
      <c r="C65" s="201"/>
      <c r="D65" s="199"/>
      <c r="E65" s="200"/>
      <c r="F65" s="2492"/>
      <c r="G65" s="2492"/>
      <c r="H65" s="2500"/>
      <c r="I65" s="137"/>
      <c r="J65" s="3227"/>
      <c r="K65" s="2502" t="s">
        <v>2252</v>
      </c>
      <c r="L65" s="1751" t="e">
        <f>IF(M49&gt;1000,M49*0.1%,IF(AND(M49&gt;500,M49&lt;=1000),M49*0.5%,IF(AND(M49&gt;50,M49&lt;=500),M49*1%,IF(AND(M49&gt;1,M49&lt;=50),M49*1.5%))))</f>
        <v>#VALUE!</v>
      </c>
      <c r="M65" s="23" t="e">
        <f t="shared" si="1"/>
        <v>#VALUE!</v>
      </c>
      <c r="N65" s="137" t="s">
        <v>2250</v>
      </c>
      <c r="Z65" s="2426"/>
      <c r="AI65" s="2427"/>
    </row>
    <row r="66" spans="1:35" ht="14.25" customHeight="1">
      <c r="A66" s="202" t="s">
        <v>772</v>
      </c>
      <c r="B66" s="203" t="s">
        <v>2253</v>
      </c>
      <c r="C66" s="204"/>
      <c r="D66" s="205" t="s">
        <v>32</v>
      </c>
      <c r="E66" s="1775" t="s">
        <v>1371</v>
      </c>
      <c r="F66" s="2492"/>
      <c r="G66" s="2492"/>
      <c r="H66" s="2500"/>
      <c r="I66" s="137"/>
      <c r="J66" s="3227"/>
      <c r="K66" s="2502" t="s">
        <v>2254</v>
      </c>
      <c r="L66" s="1751" t="e">
        <f>M49*0.5%</f>
        <v>#VALUE!</v>
      </c>
      <c r="M66" s="23" t="e">
        <f>IF(L66&gt;0.5,0.5,ROUND(L66,0))</f>
        <v>#VALUE!</v>
      </c>
      <c r="N66" s="137" t="s">
        <v>2255</v>
      </c>
      <c r="Z66" s="2426"/>
      <c r="AI66" s="2427"/>
    </row>
    <row r="67" spans="1:35" ht="14.25" customHeight="1">
      <c r="A67" s="202" t="s">
        <v>773</v>
      </c>
      <c r="B67" s="203" t="s">
        <v>2256</v>
      </c>
      <c r="C67" s="206">
        <f ca="1">C63-C66</f>
        <v>74</v>
      </c>
      <c r="D67" s="199" t="s">
        <v>32</v>
      </c>
      <c r="E67" s="200"/>
      <c r="F67" s="2492"/>
      <c r="G67" s="2492"/>
      <c r="H67" s="2500"/>
      <c r="I67" s="137"/>
      <c r="J67" s="3227"/>
      <c r="K67" s="2502"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6"/>
      <c r="AI67" s="2427"/>
    </row>
    <row r="68" spans="1:35" ht="14.25" customHeight="1" thickBot="1">
      <c r="A68" s="207" t="s">
        <v>774</v>
      </c>
      <c r="B68" s="208" t="s">
        <v>2258</v>
      </c>
      <c r="C68" s="209">
        <f ca="1">IF(C67&lt;=0,0,ROUND(C67*D68,0))</f>
        <v>4</v>
      </c>
      <c r="D68" s="210">
        <f>'数据-取费表'!B41</f>
        <v>5.6000000000000001E-2</v>
      </c>
      <c r="E68" s="211"/>
      <c r="F68" s="2492"/>
      <c r="G68" s="2492"/>
      <c r="H68" s="2500"/>
      <c r="I68" s="137"/>
      <c r="J68" s="3227"/>
      <c r="K68" s="2502" t="s">
        <v>2259</v>
      </c>
      <c r="L68" s="1751" t="e">
        <f>IF(M49&gt;10000,M49*0.5%,IF(AND(M49&gt;5000,M49&lt;=10000),M49*1%,IF(AND(M49&gt;1000,M49&lt;=5000),M49*2%,IF(AND(M49&gt;200,M49&lt;=1000),M49*3%,M49*5%))))</f>
        <v>#VALUE!</v>
      </c>
      <c r="M68" s="23" t="e">
        <f>ROUND(L68,1)</f>
        <v>#VALUE!</v>
      </c>
      <c r="Z68" s="2426"/>
      <c r="AI68" s="2427"/>
    </row>
    <row r="69" spans="1:35" s="2449" customFormat="1" ht="16.5" customHeight="1">
      <c r="A69" s="2503"/>
      <c r="B69" s="2504"/>
      <c r="C69" s="2505"/>
      <c r="D69" s="2506"/>
      <c r="E69" s="2507"/>
      <c r="F69" s="2169"/>
      <c r="G69" s="2169"/>
      <c r="H69" s="2168"/>
      <c r="I69" s="2421"/>
      <c r="J69" s="3227"/>
      <c r="K69" s="2502" t="s">
        <v>2260</v>
      </c>
      <c r="L69" s="2508"/>
      <c r="M69" s="23" t="e">
        <f>ROUND(SUM(M63:M68),0)</f>
        <v>#VALUE!</v>
      </c>
      <c r="N69" s="1752" t="e">
        <f>M69/M49</f>
        <v>#VALUE!</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186" t="s">
        <v>2261</v>
      </c>
      <c r="B70" s="3187"/>
      <c r="C70" s="3187"/>
      <c r="D70" s="3187"/>
      <c r="E70" s="3187"/>
      <c r="F70" s="3187"/>
      <c r="G70" s="3187"/>
      <c r="H70" s="318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5" t="s">
        <v>2242</v>
      </c>
      <c r="B71" s="3166"/>
      <c r="C71" s="1803"/>
      <c r="D71" s="1803" t="s">
        <v>2243</v>
      </c>
      <c r="E71" s="212" t="s">
        <v>2244</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2262</v>
      </c>
      <c r="C72" s="206">
        <f ca="1">ROUND(D45/(1+'数据-取费表'!C42),0)</f>
        <v>74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2263</v>
      </c>
      <c r="C73" s="206">
        <f ca="1">C74+C78</f>
        <v>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2264</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2265</v>
      </c>
      <c r="C75" s="217"/>
      <c r="D75" s="199" t="s">
        <v>32</v>
      </c>
      <c r="E75" s="218" t="s">
        <v>2266</v>
      </c>
      <c r="F75" s="2514" t="s">
        <v>2267</v>
      </c>
      <c r="G75" s="218" t="s">
        <v>2268</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2269</v>
      </c>
      <c r="C76" s="199">
        <f>IF(F75="购房发票",ROUND(C75*H75*D76,0),0)</f>
        <v>0</v>
      </c>
      <c r="D76" s="221">
        <v>0.05</v>
      </c>
      <c r="E76" s="3160" t="s">
        <v>2270</v>
      </c>
      <c r="F76" s="3137"/>
      <c r="G76" s="3137"/>
      <c r="H76" s="318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6" t="s">
        <v>2273</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2274</v>
      </c>
      <c r="C78" s="224">
        <f ca="1">ROUND(D45*D78/(1+'数据-取费表'!C42),0)</f>
        <v>0</v>
      </c>
      <c r="D78" s="225">
        <f>'数据-取费表'!B43</f>
        <v>6.000000000000001E-3</v>
      </c>
      <c r="E78" s="3146" t="s">
        <v>2275</v>
      </c>
      <c r="F78" s="3147"/>
      <c r="G78" s="3147"/>
      <c r="H78" s="315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2276</v>
      </c>
      <c r="C79" s="206">
        <f ca="1">C72-C73</f>
        <v>74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2277</v>
      </c>
      <c r="C80" s="226" t="e">
        <f ca="1">IF(C79&lt;=0,0,C79/C73)</f>
        <v>#DIV/0!</v>
      </c>
      <c r="D80" s="199" t="s">
        <v>32</v>
      </c>
      <c r="E80" s="14" t="e">
        <f ca="1">IF(C80&gt;=200%,"增值额超过扣除项目金额200%",IF(C80&gt;=100%,"增值额超过扣除项目金额100%，未超过200%",IF(C80&gt;=50%,"增值额超过扣除项目金额50%，未超过100%",IF(C80&lt;50%,"增值额未超过扣除项目金额50%"))))</f>
        <v>#DIV/0!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2278</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6" t="s">
        <v>2279</v>
      </c>
      <c r="B83" s="3187"/>
      <c r="C83" s="3187"/>
      <c r="D83" s="3187"/>
      <c r="E83" s="3187"/>
      <c r="F83" s="3187"/>
      <c r="G83" s="3187"/>
      <c r="H83" s="318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5" t="s">
        <v>2242</v>
      </c>
      <c r="B84" s="3166"/>
      <c r="C84" s="1803"/>
      <c r="D84" s="1803" t="s">
        <v>2243</v>
      </c>
      <c r="E84" s="212" t="s">
        <v>2244</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2262</v>
      </c>
      <c r="C85" s="206">
        <f ca="1">ROUND(D45/(1+'数据-取费表'!C42),0)</f>
        <v>74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2263</v>
      </c>
      <c r="C86" s="206">
        <f ca="1">IF(H88="仅含出让金",C87+C90+C91+C92+C93+C94,C87+C91+C92+C93+C94)</f>
        <v>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2280</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2281</v>
      </c>
      <c r="C88" s="235"/>
      <c r="D88" s="225"/>
      <c r="E88" s="236" t="s">
        <v>2282</v>
      </c>
      <c r="F88" s="1799"/>
      <c r="G88" s="237"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2271</v>
      </c>
      <c r="C89" s="224">
        <f>ROUND(C88*D89,0)</f>
        <v>0</v>
      </c>
      <c r="D89" s="225">
        <f>'数据-取费表'!B48+'数据-取费表'!B49</f>
        <v>3.0499999999999999E-2</v>
      </c>
      <c r="E89" s="236" t="s">
        <v>2284</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2285</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2286</v>
      </c>
      <c r="B91" s="197" t="s">
        <v>2287</v>
      </c>
      <c r="C91" s="224">
        <f>IF(H91="——",成本法!C33,I91)</f>
        <v>0</v>
      </c>
      <c r="D91" s="225"/>
      <c r="E91" s="3146" t="s">
        <v>2288</v>
      </c>
      <c r="F91" s="3147"/>
      <c r="G91" s="3147"/>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2290</v>
      </c>
      <c r="B92" s="197" t="s">
        <v>2291</v>
      </c>
      <c r="C92" s="224">
        <f>ROUND((C87+C90+C91)*D92,0)</f>
        <v>0</v>
      </c>
      <c r="D92" s="225">
        <v>0.1</v>
      </c>
      <c r="E92" s="3146" t="s">
        <v>2292</v>
      </c>
      <c r="F92" s="3147"/>
      <c r="G92" s="3147"/>
      <c r="H92" s="315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2293</v>
      </c>
      <c r="B93" s="197" t="s">
        <v>2274</v>
      </c>
      <c r="C93" s="224">
        <f ca="1">ROUND(D45*D93/(1+'数据-取费表'!C42),0)</f>
        <v>0</v>
      </c>
      <c r="D93" s="225">
        <f>'数据-取费表'!B43</f>
        <v>6.000000000000001E-3</v>
      </c>
      <c r="E93" s="3146" t="s">
        <v>2275</v>
      </c>
      <c r="F93" s="3147"/>
      <c r="G93" s="3147"/>
      <c r="H93" s="315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2294</v>
      </c>
      <c r="B94" s="197" t="s">
        <v>2295</v>
      </c>
      <c r="C94" s="235">
        <f>ROUND((C87+C90+C91)*D94,0)</f>
        <v>0</v>
      </c>
      <c r="D94" s="225">
        <v>0.2</v>
      </c>
      <c r="E94" s="3157" t="s">
        <v>2296</v>
      </c>
      <c r="F94" s="3158"/>
      <c r="G94" s="3158"/>
      <c r="H94" s="315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2276</v>
      </c>
      <c r="C95" s="206">
        <f ca="1">ROUND(C85-C86,0)</f>
        <v>74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2277</v>
      </c>
      <c r="C96" s="226" t="e">
        <f ca="1">IF(C95&lt;=0,0,C95/C86)</f>
        <v>#DIV/0!</v>
      </c>
      <c r="D96" s="199" t="s">
        <v>32</v>
      </c>
      <c r="E96" s="14" t="e">
        <f ca="1">IF(C96&gt;=200%,"增值额超过扣除项目金额200%",IF(C96&gt;=100%,"增值额超过扣除项目金额100%，未超过200%",IF(C96&gt;=50%,"增值额超过扣除项目金额50%，未超过100%",IF(C96&lt;50%,"增值额未超过扣除项目金额50%"))))</f>
        <v>#DIV/0!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2278</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2297</v>
      </c>
      <c r="B99" s="2421"/>
      <c r="C99" s="2421"/>
      <c r="D99" s="2421"/>
      <c r="E99" s="2169"/>
      <c r="F99" s="2169"/>
      <c r="G99" s="2169"/>
      <c r="H99" s="2168"/>
      <c r="I99" s="137"/>
    </row>
    <row r="100" spans="1:35" ht="18.75" customHeight="1">
      <c r="A100" s="3127" t="s">
        <v>2298</v>
      </c>
      <c r="B100" s="3128"/>
      <c r="C100" s="3128"/>
      <c r="D100" s="3148"/>
      <c r="E100" s="3128" t="s">
        <v>2299</v>
      </c>
      <c r="F100" s="3128"/>
      <c r="G100" s="3128"/>
      <c r="H100" s="3148"/>
      <c r="I100" s="137"/>
    </row>
    <row r="101" spans="1:35" ht="18.75" customHeight="1">
      <c r="A101" s="3210" t="s">
        <v>2300</v>
      </c>
      <c r="B101" s="3211"/>
      <c r="C101" s="735" t="str">
        <f>C4</f>
        <v>比较法-办公</v>
      </c>
      <c r="D101" s="736" t="str">
        <f>D4</f>
        <v>收益法 (元)</v>
      </c>
      <c r="E101" s="3224" t="s">
        <v>2301</v>
      </c>
      <c r="F101" s="3178"/>
      <c r="G101" s="2523" t="s">
        <v>2302</v>
      </c>
      <c r="H101" s="1047">
        <f ca="1">H118</f>
        <v>78</v>
      </c>
      <c r="I101" s="137"/>
    </row>
    <row r="102" spans="1:35" ht="18.75" customHeight="1">
      <c r="A102" s="3180" t="s">
        <v>2303</v>
      </c>
      <c r="B102" s="2523" t="s">
        <v>2302</v>
      </c>
      <c r="C102" s="735">
        <f ca="1">C19</f>
        <v>81</v>
      </c>
      <c r="D102" s="736">
        <f ca="1">D19</f>
        <v>75</v>
      </c>
      <c r="E102" s="3224"/>
      <c r="F102" s="3178"/>
      <c r="G102" s="2523" t="s">
        <v>2304</v>
      </c>
      <c r="H102" s="370" t="e">
        <f ca="1">I118</f>
        <v>#DIV/0!</v>
      </c>
      <c r="I102" s="137"/>
    </row>
    <row r="103" spans="1:35" ht="42.75" customHeight="1">
      <c r="A103" s="3180"/>
      <c r="B103" s="2523" t="s">
        <v>2304</v>
      </c>
      <c r="C103" s="737">
        <f ca="1">C20</f>
        <v>10010</v>
      </c>
      <c r="D103" s="738">
        <f ca="1">D20</f>
        <v>9326</v>
      </c>
      <c r="E103" s="3219" t="s">
        <v>2305</v>
      </c>
      <c r="F103" s="3220"/>
      <c r="G103" s="2524" t="s">
        <v>2306</v>
      </c>
      <c r="H103" s="1047">
        <f>IF(D36="正常操作",H104+H105+H106,H105+H106)</f>
        <v>0</v>
      </c>
      <c r="I103" s="137"/>
    </row>
    <row r="104" spans="1:35" ht="18.75" customHeight="1">
      <c r="A104" s="3180" t="s">
        <v>2307</v>
      </c>
      <c r="B104" s="2525" t="s">
        <v>2302</v>
      </c>
      <c r="C104" s="739">
        <f ca="1">H118</f>
        <v>78</v>
      </c>
      <c r="D104" s="740"/>
      <c r="E104" s="2269" t="s">
        <v>2308</v>
      </c>
      <c r="F104" s="2260"/>
      <c r="G104" s="2524" t="s">
        <v>2306</v>
      </c>
      <c r="H104" s="1048">
        <f>IF(D36="同一抵押权人同一抵押物续贷",C36&amp;"（未扣减，详见特别提示）",C36)</f>
        <v>0</v>
      </c>
      <c r="I104" s="137"/>
    </row>
    <row r="105" spans="1:35" ht="18.75" customHeight="1" thickBot="1">
      <c r="A105" s="3181"/>
      <c r="B105" s="2526" t="s">
        <v>2304</v>
      </c>
      <c r="C105" s="741" t="e">
        <f ca="1">I118</f>
        <v>#DIV/0!</v>
      </c>
      <c r="D105" s="742"/>
      <c r="E105" s="2269" t="s">
        <v>2309</v>
      </c>
      <c r="F105" s="2260"/>
      <c r="G105" s="2524" t="s">
        <v>2306</v>
      </c>
      <c r="H105" s="1048">
        <f>C37</f>
        <v>0</v>
      </c>
      <c r="I105" s="137"/>
    </row>
    <row r="106" spans="1:35" ht="18.75" customHeight="1">
      <c r="A106" s="2421" t="s">
        <v>2310</v>
      </c>
      <c r="B106" s="2421"/>
      <c r="C106" s="2421"/>
      <c r="D106" s="2421"/>
      <c r="E106" s="2527" t="s">
        <v>2311</v>
      </c>
      <c r="F106" s="2260"/>
      <c r="G106" s="2524" t="s">
        <v>2306</v>
      </c>
      <c r="H106" s="1048">
        <f>C38</f>
        <v>0</v>
      </c>
      <c r="I106" s="137"/>
    </row>
    <row r="107" spans="1:35" ht="18.75" customHeight="1">
      <c r="A107" s="137"/>
      <c r="B107" s="137"/>
      <c r="C107" s="137"/>
      <c r="D107" s="137"/>
      <c r="E107" s="3177" t="str">
        <f>IF(项目基本情况!E8="已注销","——","3.房地产抵押价值")</f>
        <v>3.房地产抵押价值</v>
      </c>
      <c r="F107" s="3178"/>
      <c r="G107" s="2523" t="s">
        <v>2302</v>
      </c>
      <c r="H107" s="1047">
        <f ca="1">IF(E107="——","——",H101-H103)</f>
        <v>78</v>
      </c>
      <c r="I107" s="137"/>
    </row>
    <row r="108" spans="1:35" ht="18.75" customHeight="1">
      <c r="A108" s="137"/>
      <c r="B108" s="137"/>
      <c r="C108" s="137"/>
      <c r="D108" s="137"/>
      <c r="E108" s="3177"/>
      <c r="F108" s="3178"/>
      <c r="G108" s="2523" t="s">
        <v>2304</v>
      </c>
      <c r="H108" s="370">
        <f ca="1">ROUND(H107*10000/'数据-汇总表'!E3,0)</f>
        <v>46</v>
      </c>
      <c r="I108" s="137"/>
    </row>
    <row r="109" spans="1:35" ht="18.75" customHeight="1">
      <c r="A109" s="137"/>
      <c r="B109" s="137"/>
      <c r="C109" s="137"/>
      <c r="D109" s="137"/>
      <c r="E109" s="3177" t="str">
        <f>IF(项目基本情况!E8="已注销及未注销","4.抵押担保权已注销时的房地产抵押价值",IF(项目基本情况!E8="已注销","3.抵押担保权已注销时的房地产抵押价值","——"))</f>
        <v>——</v>
      </c>
      <c r="F109" s="3178"/>
      <c r="G109" s="2523" t="s">
        <v>2302</v>
      </c>
      <c r="H109" s="347" t="str">
        <f>IF(E109="——","——",H101-H105-H106)</f>
        <v>——</v>
      </c>
      <c r="I109" s="137"/>
    </row>
    <row r="110" spans="1:35" ht="18.75" customHeight="1">
      <c r="A110" s="137"/>
      <c r="B110" s="137"/>
      <c r="C110" s="137"/>
      <c r="D110" s="137"/>
      <c r="E110" s="3177"/>
      <c r="F110" s="3178"/>
      <c r="G110" s="2523" t="s">
        <v>2304</v>
      </c>
      <c r="H110" s="370" t="str">
        <f>IF(H109="——","——",ROUND(H109*10000/'数据-汇总表'!E3,0))</f>
        <v>——</v>
      </c>
      <c r="I110" s="137"/>
    </row>
    <row r="111" spans="1:35" ht="18.75" customHeight="1">
      <c r="A111" s="137"/>
      <c r="B111" s="137"/>
      <c r="C111" s="137"/>
      <c r="D111" s="137"/>
      <c r="E111" s="3212" t="str">
        <f>IF(项目基本情况!E9="抵押净值",IF(OR(项目基本情况!E8="已注销",项目基本情况!E8="房地产抵押价值"),"4.抵押净值","5.抵押净值"),"——")</f>
        <v>——</v>
      </c>
      <c r="F111" s="3213"/>
      <c r="G111" s="2523" t="s">
        <v>2302</v>
      </c>
      <c r="H111" s="1047" t="str">
        <f>IF(E111="——","——",N59)</f>
        <v>——</v>
      </c>
      <c r="I111" s="137"/>
    </row>
    <row r="112" spans="1:35" ht="18.75" customHeight="1" thickBot="1">
      <c r="A112" s="137"/>
      <c r="B112" s="137"/>
      <c r="C112" s="137"/>
      <c r="D112" s="137"/>
      <c r="E112" s="3214"/>
      <c r="F112" s="3215"/>
      <c r="G112" s="2528" t="s">
        <v>2304</v>
      </c>
      <c r="H112" s="789" t="str">
        <f>IF(E111="——","——",N61)</f>
        <v>——</v>
      </c>
      <c r="I112" s="137"/>
    </row>
    <row r="113" spans="1:11" ht="18.75" customHeight="1">
      <c r="A113" s="137"/>
      <c r="B113" s="137"/>
      <c r="C113" s="137"/>
      <c r="D113" s="137"/>
      <c r="E113" s="3182" t="s">
        <v>2310</v>
      </c>
      <c r="F113" s="3182"/>
      <c r="G113" s="3182"/>
      <c r="H113" s="3182"/>
      <c r="I113" s="137"/>
    </row>
    <row r="114" spans="1:11" ht="3.75" customHeight="1">
      <c r="A114" s="2421"/>
      <c r="B114" s="2421"/>
      <c r="C114" s="2421"/>
      <c r="D114" s="2421"/>
      <c r="E114" s="2499"/>
      <c r="F114" s="2499"/>
      <c r="G114" s="2499"/>
      <c r="H114" s="2499"/>
      <c r="I114" s="2421"/>
    </row>
    <row r="115" spans="1:11" ht="18.75" customHeight="1">
      <c r="A115" s="3195" t="s">
        <v>2312</v>
      </c>
      <c r="B115" s="3196"/>
      <c r="C115" s="3196"/>
      <c r="D115" s="3196"/>
      <c r="E115" s="3196"/>
      <c r="F115" s="3196"/>
      <c r="G115" s="3196"/>
      <c r="H115" s="3196"/>
      <c r="I115" s="3197"/>
    </row>
    <row r="116" spans="1:11" ht="27" customHeight="1">
      <c r="A116" s="3064" t="s">
        <v>2313</v>
      </c>
      <c r="B116" s="3183" t="s">
        <v>2314</v>
      </c>
      <c r="C116" s="3183" t="s">
        <v>2315</v>
      </c>
      <c r="D116" s="3199" t="s">
        <v>2316</v>
      </c>
      <c r="E116" s="3200"/>
      <c r="F116" s="3191" t="s">
        <v>2317</v>
      </c>
      <c r="G116" s="3191"/>
      <c r="H116" s="3064" t="s">
        <v>2318</v>
      </c>
      <c r="I116" s="3064"/>
    </row>
    <row r="117" spans="1:11" ht="18.75" customHeight="1">
      <c r="A117" s="3064"/>
      <c r="B117" s="3184"/>
      <c r="C117" s="3184"/>
      <c r="D117" s="1797" t="s">
        <v>2319</v>
      </c>
      <c r="E117" s="1797" t="s">
        <v>2320</v>
      </c>
      <c r="F117" s="1797" t="s">
        <v>2319</v>
      </c>
      <c r="G117" s="1797" t="s">
        <v>2321</v>
      </c>
      <c r="H117" s="1797" t="s">
        <v>2319</v>
      </c>
      <c r="I117" s="1797" t="s">
        <v>2321</v>
      </c>
    </row>
    <row r="118" spans="1:11" ht="24.75" customHeight="1">
      <c r="A118" s="2529" t="str">
        <f>项目基本情况!S2</f>
        <v>房地产</v>
      </c>
      <c r="B118" s="1797">
        <f>M18</f>
        <v>0</v>
      </c>
      <c r="C118" s="1797">
        <f>M19</f>
        <v>0</v>
      </c>
      <c r="D118" s="1797" t="e">
        <f ca="1">ROUND(IF(D32="总价",C34,E118*B118/10000),0)</f>
        <v>#REF!</v>
      </c>
      <c r="E118" s="1797" t="e">
        <f ca="1">ROUND(IF(C33="自定义",IF(D32="楼面单价",C34,D118*10000/B118),I118-G118),0)</f>
        <v>#DIV/0!</v>
      </c>
      <c r="F118" s="1797" t="e">
        <f ca="1">ROUND(IF(D32="总价",C35,G118*B118/10000),0)</f>
        <v>#REF!</v>
      </c>
      <c r="G118" s="1797" t="e">
        <f ca="1">ROUND(IF(D32="楼面单价",C35,F118*10000/B118),0)</f>
        <v>#REF!</v>
      </c>
      <c r="H118" s="1797">
        <f ca="1">ROUND(IF(D32="总价",C32,I118*B118/10000),0)</f>
        <v>78</v>
      </c>
      <c r="I118" s="1797" t="e">
        <f ca="1">ROUND(IF(D32="楼面单价",C32,H118*10000/B118),0)</f>
        <v>#DIV/0!</v>
      </c>
    </row>
    <row r="119" spans="1:11" ht="18.75" customHeight="1">
      <c r="A119" s="3064" t="s">
        <v>2322</v>
      </c>
      <c r="B119" s="3064"/>
      <c r="C119" s="3064"/>
      <c r="D119" s="3188" t="e">
        <f ca="1">NUMBERSTRING(INT(D118*10000),2)&amp;"元整"</f>
        <v>#REF!</v>
      </c>
      <c r="E119" s="3190"/>
      <c r="F119" s="3188" t="e">
        <f ca="1">NUMBERSTRING(INT(F118*10000),2)&amp;"元整"</f>
        <v>#REF!</v>
      </c>
      <c r="G119" s="3190"/>
      <c r="H119" s="3188" t="str">
        <f ca="1">NUMBERSTRING(INT(H118*10000),2)&amp;"元整"</f>
        <v>柒拾捌万元整</v>
      </c>
      <c r="I119" s="3190"/>
    </row>
    <row r="120" spans="1:11" ht="18.75" customHeight="1">
      <c r="A120" s="3216" t="str">
        <f>IF(项目基本情况!B9="房地产市场价值","",MID(E103,3,LEN(E103)-2))</f>
        <v>估价师知悉的法定优先受偿款</v>
      </c>
      <c r="B120" s="3217"/>
      <c r="C120" s="3218"/>
      <c r="D120" s="3216">
        <f>H103</f>
        <v>0</v>
      </c>
      <c r="E120" s="3217"/>
      <c r="F120" s="3217"/>
      <c r="G120" s="3217"/>
      <c r="H120" s="3217"/>
      <c r="I120" s="3218"/>
      <c r="K120" s="2426" t="str">
        <f>IF(D120=0,"故，本次评估不存在"&amp;A120,"故，本次评估"&amp;A120&amp;"为人民币"&amp;D120&amp;"万元整。")</f>
        <v>故，本次评估不存在估价师知悉的法定优先受偿款</v>
      </c>
    </row>
    <row r="121" spans="1:11" ht="18.75" customHeight="1">
      <c r="A121" s="3192" t="s">
        <v>2322</v>
      </c>
      <c r="B121" s="3193"/>
      <c r="C121" s="3194"/>
      <c r="D121" s="3188" t="str">
        <f>IF(D120=0,"零元整",NUMBERSTRING(INT(D120*10000),2)&amp;"元整")</f>
        <v>零元整</v>
      </c>
      <c r="E121" s="3189"/>
      <c r="F121" s="3189"/>
      <c r="G121" s="3189"/>
      <c r="H121" s="3189"/>
      <c r="I121" s="3190"/>
    </row>
    <row r="122" spans="1:11" ht="18.75" customHeight="1">
      <c r="A122" s="3179" t="str">
        <f>IF(项目基本情况!B9="房地产市场价值","",MID(E107,3,LEN(E107)-2))</f>
        <v>房地产抵押价值</v>
      </c>
      <c r="B122" s="3179"/>
      <c r="C122" s="3179"/>
      <c r="D122" s="3216">
        <f ca="1">H107</f>
        <v>78</v>
      </c>
      <c r="E122" s="3217"/>
      <c r="F122" s="3217"/>
      <c r="G122" s="3217"/>
      <c r="H122" s="3217"/>
      <c r="I122" s="3218"/>
    </row>
    <row r="123" spans="1:11" ht="18.75" customHeight="1">
      <c r="A123" s="3064" t="s">
        <v>2322</v>
      </c>
      <c r="B123" s="3064"/>
      <c r="C123" s="3064"/>
      <c r="D123" s="3188" t="str">
        <f ca="1">NUMBERSTRING(INT(D122*10000),2)&amp;"元整"</f>
        <v>柒拾捌万元整</v>
      </c>
      <c r="E123" s="3189"/>
      <c r="F123" s="3189"/>
      <c r="G123" s="3189"/>
      <c r="H123" s="3189"/>
      <c r="I123" s="3190"/>
    </row>
    <row r="124" spans="1:11" ht="18.75" customHeight="1">
      <c r="A124" s="3179" t="str">
        <f>IF(项目基本情况!B9="房地产市场价值","",MID(E109,3,LEN(E109)-2))</f>
        <v/>
      </c>
      <c r="B124" s="3179"/>
      <c r="C124" s="3179"/>
      <c r="D124" s="3216" t="str">
        <f>H109</f>
        <v>——</v>
      </c>
      <c r="E124" s="3217"/>
      <c r="F124" s="3217"/>
      <c r="G124" s="3217"/>
      <c r="H124" s="3217"/>
      <c r="I124" s="3218"/>
    </row>
    <row r="125" spans="1:11" ht="18.75" customHeight="1">
      <c r="A125" s="3064" t="s">
        <v>2322</v>
      </c>
      <c r="B125" s="3064"/>
      <c r="C125" s="3064"/>
      <c r="D125" s="3188" t="e">
        <f>NUMBERSTRING(INT(D124*10000),2)&amp;"元整"</f>
        <v>#VALUE!</v>
      </c>
      <c r="E125" s="3189"/>
      <c r="F125" s="3189"/>
      <c r="G125" s="3189"/>
      <c r="H125" s="3189"/>
      <c r="I125" s="3190"/>
    </row>
    <row r="126" spans="1:11" ht="18.75" customHeight="1">
      <c r="A126" s="3179" t="str">
        <f>IF(项目基本情况!B9="房地产市场价值","",MID(E111,3,LEN(E111)-2))</f>
        <v/>
      </c>
      <c r="B126" s="3179"/>
      <c r="C126" s="3179"/>
      <c r="D126" s="3216" t="str">
        <f>H111</f>
        <v>——</v>
      </c>
      <c r="E126" s="3217"/>
      <c r="F126" s="3217"/>
      <c r="G126" s="3217"/>
      <c r="H126" s="3217"/>
      <c r="I126" s="3218"/>
    </row>
    <row r="127" spans="1:11" ht="18.75" customHeight="1">
      <c r="A127" s="3064" t="s">
        <v>2322</v>
      </c>
      <c r="B127" s="3064"/>
      <c r="C127" s="3064"/>
      <c r="D127" s="3188" t="e">
        <f>NUMBERSTRING(INT(D126*10000),2)&amp;"元整"</f>
        <v>#VALUE!</v>
      </c>
      <c r="E127" s="3189"/>
      <c r="F127" s="3189"/>
      <c r="G127" s="3189"/>
      <c r="H127" s="3189"/>
      <c r="I127" s="3190"/>
    </row>
    <row r="128" spans="1:11" ht="21.75" customHeight="1">
      <c r="A128" s="3198" t="s">
        <v>2323</v>
      </c>
      <c r="B128" s="3198"/>
      <c r="C128" s="3198"/>
      <c r="D128" s="3198"/>
      <c r="E128" s="3198"/>
      <c r="F128" s="3198"/>
      <c r="G128" s="3198"/>
      <c r="H128" s="3198"/>
      <c r="I128" s="3198"/>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2326</v>
      </c>
      <c r="G135" s="2547"/>
      <c r="H135" s="2547"/>
      <c r="I135" s="2548" t="s">
        <v>2327</v>
      </c>
    </row>
    <row r="136" spans="1:35" ht="21.75" customHeight="1">
      <c r="A136" s="794"/>
      <c r="B136" s="2549"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2329</v>
      </c>
    </row>
    <row r="139" spans="1:35" ht="21.75" customHeight="1">
      <c r="A139" s="794"/>
      <c r="B139" s="2549" t="s">
        <v>2330</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2329</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9"/>
      <c r="C1" s="241"/>
      <c r="D1" s="241"/>
      <c r="E1" s="241"/>
      <c r="F1" s="241"/>
      <c r="G1" s="1381">
        <f>MATCH(B1,'数据-取费表'!A6:A16,0)+5</f>
        <v>8</v>
      </c>
    </row>
    <row r="2" spans="1:9" s="243" customFormat="1" ht="18" customHeight="1">
      <c r="A2" s="244" t="s">
        <v>2332</v>
      </c>
      <c r="B2" s="245">
        <f ca="1">IF(D2="——",C52,C52-E2)</f>
        <v>7017</v>
      </c>
      <c r="C2" s="242" t="s">
        <v>2333</v>
      </c>
      <c r="D2" s="2552" t="s">
        <v>70</v>
      </c>
      <c r="E2" s="1442" t="e">
        <f ca="1">SUMIF(INDIRECT("'"&amp;G2&amp;"'"&amp;"!A:A"),"承租人权益价值",INDIRECT("'"&amp;G2&amp;"'"&amp;"!c:c"))</f>
        <v>#REF!</v>
      </c>
      <c r="F2" s="2553" t="s">
        <v>2333</v>
      </c>
      <c r="G2" s="2554"/>
    </row>
    <row r="3" spans="1:9" s="243" customFormat="1" ht="18" customHeight="1" thickBot="1">
      <c r="A3" s="246" t="s">
        <v>2334</v>
      </c>
      <c r="B3" s="247">
        <f ca="1">ROUND(B2*10000/(IF(B1="",'数据-汇总表'!E3,INDIRECT("'数据-取费表'!k"&amp;$G$1))),0)</f>
        <v>4137</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51" t="s">
        <v>2342</v>
      </c>
      <c r="B6" s="258" t="s">
        <v>2343</v>
      </c>
      <c r="C6" s="259"/>
      <c r="D6" s="260"/>
      <c r="E6" s="261"/>
      <c r="F6" s="261"/>
      <c r="G6" s="262"/>
    </row>
    <row r="7" spans="1:9" s="257" customFormat="1" ht="13.5" customHeight="1">
      <c r="A7" s="951" t="s">
        <v>2344</v>
      </c>
      <c r="B7" s="258" t="s">
        <v>2345</v>
      </c>
      <c r="C7" s="263">
        <f>ROUND(C6*F7,0)</f>
        <v>0</v>
      </c>
      <c r="D7" s="263"/>
      <c r="E7" s="261"/>
      <c r="F7" s="264">
        <f>'数据-取费表'!B48+'数据-取费表'!B49</f>
        <v>3.0499999999999999E-2</v>
      </c>
      <c r="G7" s="262"/>
    </row>
    <row r="8" spans="1:9" s="266" customFormat="1">
      <c r="A8" s="951" t="s">
        <v>2346</v>
      </c>
      <c r="B8" s="258" t="s">
        <v>2347</v>
      </c>
      <c r="C8" s="263">
        <f>IF(G8="已包含在土地购买价格中","0",IF(B1="",'数据-取费表'!B29,IF(G9="全部缴纳",C9+C10,H9)))</f>
        <v>0</v>
      </c>
      <c r="D8" s="265"/>
      <c r="E8" s="263"/>
      <c r="F8" s="264"/>
      <c r="G8" s="2555"/>
    </row>
    <row r="9" spans="1:9" s="257" customFormat="1" ht="13.5" customHeight="1">
      <c r="A9" s="952" t="s">
        <v>800</v>
      </c>
      <c r="B9" s="267" t="s">
        <v>2348</v>
      </c>
      <c r="C9" s="268">
        <f ca="1">ROUND(D9*E9/10000,0)</f>
        <v>0</v>
      </c>
      <c r="D9" s="1034">
        <f ca="1">IF(B1="",'数据-汇总表'!E5,IF(INDIRECT("'数据-取费表'!c"&amp;$G$1)="住宅",INDIRECT("'数据-取费表'!k"&amp;$G$1),0))</f>
        <v>0</v>
      </c>
      <c r="E9" s="268">
        <f>'数据-取费表'!B27</f>
        <v>80</v>
      </c>
      <c r="F9" s="264"/>
      <c r="G9" s="2556"/>
      <c r="H9" s="1392"/>
      <c r="I9" s="2557" t="s">
        <v>2349</v>
      </c>
    </row>
    <row r="10" spans="1:9" s="257" customFormat="1" ht="13.5" customHeight="1">
      <c r="A10" s="952" t="s">
        <v>801</v>
      </c>
      <c r="B10" s="267" t="s">
        <v>2350</v>
      </c>
      <c r="C10" s="268">
        <f ca="1">ROUND(D10*E10/10000,0)</f>
        <v>271</v>
      </c>
      <c r="D10" s="1034">
        <f ca="1">IF(B1="",'数据-汇总表'!E6,IF(INDIRECT("'数据-取费表'!c"&amp;$G$1)="住宅",INDIRECT("'数据-取费表'!s"&amp;$G$1),INDIRECT("'数据-取费表'!k"&amp;$G$1)+INDIRECT("'数据-取费表'!s"&amp;$G$1)))</f>
        <v>16960.349999999999</v>
      </c>
      <c r="E10" s="268">
        <f>'数据-取费表'!B28</f>
        <v>160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f ca="1">IF(G19="已包含在土地取得成本中","0",ROUND(D19*E19/10000,0))</f>
        <v>339</v>
      </c>
      <c r="D19" s="1038">
        <f ca="1">D9+D10</f>
        <v>16960.349999999999</v>
      </c>
      <c r="E19" s="254">
        <f>'数据-取费表'!B31</f>
        <v>200</v>
      </c>
      <c r="F19" s="274"/>
      <c r="G19" s="2555"/>
    </row>
    <row r="20" spans="1:7" s="257" customFormat="1" ht="13.5" customHeight="1">
      <c r="A20" s="298" t="s">
        <v>2363</v>
      </c>
      <c r="B20" s="253" t="s">
        <v>2364</v>
      </c>
      <c r="C20" s="275">
        <f ca="1">ROUND((C5+C19)*F20,0)</f>
        <v>5</v>
      </c>
      <c r="D20" s="275"/>
      <c r="E20" s="275"/>
      <c r="F20" s="276">
        <f>'数据-取费表'!B37</f>
        <v>1.4999999999999999E-2</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6">
        <f ca="1">ROUND(SUM(C23:C25),0)</f>
        <v>33</v>
      </c>
      <c r="D22" s="278">
        <f ca="1">C26</f>
        <v>1.4E-3</v>
      </c>
      <c r="E22" s="279" t="s">
        <v>2368</v>
      </c>
      <c r="F22" s="280">
        <f ca="1">'数据-取费表'!B40</f>
        <v>4.7500000000000001E-2</v>
      </c>
      <c r="G22" s="277" t="str">
        <f>IF('数据-取费表'!B22&lt;=1,"单利计息","复利计息")</f>
        <v>复利计息</v>
      </c>
    </row>
    <row r="23" spans="1:7" s="257" customFormat="1" ht="13.5" customHeight="1">
      <c r="A23" s="953" t="s">
        <v>2372</v>
      </c>
      <c r="B23" s="258" t="s">
        <v>2373</v>
      </c>
      <c r="C23" s="1357">
        <f ca="1">ROUND(IF('数据-取费表'!B22&lt;=1,C5*F22*'数据-取费表'!B23,C5*(POWER((1+F22),'数据-取费表'!B23)-1)),0)</f>
        <v>0</v>
      </c>
      <c r="D23" s="281"/>
      <c r="E23" s="281"/>
      <c r="F23" s="282"/>
      <c r="G23" s="283" t="s">
        <v>2374</v>
      </c>
    </row>
    <row r="24" spans="1:7" s="257" customFormat="1" ht="13.5" customHeight="1">
      <c r="A24" s="953" t="s">
        <v>2375</v>
      </c>
      <c r="B24" s="258" t="s">
        <v>2376</v>
      </c>
      <c r="C24" s="1357">
        <f ca="1">ROUND(IF('数据-取费表'!B22&lt;=1,C19*F22*('数据-取费表'!B19/2+'数据-取费表'!B21),C19*(POWER((1+F22),('数据-取费表'!B19/2+'数据-取费表'!B21))-1)),0)</f>
        <v>33</v>
      </c>
      <c r="D24" s="281"/>
      <c r="E24" s="281"/>
      <c r="F24" s="282"/>
      <c r="G24" s="283" t="s">
        <v>2377</v>
      </c>
    </row>
    <row r="25" spans="1:7" s="257" customFormat="1" ht="24">
      <c r="A25" s="953" t="s">
        <v>2378</v>
      </c>
      <c r="B25" s="258" t="s">
        <v>2379</v>
      </c>
      <c r="C25" s="1357">
        <f ca="1">ROUND(IF('数据-取费表'!B22&lt;=1,C20*F22*'数据-取费表'!B23/2,C20*(POWER((1+F22),'数据-取费表'!B23/2)-1)),0)</f>
        <v>0</v>
      </c>
      <c r="D25" s="281"/>
      <c r="E25" s="284"/>
      <c r="F25" s="282"/>
      <c r="G25" s="285" t="s">
        <v>2380</v>
      </c>
    </row>
    <row r="26" spans="1:7" s="257" customFormat="1">
      <c r="A26" s="953"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34</v>
      </c>
      <c r="D27" s="278">
        <f ca="1">C29</f>
        <v>3.0000000000000001E-3</v>
      </c>
      <c r="E27" s="279" t="s">
        <v>2384</v>
      </c>
      <c r="F27" s="289">
        <f ca="1">IF(B1="",'数据-取费表'!Q16,INDIRECT("'数据-取费表'!q"&amp;$G$1))</f>
        <v>0.1</v>
      </c>
      <c r="G27" s="290" t="s">
        <v>2385</v>
      </c>
    </row>
    <row r="28" spans="1:7" s="257" customFormat="1" ht="13.5" customHeight="1">
      <c r="A28" s="953" t="s">
        <v>791</v>
      </c>
      <c r="B28" s="291" t="s">
        <v>2386</v>
      </c>
      <c r="C28" s="292">
        <f ca="1">ROUND((C5+C19+C20)*F27*'数据-取费表'!B21/'数据-取费表'!B20,0)</f>
        <v>34</v>
      </c>
      <c r="D28" s="278"/>
      <c r="E28" s="279"/>
      <c r="F28" s="289"/>
      <c r="G28" s="290"/>
    </row>
    <row r="29" spans="1:7" s="257" customFormat="1" ht="13.5" customHeight="1">
      <c r="A29" s="953" t="s">
        <v>792</v>
      </c>
      <c r="B29" s="291" t="s">
        <v>2387</v>
      </c>
      <c r="C29" s="281">
        <f ca="1">ROUND(C21*F27*'数据-取费表'!B21/'数据-取费表'!B20,4)</f>
        <v>3.0000000000000001E-3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451</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5301</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4749</v>
      </c>
      <c r="D34" s="260"/>
      <c r="E34" s="263"/>
      <c r="F34" s="300">
        <f ca="1">IF('数据-取费表'!B24=0,1,IF(B1="",'数据-取费表'!N16,INDIRECT("'数据-取费表'!n"&amp;$G$1)))</f>
        <v>1</v>
      </c>
      <c r="G34" s="262" t="s">
        <v>2396</v>
      </c>
    </row>
    <row r="35" spans="1:7" ht="13.5" customHeight="1">
      <c r="A35" s="953" t="s">
        <v>796</v>
      </c>
      <c r="B35" s="258" t="s">
        <v>2397</v>
      </c>
      <c r="C35" s="263">
        <f ca="1">ROUND(C34*F35,0)</f>
        <v>142</v>
      </c>
      <c r="D35" s="263"/>
      <c r="E35" s="263"/>
      <c r="F35" s="302">
        <f>'数据-取费表'!B33</f>
        <v>0.03</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53" t="s">
        <v>798</v>
      </c>
      <c r="B37" s="258" t="s">
        <v>2401</v>
      </c>
      <c r="C37" s="292">
        <f ca="1">ROUND(E37*D37*F34/10000,0)</f>
        <v>339</v>
      </c>
      <c r="D37" s="260">
        <f ca="1">D19</f>
        <v>16960.349999999999</v>
      </c>
      <c r="E37" s="292">
        <f>'数据-取费表'!B35</f>
        <v>200</v>
      </c>
      <c r="F37" s="302"/>
      <c r="G37" s="304" t="s">
        <v>2402</v>
      </c>
    </row>
    <row r="38" spans="1:7" ht="13.5" customHeight="1">
      <c r="A38" s="953" t="s">
        <v>799</v>
      </c>
      <c r="B38" s="258" t="s">
        <v>2403</v>
      </c>
      <c r="C38" s="263">
        <f ca="1">ROUND(C34*F38,0)</f>
        <v>71</v>
      </c>
      <c r="D38" s="263"/>
      <c r="E38" s="263"/>
      <c r="F38" s="302">
        <f>'数据-取费表'!B36</f>
        <v>1.4999999999999999E-2</v>
      </c>
      <c r="G38" s="262" t="s">
        <v>2398</v>
      </c>
    </row>
    <row r="39" spans="1:7" s="257" customFormat="1" ht="13.5" customHeight="1">
      <c r="A39" s="298" t="s">
        <v>2404</v>
      </c>
      <c r="B39" s="253" t="s">
        <v>2405</v>
      </c>
      <c r="C39" s="275">
        <f ca="1">ROUND(C33*F20,0)</f>
        <v>80</v>
      </c>
      <c r="D39" s="275"/>
      <c r="E39" s="275"/>
      <c r="F39" s="276"/>
      <c r="G39" s="277" t="s">
        <v>2406</v>
      </c>
    </row>
    <row r="40" spans="1:7" s="257" customFormat="1" ht="13.5" customHeight="1">
      <c r="A40" s="298" t="s">
        <v>2407</v>
      </c>
      <c r="B40" s="253" t="s">
        <v>2408</v>
      </c>
      <c r="C40" s="1730">
        <f>F21</f>
        <v>0.03</v>
      </c>
      <c r="D40" s="279" t="s">
        <v>2409</v>
      </c>
      <c r="E40" s="275"/>
      <c r="F40" s="276"/>
      <c r="G40" s="277" t="s">
        <v>2410</v>
      </c>
    </row>
    <row r="41" spans="1:7" s="257" customFormat="1" ht="13.5" customHeight="1">
      <c r="A41" s="298" t="s">
        <v>2411</v>
      </c>
      <c r="B41" s="253" t="s">
        <v>2412</v>
      </c>
      <c r="C41" s="275">
        <f ca="1">ROUND(SUM(C42:C43),0)</f>
        <v>256</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ROUND(IF('数据-取费表'!B22&lt;=1,C33*F22*'数据-取费表'!B21/2,C33*(POWER((1+F22),'数据-取费表'!B21/2)-1)),0)</f>
        <v>252</v>
      </c>
      <c r="D42" s="281"/>
      <c r="E42" s="281"/>
      <c r="F42" s="282"/>
      <c r="G42" s="3230" t="s">
        <v>2414</v>
      </c>
    </row>
    <row r="43" spans="1:7" ht="13.5" customHeight="1">
      <c r="A43" s="953" t="s">
        <v>792</v>
      </c>
      <c r="B43" s="258" t="s">
        <v>2415</v>
      </c>
      <c r="C43" s="281">
        <f ca="1">ROUND(IF('数据-取费表'!B22&lt;=1,C39*F22*'数据-取费表'!B21/2,C39*(POWER((1+F22),'数据-取费表'!B21/2)-1)),0)</f>
        <v>4</v>
      </c>
      <c r="D43" s="281"/>
      <c r="E43" s="281"/>
      <c r="F43" s="282"/>
      <c r="G43" s="3231"/>
    </row>
    <row r="44" spans="1:7" ht="13.5" customHeight="1">
      <c r="A44" s="953" t="s">
        <v>793</v>
      </c>
      <c r="B44" s="258" t="s">
        <v>2416</v>
      </c>
      <c r="C44" s="281">
        <f ca="1">ROUND(IF('数据-取费表'!B22&lt;=1,C40*F22*'数据-取费表'!B21/2,C40*(POWER((1+F22),'数据-取费表'!B21/2)-1)),4)</f>
        <v>1.4E-3</v>
      </c>
      <c r="D44" s="281"/>
      <c r="E44" s="281"/>
      <c r="F44" s="282"/>
      <c r="G44" s="3232"/>
    </row>
    <row r="45" spans="1:7" s="257" customFormat="1" ht="13.5" customHeight="1">
      <c r="A45" s="298" t="s">
        <v>2417</v>
      </c>
      <c r="B45" s="287" t="s">
        <v>2383</v>
      </c>
      <c r="C45" s="288">
        <f ca="1">C46</f>
        <v>538</v>
      </c>
      <c r="D45" s="278">
        <f ca="1">C47</f>
        <v>3.0000000000000001E-3</v>
      </c>
      <c r="E45" s="279" t="s">
        <v>2409</v>
      </c>
      <c r="F45" s="289"/>
      <c r="G45" s="290" t="s">
        <v>2418</v>
      </c>
    </row>
    <row r="46" spans="1:7" s="257" customFormat="1" ht="13.5" customHeight="1">
      <c r="A46" s="953" t="s">
        <v>791</v>
      </c>
      <c r="B46" s="291" t="s">
        <v>2419</v>
      </c>
      <c r="C46" s="292">
        <f ca="1">ROUND((C33+C39)*F27,0)</f>
        <v>538</v>
      </c>
      <c r="D46" s="306"/>
      <c r="E46" s="279"/>
      <c r="F46" s="289"/>
      <c r="G46" s="290"/>
    </row>
    <row r="47" spans="1:7" s="257" customFormat="1" ht="13.5" customHeight="1">
      <c r="A47" s="953" t="s">
        <v>792</v>
      </c>
      <c r="B47" s="291" t="s">
        <v>2420</v>
      </c>
      <c r="C47" s="281">
        <f ca="1">ROUND(C40*F27,4)</f>
        <v>3.0000000000000001E-3</v>
      </c>
      <c r="D47" s="306"/>
      <c r="E47" s="279"/>
      <c r="F47" s="289"/>
      <c r="G47" s="290"/>
    </row>
    <row r="48" spans="1:7" s="257" customFormat="1" ht="13.5" customHeight="1">
      <c r="A48" s="298" t="s">
        <v>2382</v>
      </c>
      <c r="B48" s="253" t="s">
        <v>2421</v>
      </c>
      <c r="C48" s="1730">
        <f>ROUND(F30/(1+'数据-取费表'!C42),4)</f>
        <v>5.33E-2</v>
      </c>
      <c r="D48" s="279" t="s">
        <v>2409</v>
      </c>
      <c r="E48" s="275"/>
      <c r="F48" s="280"/>
      <c r="G48" s="277" t="s">
        <v>2422</v>
      </c>
    </row>
    <row r="49" spans="1:7" ht="16.5" customHeight="1">
      <c r="A49" s="298" t="s">
        <v>2388</v>
      </c>
      <c r="B49" s="253" t="s">
        <v>2423</v>
      </c>
      <c r="C49" s="275">
        <f ca="1">ROUND((C33+C39+C41+C45)/(1-C40-D41-D45-C48),0)</f>
        <v>6769</v>
      </c>
      <c r="D49" s="275"/>
      <c r="E49" s="275"/>
      <c r="F49" s="307"/>
      <c r="G49" s="277" t="s">
        <v>2424</v>
      </c>
    </row>
    <row r="50" spans="1:7" s="301" customFormat="1" ht="24">
      <c r="A50" s="298" t="s">
        <v>2425</v>
      </c>
      <c r="B50" s="253" t="s">
        <v>2426</v>
      </c>
      <c r="C50" s="275"/>
      <c r="D50" s="275"/>
      <c r="E50" s="275"/>
      <c r="F50" s="307">
        <f>IF('数据-取费表'!B24=0,'数据-取费表'!N16,1)</f>
        <v>0.97</v>
      </c>
      <c r="G50" s="290" t="s">
        <v>2427</v>
      </c>
    </row>
    <row r="51" spans="1:7" ht="16.5" customHeight="1">
      <c r="A51" s="298" t="s">
        <v>2428</v>
      </c>
      <c r="B51" s="253" t="s">
        <v>2429</v>
      </c>
      <c r="C51" s="275">
        <f ca="1">ROUND(C49*F50,0)</f>
        <v>6566</v>
      </c>
      <c r="D51" s="275"/>
      <c r="E51" s="275"/>
      <c r="F51" s="307"/>
      <c r="G51" s="277" t="s">
        <v>2430</v>
      </c>
    </row>
    <row r="52" spans="1:7" s="251" customFormat="1" ht="16.5" thickBot="1">
      <c r="A52" s="308" t="s">
        <v>2431</v>
      </c>
      <c r="B52" s="309"/>
      <c r="C52" s="310">
        <f ca="1">C31+C51</f>
        <v>7017</v>
      </c>
      <c r="D52" s="309"/>
      <c r="E52" s="309"/>
      <c r="F52" s="309"/>
      <c r="G52" s="311"/>
    </row>
    <row r="55" spans="1:7" ht="15">
      <c r="B55" s="313" t="s">
        <v>2432</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9"/>
      <c r="C1" s="2558" t="s">
        <v>2433</v>
      </c>
      <c r="D1" s="241"/>
      <c r="E1" s="241"/>
      <c r="F1" s="241"/>
      <c r="G1" s="1381">
        <f>MATCH(B1,'数据-取费表'!A6:A16,0)+5</f>
        <v>8</v>
      </c>
      <c r="H1" s="1284" t="str">
        <f>IF(ISERROR(FIND("住宅",B1)),"非住宅","住宅")</f>
        <v>非住宅</v>
      </c>
    </row>
    <row r="2" spans="1:8" s="243" customFormat="1" ht="18" customHeight="1">
      <c r="A2" s="244" t="s">
        <v>2332</v>
      </c>
      <c r="B2" s="245">
        <f ca="1">ROUND(IF(D2="——",C52/10000,C52/10000-E2),0)</f>
        <v>7378</v>
      </c>
      <c r="C2" s="242" t="s">
        <v>2333</v>
      </c>
      <c r="D2" s="2552" t="s">
        <v>70</v>
      </c>
      <c r="E2" s="1442" t="e">
        <f ca="1">SUMIF(INDIRECT("'"&amp;G2&amp;"'"&amp;"!A:A"),"承租人权益价值",INDIRECT("'"&amp;G2&amp;"'"&amp;"!c:c"))</f>
        <v>#REF!</v>
      </c>
      <c r="F2" s="2553" t="s">
        <v>2333</v>
      </c>
      <c r="G2" s="2554"/>
    </row>
    <row r="3" spans="1:8" s="243" customFormat="1" ht="18" customHeight="1" thickBot="1">
      <c r="A3" s="246" t="s">
        <v>2334</v>
      </c>
      <c r="B3" s="247">
        <f ca="1">ROUND(B2*10000/(IF(B1="",'数据-汇总表'!E3,INDIRECT("'数据-取费表'!k"&amp;$G$1))),0)</f>
        <v>4350</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2713656</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2713656</v>
      </c>
      <c r="D8" s="265"/>
      <c r="E8" s="263"/>
      <c r="F8" s="264"/>
      <c r="G8" s="2555"/>
    </row>
    <row r="9" spans="1:8" s="257" customFormat="1" ht="13.5" customHeight="1">
      <c r="A9" s="952" t="s">
        <v>800</v>
      </c>
      <c r="B9" s="267" t="s">
        <v>2348</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2350</v>
      </c>
      <c r="C10" s="268">
        <f ca="1">ROUND(D10*E10,0)</f>
        <v>2713656</v>
      </c>
      <c r="D10" s="1034">
        <f ca="1">IF(B1="",'数据-汇总表'!E6,IF(INDIRECT("'数据-取费表'!c"&amp;$G$1)="住宅",INDIRECT("'数据-取费表'!s"&amp;$G$1),INDIRECT("'数据-取费表'!k"&amp;$G$1)+INDIRECT("'数据-取费表'!s"&amp;$G$1)))</f>
        <v>16960.349999999999</v>
      </c>
      <c r="E10" s="268">
        <f>'数据-取费表'!B28</f>
        <v>160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3392070</v>
      </c>
      <c r="D19" s="1038">
        <f ca="1">D9+D10</f>
        <v>16960.349999999999</v>
      </c>
      <c r="E19" s="254">
        <f>'数据-取费表'!B31</f>
        <v>200</v>
      </c>
      <c r="F19" s="274"/>
      <c r="G19" s="2555"/>
    </row>
    <row r="20" spans="1:7" s="257" customFormat="1" ht="13.5" customHeight="1">
      <c r="A20" s="298" t="s">
        <v>2444</v>
      </c>
      <c r="B20" s="253" t="s">
        <v>2445</v>
      </c>
      <c r="C20" s="275">
        <f ca="1">ROUND((C5+C19)*F20,0)</f>
        <v>91586</v>
      </c>
      <c r="D20" s="275"/>
      <c r="E20" s="275"/>
      <c r="F20" s="276">
        <f>'数据-取费表'!B37</f>
        <v>1.4999999999999999E-2</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2">
        <f ca="1">ROUND(SUM(C23:C25),0)</f>
        <v>598170</v>
      </c>
      <c r="D22" s="278">
        <f ca="1">C26</f>
        <v>1.4E-3</v>
      </c>
      <c r="E22" s="279" t="s">
        <v>2449</v>
      </c>
      <c r="F22" s="280">
        <f ca="1">'数据-取费表'!B40</f>
        <v>4.7500000000000001E-2</v>
      </c>
      <c r="G22" s="277" t="str">
        <f>IF('数据-取费表'!B22&lt;=1,"单利计息","复利计息")</f>
        <v>复利计息</v>
      </c>
    </row>
    <row r="23" spans="1:7" s="257" customFormat="1" ht="13.5" customHeight="1">
      <c r="A23" s="953" t="s">
        <v>2342</v>
      </c>
      <c r="B23" s="258" t="s">
        <v>2453</v>
      </c>
      <c r="C23" s="1383">
        <f ca="1">ROUND(IF('数据-取费表'!B22&lt;=1,C5*F22*'数据-取费表'!B22,C5*(POWER((1+F22),'数据-取费表'!B22)-1)),0)</f>
        <v>263920</v>
      </c>
      <c r="D23" s="281"/>
      <c r="E23" s="281"/>
      <c r="F23" s="282"/>
      <c r="G23" s="283" t="s">
        <v>2454</v>
      </c>
    </row>
    <row r="24" spans="1:7" s="257" customFormat="1" ht="13.5" customHeight="1">
      <c r="A24" s="953" t="s">
        <v>2344</v>
      </c>
      <c r="B24" s="258" t="s">
        <v>2455</v>
      </c>
      <c r="C24" s="1383">
        <f ca="1">ROUND(IF('数据-取费表'!B22&lt;=1,C19*F22*('数据-取费表'!B19/2+'数据-取费表'!B20),C19*(POWER((1+F22),('数据-取费表'!B19/2+'数据-取费表'!B20))-1)),0)</f>
        <v>329900</v>
      </c>
      <c r="D24" s="281"/>
      <c r="E24" s="281"/>
      <c r="F24" s="282"/>
      <c r="G24" s="283" t="s">
        <v>2456</v>
      </c>
    </row>
    <row r="25" spans="1:7" s="257" customFormat="1" ht="24">
      <c r="A25" s="953" t="s">
        <v>2346</v>
      </c>
      <c r="B25" s="258" t="s">
        <v>2457</v>
      </c>
      <c r="C25" s="1383">
        <f ca="1">ROUND(IF('数据-取费表'!B22&lt;=1,C20*F22*'数据-取费表'!B22/2,C20*(POWER((1+F22),'数据-取费表'!B22/2)-1)),0)</f>
        <v>4350</v>
      </c>
      <c r="D25" s="281"/>
      <c r="E25" s="284"/>
      <c r="F25" s="282"/>
      <c r="G25" s="285" t="s">
        <v>2458</v>
      </c>
    </row>
    <row r="26" spans="1:7" s="257" customFormat="1">
      <c r="A26" s="953"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619731</v>
      </c>
      <c r="D27" s="278">
        <f ca="1">C29</f>
        <v>3.0000000000000001E-3</v>
      </c>
      <c r="E27" s="279" t="s">
        <v>2384</v>
      </c>
      <c r="F27" s="289">
        <f ca="1">IF(B1="",'数据-取费表'!Q16,INDIRECT("'数据-取费表'!q"&amp;$G$1))</f>
        <v>0.1</v>
      </c>
      <c r="G27" s="290" t="s">
        <v>2385</v>
      </c>
    </row>
    <row r="28" spans="1:7" s="257" customFormat="1" ht="13.5" customHeight="1">
      <c r="A28" s="953" t="s">
        <v>791</v>
      </c>
      <c r="B28" s="291" t="s">
        <v>2386</v>
      </c>
      <c r="C28" s="292">
        <f ca="1">ROUND((C5+C19+C20)*F27,0)</f>
        <v>619731</v>
      </c>
      <c r="D28" s="278"/>
      <c r="E28" s="279"/>
      <c r="F28" s="289"/>
      <c r="G28" s="290"/>
    </row>
    <row r="29" spans="1:7" s="257" customFormat="1" ht="13.5" customHeight="1">
      <c r="A29" s="953" t="s">
        <v>792</v>
      </c>
      <c r="B29" s="291" t="s">
        <v>2387</v>
      </c>
      <c r="C29" s="281">
        <f ca="1">ROUND(C21*F27,4)</f>
        <v>3.0000000000000001E-3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8128042</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53018054</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47488980</v>
      </c>
      <c r="D34" s="260"/>
      <c r="E34" s="263"/>
      <c r="F34" s="300"/>
      <c r="G34" s="262"/>
    </row>
    <row r="35" spans="1:7" ht="13.5" customHeight="1">
      <c r="A35" s="953" t="s">
        <v>796</v>
      </c>
      <c r="B35" s="258" t="s">
        <v>2397</v>
      </c>
      <c r="C35" s="263">
        <f ca="1">ROUND(C34*F35,0)</f>
        <v>1424669</v>
      </c>
      <c r="D35" s="263"/>
      <c r="E35" s="263"/>
      <c r="F35" s="302">
        <f>'数据-取费表'!B33</f>
        <v>0.03</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53" t="s">
        <v>798</v>
      </c>
      <c r="B37" s="258" t="s">
        <v>2401</v>
      </c>
      <c r="C37" s="292">
        <f ca="1">ROUND(E37*D37,0)</f>
        <v>3392070</v>
      </c>
      <c r="D37" s="260">
        <f ca="1">D19</f>
        <v>16960.349999999999</v>
      </c>
      <c r="E37" s="292">
        <f>'数据-取费表'!B35</f>
        <v>200</v>
      </c>
      <c r="F37" s="302"/>
      <c r="G37" s="304"/>
    </row>
    <row r="38" spans="1:7" ht="13.5" customHeight="1">
      <c r="A38" s="953" t="s">
        <v>799</v>
      </c>
      <c r="B38" s="258" t="s">
        <v>2403</v>
      </c>
      <c r="C38" s="263">
        <f ca="1">ROUND(C34*F38,0)</f>
        <v>712335</v>
      </c>
      <c r="D38" s="263"/>
      <c r="E38" s="263"/>
      <c r="F38" s="302">
        <f>'数据-取费表'!B36</f>
        <v>1.4999999999999999E-2</v>
      </c>
      <c r="G38" s="262" t="s">
        <v>2398</v>
      </c>
    </row>
    <row r="39" spans="1:7" s="257" customFormat="1" ht="13.5" customHeight="1">
      <c r="A39" s="298" t="s">
        <v>2404</v>
      </c>
      <c r="B39" s="253" t="s">
        <v>2405</v>
      </c>
      <c r="C39" s="275">
        <f ca="1">ROUND(C33*F20,0)</f>
        <v>795271</v>
      </c>
      <c r="D39" s="275"/>
      <c r="E39" s="275"/>
      <c r="F39" s="276"/>
      <c r="G39" s="277" t="s">
        <v>2406</v>
      </c>
    </row>
    <row r="40" spans="1:7" s="257" customFormat="1" ht="13.5" customHeight="1">
      <c r="A40" s="298" t="s">
        <v>2407</v>
      </c>
      <c r="B40" s="253" t="s">
        <v>2408</v>
      </c>
      <c r="C40" s="1730">
        <f>F21</f>
        <v>0.03</v>
      </c>
      <c r="D40" s="279" t="s">
        <v>2409</v>
      </c>
      <c r="E40" s="275"/>
      <c r="F40" s="276"/>
      <c r="G40" s="277" t="s">
        <v>2410</v>
      </c>
    </row>
    <row r="41" spans="1:7" s="257" customFormat="1" ht="13.5" customHeight="1">
      <c r="A41" s="298" t="s">
        <v>2411</v>
      </c>
      <c r="B41" s="253" t="s">
        <v>2412</v>
      </c>
      <c r="C41" s="275">
        <f ca="1">ROUND(SUM(C42:C43),0)</f>
        <v>2556133</v>
      </c>
      <c r="D41" s="278">
        <f ca="1">C44</f>
        <v>1.4E-3</v>
      </c>
      <c r="E41" s="279" t="s">
        <v>2409</v>
      </c>
      <c r="F41" s="280"/>
      <c r="G41" s="277" t="str">
        <f>IF('数据-取费表'!B22&lt;=1,"单利计息","复利计息")</f>
        <v>复利计息</v>
      </c>
    </row>
    <row r="42" spans="1:7" ht="13.5" customHeight="1">
      <c r="A42" s="953" t="s">
        <v>791</v>
      </c>
      <c r="B42" s="258" t="s">
        <v>2413</v>
      </c>
      <c r="C42" s="281">
        <f ca="1">ROUND(IF('数据-取费表'!B22&lt;=1,C33*F22*'数据-取费表'!B20/2,C33*(POWER((1+F22),'数据-取费表'!B20/2)-1)),0)</f>
        <v>2518358</v>
      </c>
      <c r="D42" s="281"/>
      <c r="E42" s="281"/>
      <c r="F42" s="282"/>
      <c r="G42" s="3230" t="s">
        <v>2461</v>
      </c>
    </row>
    <row r="43" spans="1:7" ht="13.5" customHeight="1">
      <c r="A43" s="953" t="s">
        <v>792</v>
      </c>
      <c r="B43" s="258" t="s">
        <v>2415</v>
      </c>
      <c r="C43" s="281">
        <f ca="1">ROUND(IF('数据-取费表'!B22&lt;=1,C39*F22*'数据-取费表'!B20/2,C39*(POWER((1+F22),'数据-取费表'!B20/2)-1)),0)</f>
        <v>37775</v>
      </c>
      <c r="D43" s="281"/>
      <c r="E43" s="281"/>
      <c r="F43" s="282"/>
      <c r="G43" s="3231"/>
    </row>
    <row r="44" spans="1:7" ht="13.5" customHeight="1">
      <c r="A44" s="953" t="s">
        <v>793</v>
      </c>
      <c r="B44" s="258" t="s">
        <v>2416</v>
      </c>
      <c r="C44" s="281">
        <f ca="1">ROUND(IF('数据-取费表'!B22&lt;=1,C40*F22*'数据-取费表'!B20/2,C40*(POWER((1+F22),'数据-取费表'!B20/2)-1)),4)</f>
        <v>1.4E-3</v>
      </c>
      <c r="D44" s="281"/>
      <c r="E44" s="281"/>
      <c r="F44" s="282"/>
      <c r="G44" s="3232"/>
    </row>
    <row r="45" spans="1:7" s="257" customFormat="1" ht="13.5" customHeight="1">
      <c r="A45" s="298" t="s">
        <v>2417</v>
      </c>
      <c r="B45" s="287" t="s">
        <v>2383</v>
      </c>
      <c r="C45" s="288">
        <f ca="1">C46</f>
        <v>5381333</v>
      </c>
      <c r="D45" s="278">
        <f ca="1">C47</f>
        <v>3.0000000000000001E-3</v>
      </c>
      <c r="E45" s="279" t="s">
        <v>2409</v>
      </c>
      <c r="F45" s="289"/>
      <c r="G45" s="290" t="s">
        <v>2418</v>
      </c>
    </row>
    <row r="46" spans="1:7" s="257" customFormat="1" ht="13.5" customHeight="1">
      <c r="A46" s="953" t="s">
        <v>791</v>
      </c>
      <c r="B46" s="291" t="s">
        <v>2419</v>
      </c>
      <c r="C46" s="292">
        <f ca="1">ROUND((C33+C39)*F27,0)</f>
        <v>5381333</v>
      </c>
      <c r="D46" s="306"/>
      <c r="E46" s="279"/>
      <c r="F46" s="289"/>
      <c r="G46" s="290"/>
    </row>
    <row r="47" spans="1:7" s="257" customFormat="1" ht="13.5" customHeight="1">
      <c r="A47" s="953" t="s">
        <v>792</v>
      </c>
      <c r="B47" s="291" t="s">
        <v>2420</v>
      </c>
      <c r="C47" s="281">
        <f ca="1">ROUND(C40*F27,4)</f>
        <v>3.0000000000000001E-3</v>
      </c>
      <c r="D47" s="306"/>
      <c r="E47" s="279"/>
      <c r="F47" s="289"/>
      <c r="G47" s="290"/>
    </row>
    <row r="48" spans="1:7" s="257" customFormat="1" ht="13.5" customHeight="1">
      <c r="A48" s="298" t="s">
        <v>2382</v>
      </c>
      <c r="B48" s="253" t="s">
        <v>2421</v>
      </c>
      <c r="C48" s="305">
        <f>ROUND(F30/(1+'数据-取费表'!C42),4)</f>
        <v>5.33E-2</v>
      </c>
      <c r="D48" s="279" t="s">
        <v>2409</v>
      </c>
      <c r="E48" s="275"/>
      <c r="F48" s="280"/>
      <c r="G48" s="277" t="s">
        <v>2422</v>
      </c>
    </row>
    <row r="49" spans="1:7" ht="16.5" customHeight="1">
      <c r="A49" s="298" t="s">
        <v>2388</v>
      </c>
      <c r="B49" s="253" t="s">
        <v>2462</v>
      </c>
      <c r="C49" s="275">
        <f ca="1">ROUND((C33+C39+C41+C45)/(1-C40-D41-D45-C48),0)</f>
        <v>67686935</v>
      </c>
      <c r="D49" s="275"/>
      <c r="E49" s="275"/>
      <c r="F49" s="307"/>
      <c r="G49" s="277" t="s">
        <v>2424</v>
      </c>
    </row>
    <row r="50" spans="1:7" s="301" customFormat="1">
      <c r="A50" s="298" t="s">
        <v>2425</v>
      </c>
      <c r="B50" s="253" t="s">
        <v>2426</v>
      </c>
      <c r="C50" s="275"/>
      <c r="D50" s="275"/>
      <c r="E50" s="275"/>
      <c r="F50" s="307">
        <f>IF('数据-取费表'!B24=0,'数据-取费表'!N16,1)</f>
        <v>0.97</v>
      </c>
      <c r="G50" s="290"/>
    </row>
    <row r="51" spans="1:7" ht="16.5" customHeight="1">
      <c r="A51" s="298" t="s">
        <v>2428</v>
      </c>
      <c r="B51" s="253" t="s">
        <v>2463</v>
      </c>
      <c r="C51" s="275">
        <f ca="1">ROUND(C49*F50,0)</f>
        <v>65656327</v>
      </c>
      <c r="D51" s="275"/>
      <c r="E51" s="275"/>
      <c r="F51" s="307"/>
      <c r="G51" s="277" t="s">
        <v>2430</v>
      </c>
    </row>
    <row r="52" spans="1:7" s="251" customFormat="1" ht="16.5" thickBot="1">
      <c r="A52" s="308" t="s">
        <v>2431</v>
      </c>
      <c r="B52" s="309"/>
      <c r="C52" s="310">
        <f ca="1">C31+C51</f>
        <v>73784369</v>
      </c>
      <c r="D52" s="309"/>
      <c r="E52" s="309"/>
      <c r="F52" s="309"/>
      <c r="G52" s="311"/>
    </row>
    <row r="55" spans="1:7" ht="15">
      <c r="B55" s="313" t="s">
        <v>2432</v>
      </c>
      <c r="C55" s="314"/>
    </row>
    <row r="56" spans="1:7">
      <c r="B56" s="316" t="s">
        <v>1513</v>
      </c>
      <c r="C56" s="318">
        <f ca="1">1-C57</f>
        <v>0.10999999999999999</v>
      </c>
    </row>
    <row r="57" spans="1:7">
      <c r="B57" s="316" t="s">
        <v>1514</v>
      </c>
      <c r="C57" s="317">
        <f ca="1">ROUND(C51/C52,3)</f>
        <v>0.89</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3"/>
      <c r="C1" s="1584"/>
      <c r="D1" s="1582"/>
      <c r="E1" s="319"/>
      <c r="F1" s="319"/>
      <c r="G1" s="1583"/>
      <c r="H1" s="319"/>
      <c r="I1" s="319"/>
      <c r="J1" s="319"/>
      <c r="K1" s="319">
        <f>MATCH(C1,'数据-取费表'!A6:A16,0)+5</f>
        <v>8</v>
      </c>
    </row>
    <row r="2" spans="1:33" ht="18" customHeight="1">
      <c r="A2" s="244" t="s">
        <v>2332</v>
      </c>
      <c r="B2" s="247">
        <f ca="1">C32</f>
        <v>-294</v>
      </c>
      <c r="C2" s="319" t="s">
        <v>2465</v>
      </c>
      <c r="D2" s="319"/>
      <c r="E2" s="319"/>
      <c r="F2" s="319"/>
      <c r="G2" s="319"/>
      <c r="H2" s="319"/>
      <c r="I2" s="319"/>
      <c r="J2" s="319"/>
      <c r="K2" s="319"/>
    </row>
    <row r="3" spans="1:33" ht="18" customHeight="1" thickBot="1">
      <c r="A3" s="246" t="s">
        <v>2334</v>
      </c>
      <c r="B3" s="247">
        <f ca="1">ROUND(B2*10000/IF(C1="",'数据-汇总表'!E3,INDIRECT("'数据-取费表'!K"&amp;$K$1)),0)</f>
        <v>-173</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9" t="s">
        <v>2470</v>
      </c>
      <c r="D5" s="2559" t="s">
        <v>2471</v>
      </c>
      <c r="E5" s="2559" t="s">
        <v>2472</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2486</v>
      </c>
      <c r="C12" s="23">
        <f ca="1">ROUND(C11*F12,0)</f>
        <v>0</v>
      </c>
      <c r="D12" s="975"/>
      <c r="E12" s="374"/>
      <c r="F12" s="978">
        <f>'数据-取费表'!B33</f>
        <v>0.03</v>
      </c>
      <c r="G12" s="8" t="s">
        <v>2487</v>
      </c>
      <c r="H12" s="970"/>
      <c r="I12" s="970"/>
      <c r="J12" s="970"/>
      <c r="K12" s="971"/>
    </row>
    <row r="13" spans="1:33" s="977" customFormat="1" ht="13.5" customHeight="1">
      <c r="A13" s="973" t="s">
        <v>1336</v>
      </c>
      <c r="B13" s="974" t="s">
        <v>2488</v>
      </c>
      <c r="C13" s="23">
        <f ca="1">ROUND(IF(C1="",SUMIF('数据-取费表'!C:C,"住宅",'数据-取费表'!P:P)*F13,IF(INDIRECT("'数据-取费表'!c"&amp;$K$1)="住宅",INDIRECT("'数据-取费表'!P"&amp;$K$1)*F13,0)),0)</f>
        <v>0</v>
      </c>
      <c r="D13" s="1035"/>
      <c r="E13" s="374"/>
      <c r="F13" s="978">
        <f>'数据-取费表'!B34</f>
        <v>0</v>
      </c>
      <c r="G13" s="8" t="s">
        <v>2489</v>
      </c>
      <c r="H13" s="970"/>
      <c r="I13" s="970"/>
      <c r="J13" s="970"/>
      <c r="K13" s="971"/>
    </row>
    <row r="14" spans="1:33" s="979" customFormat="1" ht="13.5" customHeight="1">
      <c r="A14" s="973" t="s">
        <v>1337</v>
      </c>
      <c r="B14" s="974" t="s">
        <v>2490</v>
      </c>
      <c r="C14" s="23">
        <f ca="1">ROUND(D14*E14*F11/10000,0)</f>
        <v>0</v>
      </c>
      <c r="D14" s="1035">
        <f ca="1">IF(C1="",'数据-汇总表'!E3,INDIRECT("'数据-取费表'!K"&amp;$K$1)+INDIRECT("'数据-取费表'!S"&amp;$K$1))</f>
        <v>16960.349999999999</v>
      </c>
      <c r="E14" s="23">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3">
        <f ca="1">ROUND(D17*E17/10000,0)</f>
        <v>0</v>
      </c>
      <c r="D17" s="1035">
        <f ca="1">D14</f>
        <v>16960.349999999999</v>
      </c>
      <c r="E17" s="23">
        <f>'数据-取费表'!B32</f>
        <v>0</v>
      </c>
      <c r="F17" s="980"/>
      <c r="G17" s="139"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3">
        <f ca="1">C19+C20-IF(C1="",'数据-取费表'!B29,IF(G18="已全部缴纳",C19+C20,H18))</f>
        <v>271</v>
      </c>
      <c r="D18" s="1035"/>
      <c r="E18" s="23"/>
      <c r="F18" s="978"/>
      <c r="G18" s="2561"/>
      <c r="H18" s="1579"/>
      <c r="I18" s="2562" t="s">
        <v>2498</v>
      </c>
      <c r="J18" s="981"/>
      <c r="K18" s="982"/>
    </row>
    <row r="19" spans="1:33" s="977" customFormat="1" ht="13.5" customHeight="1">
      <c r="A19" s="973" t="s">
        <v>805</v>
      </c>
      <c r="B19" s="974" t="s">
        <v>2499</v>
      </c>
      <c r="C19" s="23">
        <f ca="1">ROUND(D19*E19/10000,0)</f>
        <v>0</v>
      </c>
      <c r="D19" s="1035">
        <f ca="1">IF(C1="",'数据-汇总表'!E5,IF(INDIRECT("'数据-取费表'!c"&amp;$K$1)="住宅",INDIRECT("'数据-取费表'!k"&amp;$K$1),0))</f>
        <v>0</v>
      </c>
      <c r="E19" s="23">
        <f>'数据-取费表'!B27</f>
        <v>80</v>
      </c>
      <c r="F19" s="978"/>
      <c r="G19" s="14"/>
      <c r="H19" s="1581"/>
      <c r="I19" s="983"/>
      <c r="J19" s="983"/>
      <c r="K19" s="984"/>
    </row>
    <row r="20" spans="1:33" s="977" customFormat="1" ht="13.5" customHeight="1">
      <c r="A20" s="973" t="s">
        <v>806</v>
      </c>
      <c r="B20" s="974" t="s">
        <v>2500</v>
      </c>
      <c r="C20" s="23">
        <f ca="1">ROUND(D20*E20/10000,0)</f>
        <v>271</v>
      </c>
      <c r="D20" s="1035">
        <f ca="1">IF(C1="",'数据-汇总表'!E6,IF(INDIRECT("'数据-取费表'!c"&amp;$K$1)="住宅",INDIRECT("'数据-取费表'!s"&amp;$K$1),INDIRECT("'数据-取费表'!k"&amp;$K$1)+INDIRECT("'数据-取费表'!s"&amp;$K$1)))</f>
        <v>16960.349999999999</v>
      </c>
      <c r="E20" s="23">
        <f>'数据-取费表'!B28</f>
        <v>160</v>
      </c>
      <c r="F20" s="978"/>
      <c r="G20" s="14"/>
      <c r="H20" s="983"/>
      <c r="I20" s="983"/>
      <c r="J20" s="983"/>
      <c r="K20" s="984"/>
    </row>
    <row r="21" spans="1:33" s="977" customFormat="1" ht="13.5" customHeight="1">
      <c r="A21" s="963" t="s">
        <v>802</v>
      </c>
      <c r="B21" s="987" t="s">
        <v>2501</v>
      </c>
      <c r="C21" s="988">
        <f ca="1">C16+C17+C18</f>
        <v>271</v>
      </c>
      <c r="D21" s="989"/>
      <c r="E21" s="324"/>
      <c r="F21" s="324"/>
      <c r="G21" s="139" t="s">
        <v>2502</v>
      </c>
      <c r="H21" s="981"/>
      <c r="I21" s="981"/>
      <c r="J21" s="981"/>
      <c r="K21" s="982"/>
    </row>
    <row r="22" spans="1:33" s="977" customFormat="1" ht="13.5" customHeight="1">
      <c r="A22" s="963" t="s">
        <v>2474</v>
      </c>
      <c r="B22" s="987" t="s">
        <v>2503</v>
      </c>
      <c r="C22" s="988">
        <f ca="1">ROUND(C21*F22,0)</f>
        <v>4</v>
      </c>
      <c r="D22" s="324"/>
      <c r="E22" s="324"/>
      <c r="F22" s="990">
        <f>'数据-取费表'!B37</f>
        <v>1.4999999999999999E-2</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0.03</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2514</v>
      </c>
      <c r="B28" s="2564" t="s">
        <v>2515</v>
      </c>
      <c r="C28" s="330">
        <f ca="1">C30</f>
        <v>28</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28</v>
      </c>
      <c r="D30" s="327"/>
      <c r="E30" s="328"/>
      <c r="F30" s="333"/>
      <c r="G30" s="139"/>
      <c r="H30" s="981"/>
      <c r="I30" s="981"/>
      <c r="J30" s="981"/>
      <c r="K30" s="982"/>
    </row>
    <row r="31" spans="1:33" s="977" customFormat="1" ht="13.5" customHeight="1" thickBot="1">
      <c r="A31" s="2565"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-294</v>
      </c>
      <c r="D32" s="1003"/>
      <c r="E32" s="1003"/>
      <c r="F32" s="1003"/>
      <c r="G32" s="1005" t="s">
        <v>2523</v>
      </c>
      <c r="H32" s="1003"/>
      <c r="I32" s="1003"/>
      <c r="J32" s="1003"/>
      <c r="K32" s="100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35" t="s">
        <v>1403</v>
      </c>
      <c r="C6" s="1298">
        <f ca="1">ROUND(F6*F8*F7*(1-F9)/10000,0)</f>
        <v>0</v>
      </c>
      <c r="D6" s="163" t="s">
        <v>3035</v>
      </c>
      <c r="E6" s="346" t="s">
        <v>1405</v>
      </c>
      <c r="F6" s="347">
        <f ca="1">INDIRECT("'数据-取费表'!u"&amp;$G$1)</f>
        <v>0</v>
      </c>
      <c r="G6" s="1853"/>
      <c r="H6" s="1293" t="s">
        <v>1035</v>
      </c>
      <c r="I6" s="3235" t="s">
        <v>1403</v>
      </c>
      <c r="J6" s="345">
        <f ca="1">ROUND(M6*M8*M7*(1-M9)/10000,0)</f>
        <v>0</v>
      </c>
      <c r="K6" s="163" t="s">
        <v>3034</v>
      </c>
      <c r="L6" s="346" t="s">
        <v>1405</v>
      </c>
      <c r="M6" s="347">
        <f ca="1">INDIRECT("'数据-取费表'!z"&amp;$G$1)</f>
        <v>0</v>
      </c>
    </row>
    <row r="7" spans="1:37" ht="18" customHeight="1">
      <c r="A7" s="1297"/>
      <c r="B7" s="3236"/>
      <c r="C7" s="1299"/>
      <c r="D7" s="351"/>
      <c r="E7" s="1300" t="s">
        <v>1406</v>
      </c>
      <c r="F7" s="347">
        <f ca="1">IF(INDIRECT("'数据-取费表'!ah"&amp;$G$1)="",INDIRECT("'数据-取费表'!k"&amp;$G$1),INDIRECT("'数据-取费表'!ah"&amp;$G$1))</f>
        <v>0</v>
      </c>
      <c r="G7" s="1853"/>
      <c r="H7" s="348"/>
      <c r="I7" s="3236"/>
      <c r="J7" s="350"/>
      <c r="K7" s="351"/>
      <c r="L7" s="346" t="s">
        <v>1406</v>
      </c>
      <c r="M7" s="347">
        <f ca="1">F7</f>
        <v>0</v>
      </c>
    </row>
    <row r="8" spans="1:37" ht="18" customHeight="1">
      <c r="A8" s="348"/>
      <c r="B8" s="3236"/>
      <c r="C8" s="350"/>
      <c r="D8" s="351"/>
      <c r="E8" s="346" t="s">
        <v>1407</v>
      </c>
      <c r="F8" s="347">
        <f ca="1">INDIRECT("'数据-取费表'!ai"&amp;$G$1)</f>
        <v>0</v>
      </c>
      <c r="G8" s="1853"/>
      <c r="H8" s="348"/>
      <c r="I8" s="3236"/>
      <c r="J8" s="350"/>
      <c r="K8" s="351"/>
      <c r="L8" s="346" t="s">
        <v>1407</v>
      </c>
      <c r="M8" s="347">
        <f ca="1">INDIRECT("'数据-取费表'!ai"&amp;$G$1)</f>
        <v>0</v>
      </c>
    </row>
    <row r="9" spans="1:37" ht="18" customHeight="1">
      <c r="A9" s="348"/>
      <c r="B9" s="3237"/>
      <c r="C9" s="350"/>
      <c r="D9" s="351"/>
      <c r="E9" s="346" t="s">
        <v>1408</v>
      </c>
      <c r="F9" s="356">
        <f ca="1">INDIRECT("'数据-取费表'!w"&amp;$G$1)</f>
        <v>0</v>
      </c>
      <c r="G9" s="1853"/>
      <c r="H9" s="348"/>
      <c r="I9" s="3237"/>
      <c r="J9" s="350"/>
      <c r="K9" s="351"/>
      <c r="L9" s="357" t="s">
        <v>1408</v>
      </c>
      <c r="M9" s="358">
        <f ca="1">INDIRECT("'数据-取费表'!ab"&amp;$G$1)</f>
        <v>0</v>
      </c>
    </row>
    <row r="10" spans="1:37" ht="18" customHeight="1">
      <c r="A10" s="1293" t="s">
        <v>1039</v>
      </c>
      <c r="B10" s="1825" t="s">
        <v>1409</v>
      </c>
      <c r="C10" s="360">
        <f ca="1">ROUND(IF(F10="押一",C6/12*F11,IF(F10="押二",C6/12*2*F11,IF(F10="押三",C6/12*3*F11,C11*F11)))/10000,0)</f>
        <v>0</v>
      </c>
      <c r="D10" s="1826" t="s">
        <v>3044</v>
      </c>
      <c r="E10" s="357" t="s">
        <v>1410</v>
      </c>
      <c r="F10" s="1368"/>
      <c r="G10" s="1853"/>
      <c r="H10" s="1293" t="s">
        <v>1039</v>
      </c>
      <c r="I10" s="1825" t="s">
        <v>1409</v>
      </c>
      <c r="J10" s="345">
        <f ca="1">ROUND(IF(M10="押一",J6/12*M11,IF(M10="押二",J6/12*2*M11,IF(M10="押三",J6/12*3*M11,J11*M11)))/10000,0)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ROUND(F17*(F43+INDIRECT("'数据-取费表'!S"&amp;$G$1))/10000,0)</f>
        <v>0</v>
      </c>
      <c r="D17" s="346" t="s">
        <v>1427</v>
      </c>
      <c r="E17" s="346" t="s">
        <v>1428</v>
      </c>
      <c r="F17" s="25">
        <f>'数据-取费表'!B35</f>
        <v>200</v>
      </c>
      <c r="G17" s="1856"/>
      <c r="H17" s="1203" t="s">
        <v>1035</v>
      </c>
      <c r="I17" s="346" t="s">
        <v>1429</v>
      </c>
      <c r="J17" s="23">
        <f ca="1">ROUND(IF(项目基本情况!B11="自然人",J5*M17,J18+J19+J20),1)</f>
        <v>0</v>
      </c>
      <c r="K17" s="1802" t="s">
        <v>1430</v>
      </c>
      <c r="L17" s="1800" t="s">
        <v>1431</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1.4999999999999999E-2</v>
      </c>
      <c r="G20" s="1856"/>
      <c r="H20" s="1203" t="s">
        <v>1389</v>
      </c>
      <c r="I20" s="163" t="s">
        <v>1441</v>
      </c>
      <c r="J20" s="24">
        <f ca="1">ROUND(M20*M21/10000,2)</f>
        <v>0</v>
      </c>
      <c r="K20" s="369" t="s">
        <v>1442</v>
      </c>
      <c r="L20" s="346" t="s">
        <v>1443</v>
      </c>
      <c r="M20" s="370">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0</v>
      </c>
      <c r="D31" s="1802" t="s">
        <v>1430</v>
      </c>
      <c r="E31" s="1800" t="s">
        <v>1481</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1433</v>
      </c>
      <c r="C32" s="23">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v>
      </c>
      <c r="D34" s="369" t="s">
        <v>1442</v>
      </c>
      <c r="E34" s="346" t="s">
        <v>1443</v>
      </c>
      <c r="F34" s="370">
        <f>'数据-取费表'!B52</f>
        <v>16</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ROUND(IF(F53="押一",C49/12*F11,IF(F53="押二",C49/12*2*F11,IF(F53="押三",C49/12*3*F11,C54*F11)))/10000,0)</f>
        <v>0</v>
      </c>
      <c r="D53" s="1826" t="s">
        <v>3043</v>
      </c>
      <c r="E53" s="357" t="s">
        <v>1410</v>
      </c>
      <c r="F53" s="1368"/>
      <c r="I53" s="1907" t="s">
        <v>1547</v>
      </c>
      <c r="J53" s="1908" t="b">
        <f>IF(M47="住宅",J51,IF(D1="——",MIN(J51,L48),IF(D1="在建（套用方法）",MIN(J51,L48-'数据-取费表'!B24),IF(D1="土地（套用方法）",MIN(J51,L48-'数据-取费表'!B20)))))</f>
        <v>0</v>
      </c>
      <c r="K53" s="3233" t="s">
        <v>1548</v>
      </c>
      <c r="L53" s="3234"/>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0</v>
      </c>
      <c r="D59" s="1184" t="s">
        <v>1430</v>
      </c>
      <c r="E59" s="1185" t="s">
        <v>1431</v>
      </c>
      <c r="F59" s="367">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v>
      </c>
      <c r="D62" s="1186" t="s">
        <v>1497</v>
      </c>
      <c r="E62" s="1171" t="s">
        <v>1498</v>
      </c>
      <c r="F62" s="370">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B1" zoomScale="70" zoomScaleNormal="70" workbookViewId="0">
      <selection activeCell="M24" sqref="M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4" t="s">
        <v>2691</v>
      </c>
      <c r="C1" s="1622" t="s">
        <v>2535</v>
      </c>
      <c r="D1" s="1623" t="s">
        <v>3766</v>
      </c>
      <c r="E1" s="1632"/>
      <c r="F1" s="2589" t="s">
        <v>3310</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20">
        <f>IF(C2="——",ROUND(C50*D3/10000,0),ROUND(C50*D3/10000,0)-D2)</f>
        <v>81</v>
      </c>
      <c r="C2" s="2591" t="s">
        <v>70</v>
      </c>
      <c r="D2" s="1367" t="e">
        <f ca="1">SUMIF(INDIRECT("'"&amp;F2&amp;"'"&amp;"!A:A"),"承租人权益价值",INDIRECT("'"&amp;F2&amp;"'"&amp;"!c:c"))</f>
        <v>#REF!</v>
      </c>
      <c r="E2" s="2592" t="s">
        <v>2333</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f>IF(C2="——",C50,ROUND(B2*10000/D3,0))</f>
        <v>10010</v>
      </c>
      <c r="C3" s="399" t="s">
        <v>2649</v>
      </c>
      <c r="D3" s="398">
        <f>IF(D1="",'数据-汇总表'!E3,SUMIF('数据-汇总表'!$C19:$C33,D1,'数据-汇总表'!$E19:$E33))</f>
        <v>80.73</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260" t="s">
        <v>2656</v>
      </c>
      <c r="Q4" s="3261"/>
      <c r="R4" s="3266" t="s">
        <v>2652</v>
      </c>
      <c r="S4" s="3267"/>
      <c r="T4" s="3266" t="s">
        <v>2653</v>
      </c>
      <c r="U4" s="3267"/>
      <c r="V4" s="3272" t="s">
        <v>2654</v>
      </c>
      <c r="W4" s="3272"/>
      <c r="X4" s="2675"/>
      <c r="Y4" s="3266" t="s">
        <v>2656</v>
      </c>
      <c r="Z4" s="3267"/>
      <c r="AA4" s="3286" t="s">
        <v>2652</v>
      </c>
      <c r="AB4" s="3286" t="s">
        <v>2653</v>
      </c>
      <c r="AC4" s="3253" t="s">
        <v>2654</v>
      </c>
    </row>
    <row r="5" spans="1:29" ht="15">
      <c r="A5" s="403"/>
      <c r="B5" s="404"/>
      <c r="C5" s="3282" t="s">
        <v>2547</v>
      </c>
      <c r="D5" s="3283"/>
      <c r="E5" s="3289" t="s">
        <v>3354</v>
      </c>
      <c r="F5" s="3290"/>
      <c r="G5" s="3276" t="s">
        <v>3311</v>
      </c>
      <c r="H5" s="3277"/>
      <c r="I5" s="3276" t="s">
        <v>3357</v>
      </c>
      <c r="J5" s="3277"/>
      <c r="K5" s="609"/>
      <c r="L5" s="1132"/>
      <c r="M5" s="1133"/>
      <c r="N5" s="1133"/>
      <c r="O5" s="1133"/>
      <c r="P5" s="3262"/>
      <c r="Q5" s="3263"/>
      <c r="R5" s="3268"/>
      <c r="S5" s="3269"/>
      <c r="T5" s="3268"/>
      <c r="U5" s="3269"/>
      <c r="V5" s="3273"/>
      <c r="W5" s="3273"/>
      <c r="X5" s="1815"/>
      <c r="Y5" s="3268"/>
      <c r="Z5" s="3269"/>
      <c r="AA5" s="3287"/>
      <c r="AB5" s="3287"/>
      <c r="AC5" s="3254"/>
    </row>
    <row r="6" spans="1:29" ht="30.75" customHeight="1" thickBot="1">
      <c r="A6" s="405"/>
      <c r="B6" s="406"/>
      <c r="C6" s="3284" t="s">
        <v>2551</v>
      </c>
      <c r="D6" s="3285"/>
      <c r="E6" s="3274" t="s">
        <v>3363</v>
      </c>
      <c r="F6" s="3275"/>
      <c r="G6" s="3274" t="s">
        <v>3361</v>
      </c>
      <c r="H6" s="3275"/>
      <c r="I6" s="3274" t="s">
        <v>3362</v>
      </c>
      <c r="J6" s="3275"/>
      <c r="K6" s="609" t="s">
        <v>2552</v>
      </c>
      <c r="L6" s="1132"/>
      <c r="M6" s="1133"/>
      <c r="N6" s="1133"/>
      <c r="O6" s="1133"/>
      <c r="P6" s="3264"/>
      <c r="Q6" s="3265"/>
      <c r="R6" s="3268"/>
      <c r="S6" s="3269"/>
      <c r="T6" s="3270"/>
      <c r="U6" s="3271"/>
      <c r="V6" s="3273"/>
      <c r="W6" s="3273"/>
      <c r="X6" s="1815"/>
      <c r="Y6" s="3270"/>
      <c r="Z6" s="3271"/>
      <c r="AA6" s="3288"/>
      <c r="AB6" s="3288"/>
      <c r="AC6" s="3255"/>
    </row>
    <row r="7" spans="1:29" s="116" customFormat="1" ht="15.75" thickBot="1">
      <c r="A7" s="407" t="s">
        <v>2553</v>
      </c>
      <c r="B7" s="408"/>
      <c r="C7" s="409">
        <f>'数据-取费表'!B2</f>
        <v>43214</v>
      </c>
      <c r="D7" s="410">
        <v>100</v>
      </c>
      <c r="E7" s="411">
        <v>43198</v>
      </c>
      <c r="F7" s="412">
        <f>SUMIF(59:59,YEAR(E7)&amp;"-"&amp;MONTH(E7),60:60)</f>
        <v>100</v>
      </c>
      <c r="G7" s="411">
        <v>43198</v>
      </c>
      <c r="H7" s="410">
        <f>SUMIF(59:59,YEAR(G7)&amp;"-"&amp;MONTH(G7),60:60)</f>
        <v>100</v>
      </c>
      <c r="I7" s="411">
        <v>43138</v>
      </c>
      <c r="J7" s="410">
        <f>SUMIF(59:59,YEAR(I7)&amp;"-"&amp;MONTH(I7),60:60)</f>
        <v>100</v>
      </c>
      <c r="K7" s="610"/>
      <c r="L7" s="1134"/>
      <c r="M7" s="1135"/>
      <c r="N7" s="1135"/>
      <c r="O7" s="1135"/>
      <c r="P7" s="3278" t="s">
        <v>2554</v>
      </c>
      <c r="Q7" s="3281"/>
      <c r="R7" s="769" t="s">
        <v>17</v>
      </c>
      <c r="S7" s="770">
        <f t="shared" ref="S7:S15" si="0">F7</f>
        <v>100</v>
      </c>
      <c r="T7" s="769" t="s">
        <v>17</v>
      </c>
      <c r="U7" s="770">
        <f t="shared" ref="U7:U15" si="1">H7</f>
        <v>100</v>
      </c>
      <c r="V7" s="769" t="s">
        <v>17</v>
      </c>
      <c r="W7" s="770">
        <f t="shared" ref="W7:W15" si="2">J7</f>
        <v>100</v>
      </c>
      <c r="X7" s="771"/>
      <c r="Y7" s="3280" t="s">
        <v>2554</v>
      </c>
      <c r="Z7" s="3279"/>
      <c r="AA7" s="772">
        <f>D7/F7</f>
        <v>1</v>
      </c>
      <c r="AB7" s="772">
        <f>D7/H7</f>
        <v>1</v>
      </c>
      <c r="AC7" s="2676">
        <f>D7/J7</f>
        <v>1</v>
      </c>
    </row>
    <row r="8" spans="1:29" s="116" customFormat="1" ht="15.75" thickBot="1">
      <c r="A8" s="407" t="s">
        <v>2555</v>
      </c>
      <c r="B8" s="408"/>
      <c r="C8" s="413" t="s">
        <v>2657</v>
      </c>
      <c r="D8" s="410">
        <v>100</v>
      </c>
      <c r="E8" s="2962" t="s">
        <v>3312</v>
      </c>
      <c r="F8" s="412">
        <f>SUMIF(62:62,E8,63:63)-SUMIF(62:62,C8,63:63)+100</f>
        <v>100</v>
      </c>
      <c r="G8" s="2962" t="s">
        <v>3312</v>
      </c>
      <c r="H8" s="410">
        <f>SUMIF(62:62,G8,63:63)-SUMIF(62:62,C8,63:63)+100</f>
        <v>100</v>
      </c>
      <c r="I8" s="2962" t="s">
        <v>3312</v>
      </c>
      <c r="J8" s="410">
        <f>SUMIF(62:62,I8,63:63)-SUMIF(62:62,C8,63:63)+100</f>
        <v>100</v>
      </c>
      <c r="K8" s="610"/>
      <c r="L8" s="1134"/>
      <c r="M8" s="1135"/>
      <c r="N8" s="1135"/>
      <c r="O8" s="1135"/>
      <c r="P8" s="3278" t="s">
        <v>2557</v>
      </c>
      <c r="Q8" s="3279"/>
      <c r="R8" s="769" t="s">
        <v>17</v>
      </c>
      <c r="S8" s="770">
        <f t="shared" si="0"/>
        <v>100</v>
      </c>
      <c r="T8" s="769" t="s">
        <v>17</v>
      </c>
      <c r="U8" s="770">
        <f t="shared" si="1"/>
        <v>100</v>
      </c>
      <c r="V8" s="769" t="s">
        <v>17</v>
      </c>
      <c r="W8" s="770">
        <f t="shared" si="2"/>
        <v>100</v>
      </c>
      <c r="X8" s="771"/>
      <c r="Y8" s="3280" t="s">
        <v>2557</v>
      </c>
      <c r="Z8" s="3279"/>
      <c r="AA8" s="772">
        <f t="shared" ref="AA8:AA47" si="3">D8/F8</f>
        <v>1</v>
      </c>
      <c r="AB8" s="772">
        <f t="shared" ref="AB8:AB47" si="4">D8/H8</f>
        <v>1</v>
      </c>
      <c r="AC8" s="2676">
        <f t="shared" ref="AC8:AC47" si="5">D8/J8</f>
        <v>1</v>
      </c>
    </row>
    <row r="9" spans="1:29" s="116" customFormat="1">
      <c r="A9" s="414" t="s">
        <v>2558</v>
      </c>
      <c r="B9" s="70" t="s">
        <v>2559</v>
      </c>
      <c r="C9" s="2963" t="s">
        <v>3313</v>
      </c>
      <c r="D9" s="134">
        <v>100</v>
      </c>
      <c r="E9" s="2963" t="s">
        <v>3313</v>
      </c>
      <c r="F9" s="134">
        <f>SUMIF(64:64,E9,65:65)-SUMIF(64:64,C9,65:65)+100</f>
        <v>100</v>
      </c>
      <c r="G9" s="2963" t="s">
        <v>3313</v>
      </c>
      <c r="H9" s="134">
        <f>SUMIF(64:64,G9,65:65)-SUMIF(64:64,C9,65:65)+100</f>
        <v>100</v>
      </c>
      <c r="I9" s="2963" t="s">
        <v>3313</v>
      </c>
      <c r="J9" s="134">
        <f>SUMIF(64:64,I9,65:65)-SUMIF(64:64,C9,65:65)+100</f>
        <v>100</v>
      </c>
      <c r="K9" s="610"/>
      <c r="L9" s="1134"/>
      <c r="M9" s="1135"/>
      <c r="N9" s="1135"/>
      <c r="O9" s="1135"/>
      <c r="P9" s="3238"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2676">
        <f t="shared" si="5"/>
        <v>1</v>
      </c>
    </row>
    <row r="10" spans="1:29" s="426" customFormat="1" ht="27">
      <c r="A10" s="420"/>
      <c r="B10" s="421" t="s">
        <v>2562</v>
      </c>
      <c r="C10" s="422" t="s">
        <v>3314</v>
      </c>
      <c r="D10" s="135">
        <v>100</v>
      </c>
      <c r="E10" s="422" t="s">
        <v>3314</v>
      </c>
      <c r="F10" s="135">
        <f>SUMIF(66:66,E10,67:67)-SUMIF(66:66,C10,67:67)+100</f>
        <v>100</v>
      </c>
      <c r="G10" s="422" t="s">
        <v>3314</v>
      </c>
      <c r="H10" s="135">
        <f>SUMIF(66:66,G10,67:67)-SUMIF(66:66,C10,67:67)+100</f>
        <v>100</v>
      </c>
      <c r="I10" s="422" t="s">
        <v>3314</v>
      </c>
      <c r="J10" s="135">
        <f>SUMIF(66:66,I10,67:67)-SUMIF(66:66,C10,67:67)+100</f>
        <v>100</v>
      </c>
      <c r="K10" s="611">
        <v>2</v>
      </c>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2676">
        <f t="shared" si="5"/>
        <v>1</v>
      </c>
    </row>
    <row r="11" spans="1:29" ht="15.75" thickBot="1">
      <c r="A11" s="427"/>
      <c r="B11" s="421" t="s">
        <v>2563</v>
      </c>
      <c r="C11" s="428">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40"/>
      <c r="M11" s="1133"/>
      <c r="N11" s="1133"/>
      <c r="O11" s="1133"/>
      <c r="P11" s="3238"/>
      <c r="Q11" s="1797" t="str">
        <f t="shared" si="6"/>
        <v>容积率</v>
      </c>
      <c r="R11" s="769" t="s">
        <v>17</v>
      </c>
      <c r="S11" s="770">
        <f t="shared" si="0"/>
        <v>92</v>
      </c>
      <c r="T11" s="769" t="s">
        <v>17</v>
      </c>
      <c r="U11" s="770">
        <f t="shared" si="1"/>
        <v>96</v>
      </c>
      <c r="V11" s="769" t="s">
        <v>17</v>
      </c>
      <c r="W11" s="770">
        <f t="shared" si="2"/>
        <v>100</v>
      </c>
      <c r="X11" s="771"/>
      <c r="Y11" s="3064"/>
      <c r="Z11" s="54" t="str">
        <f t="shared" si="7"/>
        <v>容积率</v>
      </c>
      <c r="AA11" s="772">
        <f t="shared" si="3"/>
        <v>1.0869565217391304</v>
      </c>
      <c r="AB11" s="772">
        <f t="shared" si="4"/>
        <v>1.0416666666666667</v>
      </c>
      <c r="AC11" s="2676">
        <f t="shared" si="5"/>
        <v>1</v>
      </c>
    </row>
    <row r="12" spans="1:29" s="116" customFormat="1" ht="15" hidden="1">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238"/>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2676">
        <f>D12/J12</f>
        <v>1</v>
      </c>
    </row>
    <row r="13" spans="1:29" ht="15" hidden="1">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238"/>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2676">
        <f t="shared" si="5"/>
        <v>1</v>
      </c>
    </row>
    <row r="14" spans="1:29" ht="15.75" hidden="1"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238"/>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2676">
        <f t="shared" si="5"/>
        <v>1</v>
      </c>
    </row>
    <row r="15" spans="1:29" ht="71.25">
      <c r="A15" s="439" t="s">
        <v>2564</v>
      </c>
      <c r="B15" s="628" t="s">
        <v>2692</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44" t="s">
        <v>2565</v>
      </c>
      <c r="Q15" s="1812" t="str">
        <f t="shared" si="6"/>
        <v>办公集聚程度</v>
      </c>
      <c r="R15" s="773" t="s">
        <v>17</v>
      </c>
      <c r="S15" s="774">
        <f t="shared" si="0"/>
        <v>100</v>
      </c>
      <c r="T15" s="773" t="s">
        <v>17</v>
      </c>
      <c r="U15" s="774">
        <f t="shared" si="1"/>
        <v>100</v>
      </c>
      <c r="V15" s="773" t="s">
        <v>17</v>
      </c>
      <c r="W15" s="774">
        <f t="shared" si="2"/>
        <v>100</v>
      </c>
      <c r="X15" s="1815"/>
      <c r="Y15" s="3246" t="s">
        <v>2565</v>
      </c>
      <c r="Z15" s="1816" t="str">
        <f t="shared" si="7"/>
        <v>办公集聚程度</v>
      </c>
      <c r="AA15" s="1813">
        <f t="shared" si="3"/>
        <v>1</v>
      </c>
      <c r="AB15" s="1813">
        <f t="shared" si="4"/>
        <v>1</v>
      </c>
      <c r="AC15" s="2679">
        <f t="shared" si="5"/>
        <v>1</v>
      </c>
    </row>
    <row r="16" spans="1:29" ht="15">
      <c r="A16" s="427"/>
      <c r="B16" s="629"/>
      <c r="C16" s="2964" t="s">
        <v>3315</v>
      </c>
      <c r="D16" s="447"/>
      <c r="E16" s="2964" t="s">
        <v>3315</v>
      </c>
      <c r="F16" s="447"/>
      <c r="G16" s="2964" t="s">
        <v>3315</v>
      </c>
      <c r="H16" s="449"/>
      <c r="I16" s="2964" t="s">
        <v>3315</v>
      </c>
      <c r="J16" s="447"/>
      <c r="K16" s="614"/>
      <c r="L16" s="1142"/>
      <c r="M16" s="1133"/>
      <c r="N16" s="1133"/>
      <c r="O16" s="1133"/>
      <c r="P16" s="3245"/>
      <c r="Q16" s="1812"/>
      <c r="R16" s="773"/>
      <c r="S16" s="774"/>
      <c r="T16" s="773"/>
      <c r="U16" s="774"/>
      <c r="V16" s="773"/>
      <c r="W16" s="774"/>
      <c r="X16" s="1815"/>
      <c r="Y16" s="3247"/>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45"/>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2679">
        <f t="shared" si="5"/>
        <v>1</v>
      </c>
    </row>
    <row r="18" spans="1:29" ht="15">
      <c r="A18" s="427"/>
      <c r="B18" s="631"/>
      <c r="C18" s="2964" t="s">
        <v>3315</v>
      </c>
      <c r="D18" s="449"/>
      <c r="E18" s="2964" t="s">
        <v>3315</v>
      </c>
      <c r="F18" s="449"/>
      <c r="G18" s="2964" t="s">
        <v>3315</v>
      </c>
      <c r="H18" s="447"/>
      <c r="I18" s="2964" t="s">
        <v>3315</v>
      </c>
      <c r="J18" s="447"/>
      <c r="K18" s="614"/>
      <c r="L18" s="1142"/>
      <c r="M18" s="1133"/>
      <c r="N18" s="1133"/>
      <c r="O18" s="1133"/>
      <c r="P18" s="3245"/>
      <c r="Q18" s="1812"/>
      <c r="R18" s="773"/>
      <c r="S18" s="774"/>
      <c r="T18" s="773"/>
      <c r="U18" s="774"/>
      <c r="V18" s="773"/>
      <c r="W18" s="774"/>
      <c r="X18" s="1815"/>
      <c r="Y18" s="3247"/>
      <c r="Z18" s="1816"/>
      <c r="AA18" s="1813">
        <v>1</v>
      </c>
      <c r="AB18" s="1813">
        <v>1</v>
      </c>
      <c r="AC18" s="2679">
        <v>1</v>
      </c>
    </row>
    <row r="19" spans="1:29" ht="42.75">
      <c r="A19" s="427"/>
      <c r="B19" s="630" t="s">
        <v>2693</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45"/>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2679">
        <f t="shared" si="5"/>
        <v>1</v>
      </c>
    </row>
    <row r="20" spans="1:29" ht="15">
      <c r="A20" s="427"/>
      <c r="B20" s="631"/>
      <c r="C20" s="2964" t="s">
        <v>3315</v>
      </c>
      <c r="D20" s="447"/>
      <c r="E20" s="2964" t="s">
        <v>3315</v>
      </c>
      <c r="F20" s="447"/>
      <c r="G20" s="2964" t="s">
        <v>3315</v>
      </c>
      <c r="H20" s="447"/>
      <c r="I20" s="2964" t="s">
        <v>3315</v>
      </c>
      <c r="J20" s="447"/>
      <c r="K20" s="614"/>
      <c r="L20" s="1142"/>
      <c r="M20" s="1133"/>
      <c r="N20" s="1133"/>
      <c r="O20" s="1133"/>
      <c r="P20" s="3245"/>
      <c r="Q20" s="1812"/>
      <c r="R20" s="773"/>
      <c r="S20" s="774"/>
      <c r="T20" s="773"/>
      <c r="U20" s="774"/>
      <c r="V20" s="773"/>
      <c r="W20" s="774"/>
      <c r="X20" s="1815"/>
      <c r="Y20" s="3247"/>
      <c r="Z20" s="1816"/>
      <c r="AA20" s="1813">
        <v>1</v>
      </c>
      <c r="AB20" s="1813">
        <v>1</v>
      </c>
      <c r="AC20" s="2679">
        <v>1</v>
      </c>
    </row>
    <row r="21" spans="1:29" ht="28.5">
      <c r="A21" s="427"/>
      <c r="B21" s="632" t="s">
        <v>2694</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2679">
        <f t="shared" ref="AC21" si="10">D21/J21</f>
        <v>1</v>
      </c>
    </row>
    <row r="22" spans="1:29" ht="15">
      <c r="A22" s="427"/>
      <c r="B22" s="632"/>
      <c r="C22" s="2965" t="s">
        <v>3316</v>
      </c>
      <c r="D22" s="447"/>
      <c r="E22" s="2965" t="s">
        <v>3316</v>
      </c>
      <c r="F22" s="447"/>
      <c r="G22" s="2965" t="s">
        <v>3316</v>
      </c>
      <c r="H22" s="447"/>
      <c r="I22" s="2965" t="s">
        <v>3316</v>
      </c>
      <c r="J22" s="447"/>
      <c r="K22" s="1385"/>
      <c r="L22" s="1142"/>
      <c r="M22" s="1133"/>
      <c r="N22" s="1133"/>
      <c r="O22" s="1133"/>
      <c r="P22" s="3245"/>
      <c r="Q22" s="1812"/>
      <c r="R22" s="773"/>
      <c r="S22" s="774"/>
      <c r="T22" s="773"/>
      <c r="U22" s="774"/>
      <c r="V22" s="773"/>
      <c r="W22" s="774"/>
      <c r="X22" s="1815"/>
      <c r="Y22" s="3247"/>
      <c r="Z22" s="1816"/>
      <c r="AA22" s="1813">
        <v>1</v>
      </c>
      <c r="AB22" s="1813">
        <v>1</v>
      </c>
      <c r="AC22" s="2679">
        <v>1</v>
      </c>
    </row>
    <row r="23" spans="1:29" ht="42.75">
      <c r="A23" s="427"/>
      <c r="B23" s="630" t="s">
        <v>2695</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45"/>
      <c r="Q23" s="1812" t="str">
        <f>B23</f>
        <v>环境质量</v>
      </c>
      <c r="R23" s="773" t="s">
        <v>17</v>
      </c>
      <c r="S23" s="774">
        <f>F23</f>
        <v>100</v>
      </c>
      <c r="T23" s="773" t="s">
        <v>17</v>
      </c>
      <c r="U23" s="774">
        <f>H23</f>
        <v>100</v>
      </c>
      <c r="V23" s="773" t="s">
        <v>17</v>
      </c>
      <c r="W23" s="774">
        <f>J23</f>
        <v>100</v>
      </c>
      <c r="X23" s="1815"/>
      <c r="Y23" s="3247"/>
      <c r="Z23" s="1816" t="str">
        <f>Q23</f>
        <v>环境质量</v>
      </c>
      <c r="AA23" s="1813">
        <f t="shared" si="3"/>
        <v>1</v>
      </c>
      <c r="AB23" s="1813">
        <f t="shared" si="4"/>
        <v>1</v>
      </c>
      <c r="AC23" s="2679">
        <f t="shared" si="5"/>
        <v>1</v>
      </c>
    </row>
    <row r="24" spans="1:29" ht="15">
      <c r="A24" s="427"/>
      <c r="B24" s="632"/>
      <c r="C24" s="2966" t="s">
        <v>3315</v>
      </c>
      <c r="D24" s="447"/>
      <c r="E24" s="2966" t="s">
        <v>3315</v>
      </c>
      <c r="F24" s="447"/>
      <c r="G24" s="2966" t="s">
        <v>3315</v>
      </c>
      <c r="H24" s="447"/>
      <c r="I24" s="2966" t="s">
        <v>3315</v>
      </c>
      <c r="J24" s="447"/>
      <c r="K24" s="614"/>
      <c r="L24" s="1142"/>
      <c r="M24" s="1133"/>
      <c r="N24" s="1133"/>
      <c r="O24" s="1133"/>
      <c r="P24" s="3245"/>
      <c r="Q24" s="1812"/>
      <c r="R24" s="773"/>
      <c r="S24" s="774"/>
      <c r="T24" s="773"/>
      <c r="U24" s="774"/>
      <c r="V24" s="773"/>
      <c r="W24" s="774"/>
      <c r="X24" s="1815"/>
      <c r="Y24" s="3247"/>
      <c r="Z24" s="1816"/>
      <c r="AA24" s="1813">
        <v>1</v>
      </c>
      <c r="AB24" s="1813">
        <v>1</v>
      </c>
      <c r="AC24" s="2679">
        <v>1</v>
      </c>
    </row>
    <row r="25" spans="1:29" ht="27">
      <c r="A25" s="403"/>
      <c r="B25" s="630" t="s">
        <v>2696</v>
      </c>
      <c r="C25" s="2967" t="s">
        <v>3317</v>
      </c>
      <c r="D25" s="434">
        <v>100</v>
      </c>
      <c r="E25" s="2967" t="s">
        <v>3355</v>
      </c>
      <c r="F25" s="434">
        <f>SUMIF(87:87,E26,88:88)-SUMIF(87:87,C26,88:88)+100</f>
        <v>101</v>
      </c>
      <c r="G25" s="2967" t="s">
        <v>3317</v>
      </c>
      <c r="H25" s="434">
        <f>SUMIF(87:87,G26,88:88)-SUMIF(87:87,C26,88:88)+100</f>
        <v>100</v>
      </c>
      <c r="I25" s="2968" t="s">
        <v>3318</v>
      </c>
      <c r="J25" s="434">
        <f>SUMIF(87:87,I26,88:88)-SUMIF(87:87,C26,88:88)+100</f>
        <v>100</v>
      </c>
      <c r="K25" s="613">
        <v>1</v>
      </c>
      <c r="L25" s="1142"/>
      <c r="M25" s="1133"/>
      <c r="N25" s="1133"/>
      <c r="O25" s="1133"/>
      <c r="P25" s="3245"/>
      <c r="Q25" s="1812" t="str">
        <f>B25</f>
        <v>毗邻道路的类型与等级</v>
      </c>
      <c r="R25" s="773" t="s">
        <v>17</v>
      </c>
      <c r="S25" s="774">
        <f>F25</f>
        <v>101</v>
      </c>
      <c r="T25" s="773" t="s">
        <v>17</v>
      </c>
      <c r="U25" s="774">
        <f>H25</f>
        <v>100</v>
      </c>
      <c r="V25" s="773" t="s">
        <v>17</v>
      </c>
      <c r="W25" s="774">
        <f>J25</f>
        <v>100</v>
      </c>
      <c r="X25" s="1815"/>
      <c r="Y25" s="3247"/>
      <c r="Z25" s="1816" t="str">
        <f>Q25</f>
        <v>毗邻道路的类型与等级</v>
      </c>
      <c r="AA25" s="1813">
        <f t="shared" si="3"/>
        <v>0.99009900990099009</v>
      </c>
      <c r="AB25" s="1813">
        <f t="shared" si="4"/>
        <v>1</v>
      </c>
      <c r="AC25" s="2679">
        <f t="shared" si="5"/>
        <v>1</v>
      </c>
    </row>
    <row r="26" spans="1:29" ht="15">
      <c r="A26" s="403"/>
      <c r="B26" s="631"/>
      <c r="C26" s="2969" t="s">
        <v>3319</v>
      </c>
      <c r="D26" s="434"/>
      <c r="E26" s="2969" t="s">
        <v>3356</v>
      </c>
      <c r="F26" s="434"/>
      <c r="G26" s="2969" t="s">
        <v>3319</v>
      </c>
      <c r="H26" s="434"/>
      <c r="I26" s="2969" t="s">
        <v>3319</v>
      </c>
      <c r="J26" s="434"/>
      <c r="K26" s="614"/>
      <c r="L26" s="1142"/>
      <c r="M26" s="1133"/>
      <c r="N26" s="1133"/>
      <c r="O26" s="1133"/>
      <c r="P26" s="3245"/>
      <c r="Q26" s="1812"/>
      <c r="R26" s="773"/>
      <c r="S26" s="774"/>
      <c r="T26" s="773"/>
      <c r="U26" s="774"/>
      <c r="V26" s="773"/>
      <c r="W26" s="774"/>
      <c r="X26" s="1815"/>
      <c r="Y26" s="3247"/>
      <c r="Z26" s="1816"/>
      <c r="AA26" s="1813">
        <v>1</v>
      </c>
      <c r="AB26" s="1813">
        <v>1</v>
      </c>
      <c r="AC26" s="2679">
        <v>1</v>
      </c>
    </row>
    <row r="27" spans="1:29" ht="15.75" thickBot="1">
      <c r="A27" s="427"/>
      <c r="B27" s="631" t="s">
        <v>2664</v>
      </c>
      <c r="C27" s="2970" t="s">
        <v>3321</v>
      </c>
      <c r="D27" s="434">
        <v>100</v>
      </c>
      <c r="E27" s="2969" t="s">
        <v>3322</v>
      </c>
      <c r="F27" s="434">
        <f>SUMIF(89:89,E27,90:90)-SUMIF(89:89,C27,90:90)+100</f>
        <v>100</v>
      </c>
      <c r="G27" s="2969" t="s">
        <v>3322</v>
      </c>
      <c r="H27" s="434">
        <f>SUMIF(89:89,G27,90:90)-SUMIF(89:89,C27,90:90)+100</f>
        <v>100</v>
      </c>
      <c r="I27" s="2969" t="s">
        <v>3322</v>
      </c>
      <c r="J27" s="434">
        <f>SUMIF(89:89,I27,90:90)-SUMIF(89:89,C27,90:90)+100</f>
        <v>100</v>
      </c>
      <c r="K27" s="611">
        <v>2</v>
      </c>
      <c r="L27" s="1142"/>
      <c r="M27" s="1133"/>
      <c r="N27" s="1133"/>
      <c r="O27" s="1133"/>
      <c r="P27" s="3245"/>
      <c r="Q27" s="1812" t="str">
        <f t="shared" ref="Q27:Q47" si="11">B27</f>
        <v>楼层</v>
      </c>
      <c r="R27" s="773" t="s">
        <v>17</v>
      </c>
      <c r="S27" s="774">
        <f>F27</f>
        <v>100</v>
      </c>
      <c r="T27" s="773" t="s">
        <v>17</v>
      </c>
      <c r="U27" s="774">
        <f>H27</f>
        <v>100</v>
      </c>
      <c r="V27" s="773" t="s">
        <v>17</v>
      </c>
      <c r="W27" s="774">
        <f>J27</f>
        <v>100</v>
      </c>
      <c r="X27" s="1815"/>
      <c r="Y27" s="3247"/>
      <c r="Z27" s="1816" t="str">
        <f>Q27</f>
        <v>楼层</v>
      </c>
      <c r="AA27" s="1813">
        <f t="shared" si="3"/>
        <v>1</v>
      </c>
      <c r="AB27" s="1813">
        <f t="shared" si="4"/>
        <v>1</v>
      </c>
      <c r="AC27" s="2679">
        <f t="shared" si="5"/>
        <v>1</v>
      </c>
    </row>
    <row r="28" spans="1:29" s="116" customFormat="1" ht="15" hidden="1">
      <c r="A28" s="430"/>
      <c r="B28" s="630" t="s">
        <v>2697</v>
      </c>
      <c r="C28" s="2681"/>
      <c r="D28" s="461">
        <v>100</v>
      </c>
      <c r="E28" s="2670"/>
      <c r="F28" s="461">
        <f>SUMIF(91:91,E28,92:92)-SUMIF(91:91,C28,92:92)+100</f>
        <v>100</v>
      </c>
      <c r="G28" s="2681"/>
      <c r="H28" s="461">
        <f>SUMIF(91:91,G28,92:92)-SUMIF(91:91,C28,92:92)+100</f>
        <v>100</v>
      </c>
      <c r="I28" s="2670"/>
      <c r="J28" s="461">
        <f>SUMIF(91:91,I28,92:92)-SUMIF(91:91,C28,92:92)+100</f>
        <v>100</v>
      </c>
      <c r="K28" s="611"/>
      <c r="L28" s="1134"/>
      <c r="M28" s="1135"/>
      <c r="N28" s="1135"/>
      <c r="O28" s="1135"/>
      <c r="P28" s="3245"/>
      <c r="Q28" s="1797" t="str">
        <f t="shared" si="11"/>
        <v>朝向</v>
      </c>
      <c r="R28" s="769" t="s">
        <v>17</v>
      </c>
      <c r="S28" s="770">
        <f>F28</f>
        <v>100</v>
      </c>
      <c r="T28" s="769" t="s">
        <v>17</v>
      </c>
      <c r="U28" s="770">
        <f>H28</f>
        <v>100</v>
      </c>
      <c r="V28" s="769" t="s">
        <v>17</v>
      </c>
      <c r="W28" s="770">
        <f>J28</f>
        <v>100</v>
      </c>
      <c r="X28" s="771"/>
      <c r="Y28" s="3247"/>
      <c r="Z28" s="54" t="str">
        <f>Q28</f>
        <v>朝向</v>
      </c>
      <c r="AA28" s="1813">
        <f>D28/F28</f>
        <v>1</v>
      </c>
      <c r="AB28" s="1813">
        <f>D28/H28</f>
        <v>1</v>
      </c>
      <c r="AC28" s="2679">
        <f>D28/J28</f>
        <v>1</v>
      </c>
    </row>
    <row r="29" spans="1:29" ht="15" hidden="1">
      <c r="A29" s="427"/>
      <c r="B29" s="2682">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245"/>
      <c r="Q29" s="1812">
        <f t="shared" si="11"/>
        <v>111</v>
      </c>
      <c r="R29" s="773" t="s">
        <v>17</v>
      </c>
      <c r="S29" s="774">
        <f t="shared" ref="S29:S47" si="12">F29</f>
        <v>100</v>
      </c>
      <c r="T29" s="773" t="s">
        <v>17</v>
      </c>
      <c r="U29" s="774">
        <f t="shared" ref="U29:U47" si="13">H29</f>
        <v>100</v>
      </c>
      <c r="V29" s="773" t="s">
        <v>17</v>
      </c>
      <c r="W29" s="774">
        <f t="shared" ref="W29:W47" si="14">J29</f>
        <v>100</v>
      </c>
      <c r="X29" s="1815"/>
      <c r="Y29" s="3247"/>
      <c r="Z29" s="1816">
        <f t="shared" ref="Z29:Z47" si="15">Q29</f>
        <v>111</v>
      </c>
      <c r="AA29" s="1813">
        <f t="shared" si="3"/>
        <v>1</v>
      </c>
      <c r="AB29" s="1813">
        <f t="shared" si="4"/>
        <v>1</v>
      </c>
      <c r="AC29" s="2679">
        <f t="shared" si="5"/>
        <v>1</v>
      </c>
    </row>
    <row r="30" spans="1:29" ht="15" hidden="1">
      <c r="A30" s="427"/>
      <c r="B30" s="2682">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245"/>
      <c r="Q30" s="1812">
        <f t="shared" si="11"/>
        <v>111</v>
      </c>
      <c r="R30" s="773" t="s">
        <v>17</v>
      </c>
      <c r="S30" s="774">
        <f t="shared" si="12"/>
        <v>100</v>
      </c>
      <c r="T30" s="773" t="s">
        <v>17</v>
      </c>
      <c r="U30" s="774">
        <f t="shared" si="13"/>
        <v>100</v>
      </c>
      <c r="V30" s="773" t="s">
        <v>17</v>
      </c>
      <c r="W30" s="774">
        <f t="shared" si="14"/>
        <v>100</v>
      </c>
      <c r="X30" s="1815"/>
      <c r="Y30" s="3247"/>
      <c r="Z30" s="1816">
        <f t="shared" si="15"/>
        <v>111</v>
      </c>
      <c r="AA30" s="1813">
        <f t="shared" si="3"/>
        <v>1</v>
      </c>
      <c r="AB30" s="1813">
        <f t="shared" si="4"/>
        <v>1</v>
      </c>
      <c r="AC30" s="2679">
        <f t="shared" si="5"/>
        <v>1</v>
      </c>
    </row>
    <row r="31" spans="1:29" ht="15" hidden="1">
      <c r="A31" s="427"/>
      <c r="B31" s="2682">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245"/>
      <c r="Q31" s="1812">
        <f t="shared" si="11"/>
        <v>111</v>
      </c>
      <c r="R31" s="773" t="s">
        <v>17</v>
      </c>
      <c r="S31" s="774">
        <f t="shared" si="12"/>
        <v>100</v>
      </c>
      <c r="T31" s="773" t="s">
        <v>17</v>
      </c>
      <c r="U31" s="774">
        <f t="shared" si="13"/>
        <v>100</v>
      </c>
      <c r="V31" s="773" t="s">
        <v>17</v>
      </c>
      <c r="W31" s="774">
        <f t="shared" si="14"/>
        <v>100</v>
      </c>
      <c r="X31" s="1815"/>
      <c r="Y31" s="3247"/>
      <c r="Z31" s="1816">
        <f t="shared" si="15"/>
        <v>111</v>
      </c>
      <c r="AA31" s="1813">
        <f t="shared" si="3"/>
        <v>1</v>
      </c>
      <c r="AB31" s="1813">
        <f t="shared" si="4"/>
        <v>1</v>
      </c>
      <c r="AC31" s="2679">
        <f t="shared" si="5"/>
        <v>1</v>
      </c>
    </row>
    <row r="32" spans="1:29" ht="15.75" hidden="1"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245"/>
      <c r="Q32" s="1812">
        <f t="shared" si="11"/>
        <v>111</v>
      </c>
      <c r="R32" s="773" t="s">
        <v>17</v>
      </c>
      <c r="S32" s="774">
        <f t="shared" si="12"/>
        <v>100</v>
      </c>
      <c r="T32" s="773" t="s">
        <v>17</v>
      </c>
      <c r="U32" s="774">
        <f t="shared" si="13"/>
        <v>100</v>
      </c>
      <c r="V32" s="773" t="s">
        <v>17</v>
      </c>
      <c r="W32" s="774">
        <f t="shared" si="14"/>
        <v>100</v>
      </c>
      <c r="X32" s="1815"/>
      <c r="Y32" s="3247"/>
      <c r="Z32" s="1816">
        <f t="shared" si="15"/>
        <v>111</v>
      </c>
      <c r="AA32" s="1813">
        <f t="shared" si="3"/>
        <v>1</v>
      </c>
      <c r="AB32" s="1813">
        <f t="shared" si="4"/>
        <v>1</v>
      </c>
      <c r="AC32" s="2679">
        <f t="shared" si="5"/>
        <v>1</v>
      </c>
    </row>
    <row r="33" spans="1:29" ht="15">
      <c r="A33" s="439" t="s">
        <v>2568</v>
      </c>
      <c r="B33" s="70" t="s">
        <v>2698</v>
      </c>
      <c r="C33" s="2971" t="s">
        <v>3323</v>
      </c>
      <c r="D33" s="466">
        <v>100</v>
      </c>
      <c r="E33" s="2971" t="s">
        <v>3323</v>
      </c>
      <c r="F33" s="460">
        <f>SUMIF(101:101,E33,102:102)-SUMIF(101:101,C33,102:102)+100</f>
        <v>100</v>
      </c>
      <c r="G33" s="2971" t="s">
        <v>3323</v>
      </c>
      <c r="H33" s="434">
        <f>SUMIF(101:101,G33,102:102)-SUMIF(101:101,C33,102:102)+100</f>
        <v>100</v>
      </c>
      <c r="I33" s="2971" t="s">
        <v>3323</v>
      </c>
      <c r="J33" s="466">
        <f>SUMIF(101:101,I33,102:102)-SUMIF(101:101,C33,102:102)+100</f>
        <v>100</v>
      </c>
      <c r="K33" s="611"/>
      <c r="L33" s="1142"/>
      <c r="M33" s="1133"/>
      <c r="N33" s="1133"/>
      <c r="O33" s="1133"/>
      <c r="P33" s="3248" t="s">
        <v>2570</v>
      </c>
      <c r="Q33" s="1812" t="str">
        <f t="shared" si="11"/>
        <v>建筑类型</v>
      </c>
      <c r="R33" s="773" t="s">
        <v>17</v>
      </c>
      <c r="S33" s="774">
        <f t="shared" si="12"/>
        <v>100</v>
      </c>
      <c r="T33" s="773" t="s">
        <v>17</v>
      </c>
      <c r="U33" s="774">
        <f t="shared" si="13"/>
        <v>100</v>
      </c>
      <c r="V33" s="773" t="s">
        <v>17</v>
      </c>
      <c r="W33" s="774">
        <f t="shared" si="14"/>
        <v>100</v>
      </c>
      <c r="X33" s="1815"/>
      <c r="Y33" s="3251" t="s">
        <v>2570</v>
      </c>
      <c r="Z33" s="1816" t="str">
        <f t="shared" si="15"/>
        <v>建筑类型</v>
      </c>
      <c r="AA33" s="1813">
        <f t="shared" si="3"/>
        <v>1</v>
      </c>
      <c r="AB33" s="1813">
        <f t="shared" si="4"/>
        <v>1</v>
      </c>
      <c r="AC33" s="2679">
        <f t="shared" si="5"/>
        <v>1</v>
      </c>
    </row>
    <row r="34" spans="1:29" s="470" customFormat="1" ht="15">
      <c r="A34" s="467"/>
      <c r="B34" s="421" t="s">
        <v>2571</v>
      </c>
      <c r="C34" s="468">
        <v>82625.429999999993</v>
      </c>
      <c r="D34" s="135">
        <v>100</v>
      </c>
      <c r="E34" s="429">
        <v>75472</v>
      </c>
      <c r="F34" s="424">
        <f>LOOKUP(E34,104:104,105:105)-LOOKUP(C34,104:104,105:105)+100</f>
        <v>100</v>
      </c>
      <c r="G34" s="428">
        <v>352995</v>
      </c>
      <c r="H34" s="135">
        <f>LOOKUP(G34,104:104,105:105)-LOOKUP(C34,104:104,105:105)+100</f>
        <v>101.5</v>
      </c>
      <c r="I34" s="428">
        <v>240000</v>
      </c>
      <c r="J34" s="135">
        <f>LOOKUP(I34,104:104,105:105)-LOOKUP(C34,104:104,105:105)+100</f>
        <v>101</v>
      </c>
      <c r="K34" s="612"/>
      <c r="L34" s="1140"/>
      <c r="M34" s="1143"/>
      <c r="N34" s="1143"/>
      <c r="O34" s="1143"/>
      <c r="P34" s="3249"/>
      <c r="Q34" s="775" t="str">
        <f t="shared" si="11"/>
        <v>项目建筑规模</v>
      </c>
      <c r="R34" s="776" t="s">
        <v>17</v>
      </c>
      <c r="S34" s="777">
        <f t="shared" si="12"/>
        <v>100</v>
      </c>
      <c r="T34" s="776" t="s">
        <v>17</v>
      </c>
      <c r="U34" s="777">
        <f t="shared" si="13"/>
        <v>101.5</v>
      </c>
      <c r="V34" s="776" t="s">
        <v>17</v>
      </c>
      <c r="W34" s="777">
        <f t="shared" si="14"/>
        <v>101</v>
      </c>
      <c r="X34" s="778"/>
      <c r="Y34" s="3251"/>
      <c r="Z34" s="779" t="str">
        <f t="shared" si="15"/>
        <v>项目建筑规模</v>
      </c>
      <c r="AA34" s="1813">
        <f t="shared" si="3"/>
        <v>1</v>
      </c>
      <c r="AB34" s="1813">
        <f t="shared" si="4"/>
        <v>0.98522167487684731</v>
      </c>
      <c r="AC34" s="2679">
        <f t="shared" si="5"/>
        <v>0.99009900990099009</v>
      </c>
    </row>
    <row r="35" spans="1:29" ht="15">
      <c r="A35" s="471"/>
      <c r="B35" s="421" t="s">
        <v>2572</v>
      </c>
      <c r="C35" s="2972" t="s">
        <v>3325</v>
      </c>
      <c r="D35" s="434">
        <v>100</v>
      </c>
      <c r="E35" s="2972" t="s">
        <v>3325</v>
      </c>
      <c r="F35" s="460">
        <f>SUMIF(106:106,E35,107:107)-SUMIF(106:106,C35,107:107)+100</f>
        <v>100</v>
      </c>
      <c r="G35" s="2972" t="s">
        <v>3325</v>
      </c>
      <c r="H35" s="434">
        <f>SUMIF(106:106,G35,107:107)-SUMIF(106:106,C35,107:107)+100</f>
        <v>100</v>
      </c>
      <c r="I35" s="2972" t="s">
        <v>3325</v>
      </c>
      <c r="J35" s="434">
        <f>SUMIF(106:106,I35,107:107)-SUMIF(106:106,C35,107:107)+100</f>
        <v>100</v>
      </c>
      <c r="K35" s="611"/>
      <c r="L35" s="1142"/>
      <c r="M35" s="1133"/>
      <c r="N35" s="1133"/>
      <c r="O35" s="1133"/>
      <c r="P35" s="3249"/>
      <c r="Q35" s="1812" t="str">
        <f t="shared" si="11"/>
        <v>建筑结构</v>
      </c>
      <c r="R35" s="773" t="s">
        <v>17</v>
      </c>
      <c r="S35" s="774">
        <f t="shared" si="12"/>
        <v>100</v>
      </c>
      <c r="T35" s="773" t="s">
        <v>17</v>
      </c>
      <c r="U35" s="774">
        <f t="shared" si="13"/>
        <v>100</v>
      </c>
      <c r="V35" s="773" t="s">
        <v>17</v>
      </c>
      <c r="W35" s="774">
        <f t="shared" si="14"/>
        <v>100</v>
      </c>
      <c r="X35" s="1815"/>
      <c r="Y35" s="3251"/>
      <c r="Z35" s="1816" t="str">
        <f t="shared" si="15"/>
        <v>建筑结构</v>
      </c>
      <c r="AA35" s="1813">
        <f t="shared" si="3"/>
        <v>1</v>
      </c>
      <c r="AB35" s="1813">
        <f t="shared" si="4"/>
        <v>1</v>
      </c>
      <c r="AC35" s="2679">
        <f t="shared" si="5"/>
        <v>1</v>
      </c>
    </row>
    <row r="36" spans="1:29" ht="15">
      <c r="A36" s="471"/>
      <c r="B36" s="421" t="s">
        <v>2666</v>
      </c>
      <c r="C36" s="2972" t="s">
        <v>3326</v>
      </c>
      <c r="D36" s="434">
        <v>100</v>
      </c>
      <c r="E36" s="2972" t="s">
        <v>3326</v>
      </c>
      <c r="F36" s="460">
        <f>SUMIF(108:108,E36,109:109)-SUMIF(108:108,C36,109:109)+100</f>
        <v>100</v>
      </c>
      <c r="G36" s="2972" t="s">
        <v>3326</v>
      </c>
      <c r="H36" s="434">
        <f>SUMIF(108:108,G36,109:109)-SUMIF(108:108,C36,109:109)+100</f>
        <v>100</v>
      </c>
      <c r="I36" s="2972" t="s">
        <v>3326</v>
      </c>
      <c r="J36" s="434">
        <f>SUMIF(108:108,I36,109:109)-SUMIF(108:108,C36,109:109)+100</f>
        <v>100</v>
      </c>
      <c r="K36" s="611"/>
      <c r="L36" s="1142"/>
      <c r="M36" s="1133"/>
      <c r="N36" s="1133"/>
      <c r="O36" s="1133"/>
      <c r="P36" s="3249"/>
      <c r="Q36" s="1812" t="str">
        <f t="shared" si="11"/>
        <v>公共部分装修</v>
      </c>
      <c r="R36" s="773" t="s">
        <v>17</v>
      </c>
      <c r="S36" s="774">
        <f t="shared" si="12"/>
        <v>100</v>
      </c>
      <c r="T36" s="773" t="s">
        <v>17</v>
      </c>
      <c r="U36" s="774">
        <f t="shared" si="13"/>
        <v>100</v>
      </c>
      <c r="V36" s="773" t="s">
        <v>17</v>
      </c>
      <c r="W36" s="774">
        <f t="shared" si="14"/>
        <v>100</v>
      </c>
      <c r="X36" s="1815"/>
      <c r="Y36" s="3251"/>
      <c r="Z36" s="1816" t="str">
        <f t="shared" si="15"/>
        <v>公共部分装修</v>
      </c>
      <c r="AA36" s="1813">
        <f t="shared" si="3"/>
        <v>1</v>
      </c>
      <c r="AB36" s="1813">
        <f t="shared" si="4"/>
        <v>1</v>
      </c>
      <c r="AC36" s="2679">
        <f t="shared" si="5"/>
        <v>1</v>
      </c>
    </row>
    <row r="37" spans="1:29" ht="15">
      <c r="A37" s="471"/>
      <c r="B37" s="421" t="s">
        <v>2667</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2"/>
      <c r="M37" s="1133"/>
      <c r="N37" s="1133"/>
      <c r="O37" s="1133"/>
      <c r="P37" s="3249"/>
      <c r="Q37" s="1812" t="str">
        <f t="shared" si="11"/>
        <v>成新度</v>
      </c>
      <c r="R37" s="773" t="s">
        <v>17</v>
      </c>
      <c r="S37" s="774">
        <f t="shared" si="12"/>
        <v>100</v>
      </c>
      <c r="T37" s="773" t="s">
        <v>17</v>
      </c>
      <c r="U37" s="774">
        <f t="shared" si="13"/>
        <v>100</v>
      </c>
      <c r="V37" s="773" t="s">
        <v>17</v>
      </c>
      <c r="W37" s="774">
        <f t="shared" si="14"/>
        <v>100</v>
      </c>
      <c r="X37" s="1815"/>
      <c r="Y37" s="3251"/>
      <c r="Z37" s="1816" t="str">
        <f t="shared" si="15"/>
        <v>成新度</v>
      </c>
      <c r="AA37" s="1813">
        <f t="shared" si="3"/>
        <v>1</v>
      </c>
      <c r="AB37" s="1813">
        <f t="shared" si="4"/>
        <v>1</v>
      </c>
      <c r="AC37" s="2679">
        <f t="shared" si="5"/>
        <v>1</v>
      </c>
    </row>
    <row r="38" spans="1:29" s="116" customFormat="1" ht="15">
      <c r="A38" s="472"/>
      <c r="B38" s="421" t="s">
        <v>2699</v>
      </c>
      <c r="C38" s="2972" t="s">
        <v>3327</v>
      </c>
      <c r="D38" s="135">
        <v>100</v>
      </c>
      <c r="E38" s="2972" t="s">
        <v>3327</v>
      </c>
      <c r="F38" s="460">
        <f>SUMIF(113:113,E38,114:114)-SUMIF(113:113,C38,114:114)+100</f>
        <v>100</v>
      </c>
      <c r="G38" s="2972" t="s">
        <v>3327</v>
      </c>
      <c r="H38" s="434">
        <f>SUMIF(113:113,G38,114:114)-SUMIF(113:113,C38,114:114)+100</f>
        <v>100</v>
      </c>
      <c r="I38" s="2972" t="s">
        <v>3327</v>
      </c>
      <c r="J38" s="434">
        <f>SUMIF(113:113,I38,114:114)-SUMIF(113:113,C38,114:114)+100</f>
        <v>100</v>
      </c>
      <c r="K38" s="611"/>
      <c r="L38" s="1134"/>
      <c r="M38" s="1135"/>
      <c r="N38" s="1135"/>
      <c r="O38" s="1135"/>
      <c r="P38" s="3249"/>
      <c r="Q38" s="1797" t="str">
        <f t="shared" si="11"/>
        <v>写字楼等级</v>
      </c>
      <c r="R38" s="769" t="s">
        <v>17</v>
      </c>
      <c r="S38" s="770">
        <f t="shared" si="12"/>
        <v>100</v>
      </c>
      <c r="T38" s="769" t="s">
        <v>17</v>
      </c>
      <c r="U38" s="770">
        <f t="shared" si="13"/>
        <v>100</v>
      </c>
      <c r="V38" s="769" t="s">
        <v>17</v>
      </c>
      <c r="W38" s="770">
        <f t="shared" si="14"/>
        <v>100</v>
      </c>
      <c r="X38" s="771"/>
      <c r="Y38" s="3251"/>
      <c r="Z38" s="54" t="str">
        <f t="shared" si="15"/>
        <v>写字楼等级</v>
      </c>
      <c r="AA38" s="772">
        <f t="shared" si="3"/>
        <v>1</v>
      </c>
      <c r="AB38" s="772">
        <f t="shared" si="4"/>
        <v>1</v>
      </c>
      <c r="AC38" s="2676">
        <f t="shared" si="5"/>
        <v>1</v>
      </c>
    </row>
    <row r="39" spans="1:29" ht="15">
      <c r="A39" s="471"/>
      <c r="B39" s="421" t="s">
        <v>2700</v>
      </c>
      <c r="C39" s="2972" t="s">
        <v>3328</v>
      </c>
      <c r="D39" s="434">
        <v>100</v>
      </c>
      <c r="E39" s="2972" t="s">
        <v>3328</v>
      </c>
      <c r="F39" s="460">
        <f>SUMIF(115:115,E39,116:116)-SUMIF(115:115,C39,116:116)+100</f>
        <v>100</v>
      </c>
      <c r="G39" s="2972" t="s">
        <v>3328</v>
      </c>
      <c r="H39" s="434">
        <f>SUMIF(115:115,G39,116:116)-SUMIF(115:115,C39,116:116)+100</f>
        <v>100</v>
      </c>
      <c r="I39" s="2972" t="s">
        <v>3328</v>
      </c>
      <c r="J39" s="434">
        <f>SUMIF(115:115,I39,116:116)-SUMIF(115:115,C39,116:116)+100</f>
        <v>100</v>
      </c>
      <c r="K39" s="611"/>
      <c r="L39" s="1142"/>
      <c r="M39" s="1133"/>
      <c r="N39" s="1133"/>
      <c r="O39" s="1133"/>
      <c r="P39" s="3249" t="s">
        <v>2570</v>
      </c>
      <c r="Q39" s="1812" t="str">
        <f t="shared" si="11"/>
        <v>物业管理</v>
      </c>
      <c r="R39" s="773" t="s">
        <v>17</v>
      </c>
      <c r="S39" s="774">
        <f t="shared" si="12"/>
        <v>100</v>
      </c>
      <c r="T39" s="773" t="s">
        <v>17</v>
      </c>
      <c r="U39" s="774">
        <f t="shared" si="13"/>
        <v>100</v>
      </c>
      <c r="V39" s="773" t="s">
        <v>17</v>
      </c>
      <c r="W39" s="774">
        <f t="shared" si="14"/>
        <v>100</v>
      </c>
      <c r="X39" s="1815"/>
      <c r="Y39" s="3251" t="s">
        <v>2570</v>
      </c>
      <c r="Z39" s="1816" t="str">
        <f t="shared" si="15"/>
        <v>物业管理</v>
      </c>
      <c r="AA39" s="1813">
        <f t="shared" si="3"/>
        <v>1</v>
      </c>
      <c r="AB39" s="1813">
        <f t="shared" si="4"/>
        <v>1</v>
      </c>
      <c r="AC39" s="2679">
        <f t="shared" si="5"/>
        <v>1</v>
      </c>
    </row>
    <row r="40" spans="1:29" ht="15">
      <c r="A40" s="471"/>
      <c r="B40" s="421" t="s">
        <v>2668</v>
      </c>
      <c r="C40" s="2972" t="s">
        <v>3329</v>
      </c>
      <c r="D40" s="434">
        <v>100</v>
      </c>
      <c r="E40" s="2972" t="s">
        <v>3329</v>
      </c>
      <c r="F40" s="460">
        <f>SUMIF(117:117,E40,118:118)-SUMIF(117:117,C40,118:118)+100</f>
        <v>100</v>
      </c>
      <c r="G40" s="2972" t="s">
        <v>3329</v>
      </c>
      <c r="H40" s="434">
        <f>SUMIF(117:117,G40,118:118)-SUMIF(117:117,C40,118:118)+100</f>
        <v>100</v>
      </c>
      <c r="I40" s="2972" t="s">
        <v>3329</v>
      </c>
      <c r="J40" s="434">
        <f>SUMIF(117:117,I40,118:118)-SUMIF(117:117,C40,118:118)+100</f>
        <v>100</v>
      </c>
      <c r="K40" s="611"/>
      <c r="L40" s="1142"/>
      <c r="M40" s="1133"/>
      <c r="N40" s="1133"/>
      <c r="O40" s="1133"/>
      <c r="P40" s="3249"/>
      <c r="Q40" s="1812" t="str">
        <f t="shared" si="11"/>
        <v>市政基础设施</v>
      </c>
      <c r="R40" s="773" t="s">
        <v>17</v>
      </c>
      <c r="S40" s="774">
        <f t="shared" si="12"/>
        <v>100</v>
      </c>
      <c r="T40" s="773" t="s">
        <v>17</v>
      </c>
      <c r="U40" s="774">
        <f t="shared" si="13"/>
        <v>100</v>
      </c>
      <c r="V40" s="773" t="s">
        <v>17</v>
      </c>
      <c r="W40" s="774">
        <f t="shared" si="14"/>
        <v>100</v>
      </c>
      <c r="X40" s="1815"/>
      <c r="Y40" s="3251"/>
      <c r="Z40" s="1816" t="str">
        <f t="shared" si="15"/>
        <v>市政基础设施</v>
      </c>
      <c r="AA40" s="1813">
        <f t="shared" si="3"/>
        <v>1</v>
      </c>
      <c r="AB40" s="1813">
        <f t="shared" si="4"/>
        <v>1</v>
      </c>
      <c r="AC40" s="2679">
        <f t="shared" si="5"/>
        <v>1</v>
      </c>
    </row>
    <row r="41" spans="1:29" ht="15">
      <c r="A41" s="471"/>
      <c r="B41" s="421" t="s">
        <v>2670</v>
      </c>
      <c r="C41" s="2969" t="s">
        <v>3330</v>
      </c>
      <c r="D41" s="434">
        <v>100</v>
      </c>
      <c r="E41" s="2969" t="s">
        <v>3330</v>
      </c>
      <c r="F41" s="460">
        <f>SUMIF(119:119,E41,120:120)-SUMIF(119:119,C41,120:120)+100</f>
        <v>100</v>
      </c>
      <c r="G41" s="2969" t="s">
        <v>3330</v>
      </c>
      <c r="H41" s="434">
        <f>SUMIF(119:119,G41,120:120)-SUMIF(119:119,C41,120:120)+100</f>
        <v>100</v>
      </c>
      <c r="I41" s="2969" t="s">
        <v>3330</v>
      </c>
      <c r="J41" s="434">
        <f>SUMIF(119:119,I41,120:120)-SUMIF(119:119,C41,120:120)+100</f>
        <v>100</v>
      </c>
      <c r="K41" s="611"/>
      <c r="L41" s="1142"/>
      <c r="M41" s="1133"/>
      <c r="N41" s="1133"/>
      <c r="O41" s="1133"/>
      <c r="P41" s="3249"/>
      <c r="Q41" s="1812" t="str">
        <f t="shared" si="11"/>
        <v>层高</v>
      </c>
      <c r="R41" s="773" t="s">
        <v>17</v>
      </c>
      <c r="S41" s="774">
        <f t="shared" si="12"/>
        <v>100</v>
      </c>
      <c r="T41" s="773" t="s">
        <v>17</v>
      </c>
      <c r="U41" s="774">
        <f t="shared" si="13"/>
        <v>100</v>
      </c>
      <c r="V41" s="773" t="s">
        <v>17</v>
      </c>
      <c r="W41" s="774">
        <f t="shared" si="14"/>
        <v>100</v>
      </c>
      <c r="X41" s="1815"/>
      <c r="Y41" s="3251"/>
      <c r="Z41" s="1816" t="str">
        <f t="shared" si="15"/>
        <v>层高</v>
      </c>
      <c r="AA41" s="1813">
        <f t="shared" si="3"/>
        <v>1</v>
      </c>
      <c r="AB41" s="1813">
        <f t="shared" si="4"/>
        <v>1</v>
      </c>
      <c r="AC41" s="2679">
        <f t="shared" si="5"/>
        <v>1</v>
      </c>
    </row>
    <row r="42" spans="1:29" s="470" customFormat="1" ht="15">
      <c r="A42" s="467"/>
      <c r="B42" s="1814" t="s">
        <v>2701</v>
      </c>
      <c r="C42" s="433">
        <f>'数据-基础表'!I13</f>
        <v>80.73</v>
      </c>
      <c r="D42" s="434">
        <v>100</v>
      </c>
      <c r="E42" s="433" t="s">
        <v>3331</v>
      </c>
      <c r="F42" s="460">
        <f>SUMIF(121:121,E42,122:122)-SUMIF(121:121,C42,122:122)+100</f>
        <v>100</v>
      </c>
      <c r="G42" s="433" t="s">
        <v>3331</v>
      </c>
      <c r="H42" s="434">
        <f>SUMIF(121:121,G42,122:122)-SUMIF(121:121,C42,122:122)+100</f>
        <v>100</v>
      </c>
      <c r="I42" s="433" t="s">
        <v>3331</v>
      </c>
      <c r="J42" s="434">
        <f>SUMIF(121:121,I42,122:122)-SUMIF(121:121,C42,122:122)+100</f>
        <v>100</v>
      </c>
      <c r="K42" s="612"/>
      <c r="L42" s="1140"/>
      <c r="M42" s="1143"/>
      <c r="N42" s="1143"/>
      <c r="O42" s="1143"/>
      <c r="P42" s="3249"/>
      <c r="Q42" s="775" t="str">
        <f t="shared" si="11"/>
        <v>单套建筑面积</v>
      </c>
      <c r="R42" s="776" t="s">
        <v>17</v>
      </c>
      <c r="S42" s="777">
        <f t="shared" si="12"/>
        <v>100</v>
      </c>
      <c r="T42" s="776" t="s">
        <v>17</v>
      </c>
      <c r="U42" s="777">
        <f t="shared" si="13"/>
        <v>100</v>
      </c>
      <c r="V42" s="776" t="s">
        <v>17</v>
      </c>
      <c r="W42" s="777">
        <f t="shared" si="14"/>
        <v>100</v>
      </c>
      <c r="X42" s="778"/>
      <c r="Y42" s="3251"/>
      <c r="Z42" s="779" t="str">
        <f t="shared" si="15"/>
        <v>单套建筑面积</v>
      </c>
      <c r="AA42" s="1813">
        <f t="shared" si="3"/>
        <v>1</v>
      </c>
      <c r="AB42" s="1813">
        <f t="shared" si="4"/>
        <v>1</v>
      </c>
      <c r="AC42" s="2679">
        <f t="shared" si="5"/>
        <v>1</v>
      </c>
    </row>
    <row r="43" spans="1:29" ht="15">
      <c r="A43" s="471"/>
      <c r="B43" s="421" t="s">
        <v>2673</v>
      </c>
      <c r="C43" s="2972" t="s">
        <v>3333</v>
      </c>
      <c r="D43" s="434">
        <v>100</v>
      </c>
      <c r="E43" s="2972" t="s">
        <v>3333</v>
      </c>
      <c r="F43" s="460">
        <f>SUMIF(123:123,E43,124:124)-SUMIF(123:123,C43,124:124)+100</f>
        <v>100</v>
      </c>
      <c r="G43" s="2972" t="s">
        <v>3333</v>
      </c>
      <c r="H43" s="434">
        <f>SUMIF(123:123,G43,124:124)-SUMIF(123:123,C43,124:124)+100</f>
        <v>100</v>
      </c>
      <c r="I43" s="2972" t="s">
        <v>3333</v>
      </c>
      <c r="J43" s="434">
        <f>SUMIF(123:123,I43,124:124)-SUMIF(123:123,C43,124:124)+100</f>
        <v>100</v>
      </c>
      <c r="K43" s="611"/>
      <c r="L43" s="1142"/>
      <c r="M43" s="1133"/>
      <c r="N43" s="1133"/>
      <c r="O43" s="1133"/>
      <c r="P43" s="3249"/>
      <c r="Q43" s="1812" t="str">
        <f t="shared" si="11"/>
        <v>内部装修</v>
      </c>
      <c r="R43" s="773" t="s">
        <v>17</v>
      </c>
      <c r="S43" s="774">
        <f t="shared" si="12"/>
        <v>100</v>
      </c>
      <c r="T43" s="773" t="s">
        <v>17</v>
      </c>
      <c r="U43" s="774">
        <f t="shared" si="13"/>
        <v>100</v>
      </c>
      <c r="V43" s="773" t="s">
        <v>17</v>
      </c>
      <c r="W43" s="774">
        <f t="shared" si="14"/>
        <v>100</v>
      </c>
      <c r="X43" s="1815"/>
      <c r="Y43" s="3251"/>
      <c r="Z43" s="1816" t="str">
        <f t="shared" si="15"/>
        <v>内部装修</v>
      </c>
      <c r="AA43" s="1813">
        <f t="shared" si="3"/>
        <v>1</v>
      </c>
      <c r="AB43" s="1813">
        <f t="shared" si="4"/>
        <v>1</v>
      </c>
      <c r="AC43" s="2679">
        <f t="shared" si="5"/>
        <v>1</v>
      </c>
    </row>
    <row r="44" spans="1:29" ht="15.75" thickBot="1">
      <c r="A44" s="471"/>
      <c r="B44" s="421" t="s">
        <v>2581</v>
      </c>
      <c r="C44" s="2973" t="s">
        <v>3315</v>
      </c>
      <c r="D44" s="434">
        <v>100</v>
      </c>
      <c r="E44" s="2973" t="s">
        <v>3315</v>
      </c>
      <c r="F44" s="460">
        <f>SUMIF(125:125,E44,126:126)-SUMIF(125:125,C44,126:126)+100</f>
        <v>100</v>
      </c>
      <c r="G44" s="2973" t="s">
        <v>3315</v>
      </c>
      <c r="H44" s="434">
        <f>SUMIF(125:125,G44,126:126)-SUMIF(125:125,C44,126:126)+100</f>
        <v>100</v>
      </c>
      <c r="I44" s="2973" t="s">
        <v>3315</v>
      </c>
      <c r="J44" s="434">
        <f>SUMIF(125:125,I44,126:126)-SUMIF(125:125,C44,126:126)+100</f>
        <v>100</v>
      </c>
      <c r="K44" s="611"/>
      <c r="L44" s="1142"/>
      <c r="M44" s="1133"/>
      <c r="N44" s="1133"/>
      <c r="O44" s="1133"/>
      <c r="P44" s="3249"/>
      <c r="Q44" s="1812" t="str">
        <f t="shared" si="11"/>
        <v>内部装修维护情况</v>
      </c>
      <c r="R44" s="773" t="s">
        <v>17</v>
      </c>
      <c r="S44" s="774">
        <f t="shared" si="12"/>
        <v>100</v>
      </c>
      <c r="T44" s="773" t="s">
        <v>17</v>
      </c>
      <c r="U44" s="774">
        <f t="shared" si="13"/>
        <v>100</v>
      </c>
      <c r="V44" s="773" t="s">
        <v>17</v>
      </c>
      <c r="W44" s="774">
        <f t="shared" si="14"/>
        <v>100</v>
      </c>
      <c r="X44" s="1815"/>
      <c r="Y44" s="3251"/>
      <c r="Z44" s="1816" t="str">
        <f t="shared" si="15"/>
        <v>内部装修维护情况</v>
      </c>
      <c r="AA44" s="1813">
        <f t="shared" si="3"/>
        <v>1</v>
      </c>
      <c r="AB44" s="1813">
        <f t="shared" si="4"/>
        <v>1</v>
      </c>
      <c r="AC44" s="2679">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49"/>
      <c r="Q45" s="1797">
        <f t="shared" si="11"/>
        <v>111</v>
      </c>
      <c r="R45" s="769" t="s">
        <v>17</v>
      </c>
      <c r="S45" s="770">
        <f t="shared" si="12"/>
        <v>100</v>
      </c>
      <c r="T45" s="769" t="s">
        <v>17</v>
      </c>
      <c r="U45" s="770">
        <f t="shared" si="13"/>
        <v>100</v>
      </c>
      <c r="V45" s="769" t="s">
        <v>17</v>
      </c>
      <c r="W45" s="770">
        <f t="shared" si="14"/>
        <v>100</v>
      </c>
      <c r="X45" s="771"/>
      <c r="Y45" s="3251"/>
      <c r="Z45" s="54">
        <f t="shared" si="15"/>
        <v>111</v>
      </c>
      <c r="AA45" s="772">
        <f t="shared" si="3"/>
        <v>1</v>
      </c>
      <c r="AB45" s="772">
        <f t="shared" si="4"/>
        <v>1</v>
      </c>
      <c r="AC45" s="2676">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49"/>
      <c r="Q46" s="1812">
        <f t="shared" si="11"/>
        <v>111</v>
      </c>
      <c r="R46" s="773" t="s">
        <v>17</v>
      </c>
      <c r="S46" s="774">
        <f t="shared" si="12"/>
        <v>100</v>
      </c>
      <c r="T46" s="773" t="s">
        <v>17</v>
      </c>
      <c r="U46" s="774">
        <f t="shared" si="13"/>
        <v>100</v>
      </c>
      <c r="V46" s="773" t="s">
        <v>17</v>
      </c>
      <c r="W46" s="774">
        <f t="shared" si="14"/>
        <v>100</v>
      </c>
      <c r="X46" s="1815"/>
      <c r="Y46" s="3251"/>
      <c r="Z46" s="1816">
        <f t="shared" si="15"/>
        <v>111</v>
      </c>
      <c r="AA46" s="1813">
        <f t="shared" si="3"/>
        <v>1</v>
      </c>
      <c r="AB46" s="1813">
        <f t="shared" si="4"/>
        <v>1</v>
      </c>
      <c r="AC46" s="2679">
        <f t="shared" si="5"/>
        <v>1</v>
      </c>
    </row>
    <row r="47" spans="1:29" ht="15.75" hidden="1"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0"/>
      <c r="Q47" s="1812">
        <f t="shared" si="11"/>
        <v>111</v>
      </c>
      <c r="R47" s="773" t="s">
        <v>17</v>
      </c>
      <c r="S47" s="774">
        <f t="shared" si="12"/>
        <v>100</v>
      </c>
      <c r="T47" s="773" t="s">
        <v>17</v>
      </c>
      <c r="U47" s="774">
        <f t="shared" si="13"/>
        <v>100</v>
      </c>
      <c r="V47" s="773" t="s">
        <v>17</v>
      </c>
      <c r="W47" s="774">
        <f t="shared" si="14"/>
        <v>100</v>
      </c>
      <c r="X47" s="1815"/>
      <c r="Y47" s="3252"/>
      <c r="Z47" s="1816">
        <f t="shared" si="15"/>
        <v>111</v>
      </c>
      <c r="AA47" s="1813">
        <f t="shared" si="3"/>
        <v>1</v>
      </c>
      <c r="AB47" s="1813">
        <f t="shared" si="4"/>
        <v>1</v>
      </c>
      <c r="AC47" s="2679">
        <f t="shared" si="5"/>
        <v>1</v>
      </c>
    </row>
    <row r="48" spans="1:29" ht="15">
      <c r="A48" s="478" t="s">
        <v>2582</v>
      </c>
      <c r="B48" s="479"/>
      <c r="C48" s="1409" t="s">
        <v>1</v>
      </c>
      <c r="D48" s="1410"/>
      <c r="E48" s="1411">
        <f>ROUND(10500*0.98,0)</f>
        <v>10290</v>
      </c>
      <c r="F48" s="1412"/>
      <c r="G48" s="1413">
        <f>ROUND(9200*0.98,0)</f>
        <v>9016</v>
      </c>
      <c r="H48" s="1414"/>
      <c r="I48" s="1411">
        <f>ROUND(10000*0.98,0)</f>
        <v>9800</v>
      </c>
      <c r="J48" s="484"/>
      <c r="K48" s="782"/>
      <c r="L48" s="1145"/>
      <c r="M48" s="1133"/>
      <c r="N48" s="1133"/>
      <c r="O48" s="1133"/>
      <c r="P48" s="3238" t="str">
        <f>A48</f>
        <v>成交单价（元/平方米）</v>
      </c>
      <c r="Q48" s="3239"/>
      <c r="R48" s="3240">
        <f>E48</f>
        <v>10290</v>
      </c>
      <c r="S48" s="3240"/>
      <c r="T48" s="3240">
        <f>G48</f>
        <v>9016</v>
      </c>
      <c r="U48" s="3240"/>
      <c r="V48" s="3240">
        <f>I48</f>
        <v>9800</v>
      </c>
      <c r="W48" s="3240"/>
      <c r="X48" s="445"/>
      <c r="Y48" s="780"/>
      <c r="Z48" s="445"/>
      <c r="AA48" s="445"/>
      <c r="AB48" s="445"/>
      <c r="AC48" s="629"/>
    </row>
    <row r="49" spans="1:29" ht="15.75" thickBot="1">
      <c r="A49" s="485" t="s">
        <v>2674</v>
      </c>
      <c r="B49" s="486"/>
      <c r="C49" s="1415">
        <f>R50</f>
        <v>10010</v>
      </c>
      <c r="D49" s="1416"/>
      <c r="E49" s="1417">
        <f>R49</f>
        <v>11074</v>
      </c>
      <c r="F49" s="1417"/>
      <c r="G49" s="1415">
        <f>T49</f>
        <v>9253</v>
      </c>
      <c r="H49" s="1416"/>
      <c r="I49" s="1417">
        <f>V49</f>
        <v>9703</v>
      </c>
      <c r="J49" s="488"/>
      <c r="K49" s="783"/>
      <c r="L49" s="1145"/>
      <c r="M49" s="1133"/>
      <c r="N49" s="1133"/>
      <c r="O49" s="1133"/>
      <c r="P49" s="3238" t="str">
        <f>A49</f>
        <v>比较价值（元/平方米）</v>
      </c>
      <c r="Q49" s="3239"/>
      <c r="R49" s="3240">
        <f>IF(F1="售价",ROUND(PRODUCT(R48,AA7:AA47),0),ROUND(PRODUCT(R48,AA7:AA47),1))</f>
        <v>11074</v>
      </c>
      <c r="S49" s="3240"/>
      <c r="T49" s="3240">
        <f>IF(F1="售价",ROUND(PRODUCT(T48,AB7:AB47),0),ROUND(PRODUCT(T48,AB7:AB47),1))</f>
        <v>9253</v>
      </c>
      <c r="U49" s="3240"/>
      <c r="V49" s="3240">
        <f>IF(F1="售价",ROUND(PRODUCT(V48,AC7:AC47),0),ROUND(PRODUCT(V48,AC7:AC47),1))</f>
        <v>9703</v>
      </c>
      <c r="W49" s="3240"/>
      <c r="X49" s="445"/>
      <c r="Y49" s="445"/>
      <c r="Z49" s="445"/>
      <c r="AA49" s="445"/>
      <c r="AB49" s="445"/>
      <c r="AC49" s="629"/>
    </row>
    <row r="50" spans="1:29" ht="15.75" thickBot="1">
      <c r="A50" s="491" t="s">
        <v>2675</v>
      </c>
      <c r="B50" s="492"/>
      <c r="C50" s="1419">
        <f>R50</f>
        <v>10010</v>
      </c>
      <c r="D50" s="1419"/>
      <c r="E50" s="1419"/>
      <c r="F50" s="1419"/>
      <c r="G50" s="1419"/>
      <c r="H50" s="1419"/>
      <c r="I50" s="1419"/>
      <c r="J50" s="493"/>
      <c r="K50" s="784"/>
      <c r="L50" s="1145"/>
      <c r="M50" s="1133"/>
      <c r="N50" s="1133"/>
      <c r="O50" s="1133"/>
      <c r="P50" s="3241" t="str">
        <f>A50</f>
        <v>估价对象XX用房的比较价值（楼面单价，元/平方米）</v>
      </c>
      <c r="Q50" s="3242"/>
      <c r="R50" s="3243">
        <f>IF(F1="售价",ROUND(AVERAGE(R49:V49),0),ROUND(AVERAGE(R49:V49),1))</f>
        <v>10010</v>
      </c>
      <c r="S50" s="3243"/>
      <c r="T50" s="3243"/>
      <c r="U50" s="3243"/>
      <c r="V50" s="3243"/>
      <c r="W50" s="324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2676</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9.9969081727300235E-3</v>
      </c>
      <c r="J53" s="499" t="str">
        <f>IF(OR(I53&gt;=0.3,I53&lt;=-0.3),"超过30%","")</f>
        <v/>
      </c>
      <c r="K53" s="1107"/>
      <c r="L53" s="1108"/>
      <c r="M53" s="1146"/>
      <c r="N53" s="1146"/>
      <c r="O53" s="1146"/>
    </row>
    <row r="54" spans="1:29" ht="13.5" customHeight="1">
      <c r="A54" s="1146"/>
      <c r="B54" s="1146"/>
      <c r="C54" s="496" t="s">
        <v>2677</v>
      </c>
      <c r="D54" s="500"/>
      <c r="E54" s="498">
        <f>IF(E49&lt;G49,G49/E49-1,E49/G49-1)</f>
        <v>0.19680103750135092</v>
      </c>
      <c r="F54" s="499" t="str">
        <f>IF(OR(E54&gt;=0.2,E54&lt;=-0.2),"超过20%","")</f>
        <v/>
      </c>
      <c r="G54" s="498">
        <f>IF(G49&lt;I49,I49/G49-1,G49/I49-1)</f>
        <v>4.8632875824057065E-2</v>
      </c>
      <c r="H54" s="499" t="str">
        <f>IF(OR(G54&gt;=0.2,G54&lt;=-0.2),"超过20%","")</f>
        <v/>
      </c>
      <c r="I54" s="498">
        <f>IF(I49&lt;E49,E49/I49-1,I49/E49-1)</f>
        <v>0.14129650623518497</v>
      </c>
      <c r="J54" s="499" t="str">
        <f>IF(OR(I54&gt;=0.2,I54&lt;=-0.2),"超过20%","")</f>
        <v/>
      </c>
      <c r="K54" s="1107"/>
      <c r="L54" s="1108"/>
      <c r="M54" s="1146"/>
      <c r="N54" s="1146"/>
      <c r="O54" s="1146"/>
    </row>
    <row r="55" spans="1:29" s="501" customFormat="1" ht="13.5" customHeight="1">
      <c r="A55" s="1147"/>
      <c r="B55" s="1147"/>
      <c r="C55" s="496" t="s">
        <v>2678</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5"/>
      <c r="Q58" s="503"/>
    </row>
    <row r="59" spans="1:29" s="507" customFormat="1" ht="15">
      <c r="A59" s="504" t="s">
        <v>2553</v>
      </c>
      <c r="B59" s="505"/>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6" customFormat="1" ht="15">
      <c r="A60" s="508"/>
      <c r="B60" s="509"/>
      <c r="C60" s="1575">
        <v>100</v>
      </c>
      <c r="D60" s="511">
        <v>100</v>
      </c>
      <c r="E60" s="511">
        <v>100</v>
      </c>
      <c r="F60" s="511">
        <v>99</v>
      </c>
      <c r="G60" s="511">
        <v>99</v>
      </c>
      <c r="H60" s="511">
        <v>99</v>
      </c>
      <c r="I60" s="511"/>
      <c r="J60" s="511"/>
      <c r="K60" s="511"/>
      <c r="L60" s="511"/>
      <c r="M60" s="512"/>
      <c r="N60" s="511"/>
      <c r="O60" s="512"/>
      <c r="P60" s="2686"/>
    </row>
    <row r="61" spans="1:29" s="116" customFormat="1" ht="15.75" thickBot="1">
      <c r="A61" s="514" t="s">
        <v>2590</v>
      </c>
      <c r="B61" s="515"/>
      <c r="C61" s="516"/>
      <c r="D61" s="517"/>
      <c r="E61" s="517"/>
      <c r="F61" s="517"/>
      <c r="G61" s="517"/>
      <c r="H61" s="517"/>
      <c r="I61" s="517"/>
      <c r="J61" s="517"/>
      <c r="K61" s="517"/>
      <c r="L61" s="517"/>
      <c r="M61" s="518"/>
      <c r="N61" s="517"/>
      <c r="O61" s="518"/>
      <c r="P61" s="2686"/>
      <c r="Q61" s="503"/>
    </row>
    <row r="62" spans="1:29" s="116" customFormat="1" ht="15">
      <c r="A62" s="520" t="s">
        <v>2555</v>
      </c>
      <c r="B62" s="509"/>
      <c r="C62" s="521" t="s">
        <v>2657</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2593</v>
      </c>
      <c r="B64" s="527" t="s">
        <v>2559</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2563</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4</v>
      </c>
      <c r="E69" s="548">
        <v>5</v>
      </c>
      <c r="F69" s="548">
        <v>6</v>
      </c>
      <c r="G69" s="548">
        <v>7</v>
      </c>
      <c r="H69" s="548">
        <v>8</v>
      </c>
      <c r="I69" s="548">
        <v>9</v>
      </c>
      <c r="J69" s="548"/>
      <c r="K69" s="549"/>
      <c r="L69" s="550"/>
      <c r="M69" s="551"/>
      <c r="N69" s="1154"/>
      <c r="O69" s="1154"/>
      <c r="P69" s="2688"/>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4"/>
      <c r="O77" s="1154"/>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4"/>
      <c r="O79" s="1154"/>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4"/>
      <c r="O81" s="1154"/>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8"/>
      <c r="Q82" s="503"/>
    </row>
    <row r="83" spans="1:17" ht="15.75" thickTop="1">
      <c r="A83" s="533"/>
      <c r="B83" s="545" t="s">
        <v>2694</v>
      </c>
      <c r="C83" s="659" t="s">
        <v>2680</v>
      </c>
      <c r="D83" s="659" t="s">
        <v>2681</v>
      </c>
      <c r="E83" s="659" t="s">
        <v>2682</v>
      </c>
      <c r="F83" s="659" t="s">
        <v>2683</v>
      </c>
      <c r="G83" s="659" t="s">
        <v>2684</v>
      </c>
      <c r="H83" s="538"/>
      <c r="I83" s="538"/>
      <c r="J83" s="538"/>
      <c r="K83" s="538"/>
      <c r="L83" s="538"/>
      <c r="M83" s="1384"/>
      <c r="N83" s="1155"/>
      <c r="O83" s="1155"/>
      <c r="P83" s="268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4"/>
      <c r="O85" s="1154"/>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8"/>
      <c r="Q86" s="503"/>
    </row>
    <row r="87" spans="1:17" s="116" customFormat="1" ht="27.75" thickTop="1">
      <c r="A87" s="578"/>
      <c r="B87" s="537" t="s">
        <v>2704</v>
      </c>
      <c r="C87" s="2974" t="s">
        <v>3334</v>
      </c>
      <c r="D87" s="2974" t="s">
        <v>3335</v>
      </c>
      <c r="E87" s="2974" t="s">
        <v>3336</v>
      </c>
      <c r="F87" s="2974" t="s">
        <v>3337</v>
      </c>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5"/>
      <c r="O88" s="1155"/>
      <c r="P88" s="2688"/>
      <c r="Q88" s="503"/>
    </row>
    <row r="89" spans="1:17" s="116" customFormat="1" ht="15.75" thickTop="1">
      <c r="A89" s="578"/>
      <c r="B89" s="537" t="str">
        <f>B27</f>
        <v>楼层</v>
      </c>
      <c r="C89" s="2975" t="s">
        <v>3338</v>
      </c>
      <c r="D89" s="2975" t="s">
        <v>3339</v>
      </c>
      <c r="E89" s="2975" t="s">
        <v>3320</v>
      </c>
      <c r="F89" s="2640"/>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1"/>
      <c r="B100" s="568"/>
      <c r="C100" s="569"/>
      <c r="D100" s="569"/>
      <c r="E100" s="569"/>
      <c r="F100" s="569"/>
      <c r="G100" s="590"/>
      <c r="H100" s="590"/>
      <c r="I100" s="590"/>
      <c r="J100" s="590"/>
      <c r="K100" s="590"/>
      <c r="L100" s="590"/>
      <c r="M100" s="591"/>
      <c r="N100" s="1155"/>
      <c r="O100" s="1155"/>
      <c r="P100" s="2688"/>
      <c r="Q100" s="503"/>
    </row>
    <row r="101" spans="1:17">
      <c r="A101" s="526" t="s">
        <v>2568</v>
      </c>
      <c r="B101" s="527" t="s">
        <v>2617</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29.25" thickTop="1">
      <c r="A103" s="533"/>
      <c r="B103" s="537" t="s">
        <v>2618</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6"/>
      <c r="O104" s="1156"/>
      <c r="P104" s="2689"/>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5"/>
      <c r="O105" s="1155"/>
      <c r="P105" s="2689"/>
      <c r="Q105" s="558"/>
    </row>
    <row r="106" spans="1:17" ht="15" thickTop="1">
      <c r="A106" s="598"/>
      <c r="B106" s="537" t="s">
        <v>2619</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2621</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2705</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2622</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2623</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2706</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2689</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2625</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1"/>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3766</v>
      </c>
      <c r="D1" s="1822" t="s">
        <v>70</v>
      </c>
      <c r="E1" s="1823" t="s">
        <v>1387</v>
      </c>
      <c r="F1" s="1285">
        <f ca="1">J53</f>
        <v>34.159999999999997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75</v>
      </c>
      <c r="C2" s="1847" t="s">
        <v>1591</v>
      </c>
      <c r="D2" s="1940">
        <f ca="1">C40+J29+L46</f>
        <v>752902</v>
      </c>
      <c r="E2" s="1848" t="s">
        <v>1592</v>
      </c>
      <c r="F2" s="1849"/>
      <c r="G2" s="1850"/>
      <c r="H2" s="1842"/>
      <c r="I2" s="1842"/>
      <c r="J2" s="1842"/>
      <c r="K2" s="1843"/>
      <c r="L2" s="1842"/>
      <c r="M2" s="1842"/>
    </row>
    <row r="3" spans="1:37" ht="18" customHeight="1" thickBot="1">
      <c r="A3" s="1851" t="s">
        <v>1593</v>
      </c>
      <c r="B3" s="1852">
        <f ca="1">IF(ISERROR(D2/F43),0,ROUND(D2/F43,0))</f>
        <v>9326</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47855</v>
      </c>
      <c r="D5" s="1824" t="s">
        <v>1601</v>
      </c>
      <c r="E5" s="1295"/>
      <c r="F5" s="1296"/>
      <c r="G5" s="1853"/>
      <c r="H5" s="343">
        <v>1</v>
      </c>
      <c r="I5" s="344" t="s">
        <v>1600</v>
      </c>
      <c r="J5" s="1294">
        <f ca="1">J6+J10+J12</f>
        <v>0</v>
      </c>
      <c r="K5" s="1824" t="s">
        <v>1601</v>
      </c>
      <c r="L5" s="1295"/>
      <c r="M5" s="1296"/>
    </row>
    <row r="6" spans="1:37" ht="18" customHeight="1">
      <c r="A6" s="1293" t="s">
        <v>1035</v>
      </c>
      <c r="B6" s="3235" t="s">
        <v>1403</v>
      </c>
      <c r="C6" s="1298">
        <f ca="1">ROUND(F6*F8*F7*(1-F9),0)</f>
        <v>47736</v>
      </c>
      <c r="D6" s="163" t="s">
        <v>3032</v>
      </c>
      <c r="E6" s="346" t="s">
        <v>1405</v>
      </c>
      <c r="F6" s="347">
        <f ca="1">INDIRECT("'数据-取费表'!u"&amp;$G$1)</f>
        <v>1.8</v>
      </c>
      <c r="G6" s="1853"/>
      <c r="H6" s="1293" t="s">
        <v>1035</v>
      </c>
      <c r="I6" s="3235" t="s">
        <v>1403</v>
      </c>
      <c r="J6" s="345">
        <f ca="1">ROUND(M6*M8*M7*(1-M9),0)</f>
        <v>0</v>
      </c>
      <c r="K6" s="1836" t="s">
        <v>3033</v>
      </c>
      <c r="L6" s="346" t="s">
        <v>1405</v>
      </c>
      <c r="M6" s="347">
        <f ca="1">INDIRECT("'数据-取费表'!z"&amp;$G$1)</f>
        <v>0</v>
      </c>
    </row>
    <row r="7" spans="1:37" ht="18" customHeight="1">
      <c r="A7" s="1297"/>
      <c r="B7" s="3236"/>
      <c r="C7" s="1299"/>
      <c r="D7" s="351"/>
      <c r="E7" s="1300" t="s">
        <v>1406</v>
      </c>
      <c r="F7" s="347">
        <f ca="1">IF(INDIRECT("'数据-取费表'!ah"&amp;$G$1)="",INDIRECT("'数据-取费表'!k"&amp;$G$1),INDIRECT("'数据-取费表'!ah"&amp;$G$1))</f>
        <v>80.73</v>
      </c>
      <c r="G7" s="1853"/>
      <c r="H7" s="348"/>
      <c r="I7" s="3236"/>
      <c r="J7" s="350"/>
      <c r="K7" s="351"/>
      <c r="L7" s="346" t="s">
        <v>1406</v>
      </c>
      <c r="M7" s="347">
        <f ca="1">F7</f>
        <v>80.73</v>
      </c>
    </row>
    <row r="8" spans="1:37" ht="18" customHeight="1">
      <c r="A8" s="348"/>
      <c r="B8" s="3236"/>
      <c r="C8" s="350"/>
      <c r="D8" s="351"/>
      <c r="E8" s="346" t="s">
        <v>1407</v>
      </c>
      <c r="F8" s="347">
        <f ca="1">INDIRECT("'数据-取费表'!ai"&amp;$G$1)</f>
        <v>365</v>
      </c>
      <c r="G8" s="1853"/>
      <c r="H8" s="348"/>
      <c r="I8" s="3236"/>
      <c r="J8" s="350"/>
      <c r="K8" s="351"/>
      <c r="L8" s="346" t="s">
        <v>1407</v>
      </c>
      <c r="M8" s="347">
        <f ca="1">INDIRECT("'数据-取费表'!ai"&amp;$G$1)</f>
        <v>365</v>
      </c>
    </row>
    <row r="9" spans="1:37" ht="18" customHeight="1">
      <c r="A9" s="348"/>
      <c r="B9" s="3237"/>
      <c r="C9" s="350"/>
      <c r="D9" s="351"/>
      <c r="E9" s="346" t="s">
        <v>1408</v>
      </c>
      <c r="F9" s="356">
        <f ca="1">INDIRECT("'数据-取费表'!w"&amp;$G$1)</f>
        <v>0.1</v>
      </c>
      <c r="G9" s="1853"/>
      <c r="H9" s="348"/>
      <c r="I9" s="3237"/>
      <c r="J9" s="350"/>
      <c r="K9" s="351"/>
      <c r="L9" s="357" t="s">
        <v>1408</v>
      </c>
      <c r="M9" s="358">
        <f ca="1">INDIRECT("'数据-取费表'!ab"&amp;$G$1)</f>
        <v>0</v>
      </c>
    </row>
    <row r="10" spans="1:37" ht="18" customHeight="1">
      <c r="A10" s="1293" t="s">
        <v>1039</v>
      </c>
      <c r="B10" s="1825" t="s">
        <v>1409</v>
      </c>
      <c r="C10" s="360">
        <f ca="1">ROUND(IF(F10="押一",C6/12*F11,IF(F10="押二",C6/12*2*F11,IF(F10="押三",C6/12*3*F11,C11*F11))),0)</f>
        <v>119</v>
      </c>
      <c r="D10" s="1826" t="s">
        <v>3043</v>
      </c>
      <c r="E10" s="357" t="s">
        <v>1410</v>
      </c>
      <c r="F10" s="2990" t="s">
        <v>3359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312519</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226044</v>
      </c>
      <c r="D14" s="1802" t="s">
        <v>1418</v>
      </c>
      <c r="E14" s="1796"/>
      <c r="F14" s="363"/>
      <c r="G14" s="1853"/>
      <c r="H14" s="1203" t="s">
        <v>1035</v>
      </c>
      <c r="I14" s="346" t="s">
        <v>1419</v>
      </c>
      <c r="J14" s="23">
        <f ca="1">C29</f>
        <v>322185</v>
      </c>
      <c r="K14" s="14"/>
      <c r="L14" s="981"/>
      <c r="M14" s="982"/>
    </row>
    <row r="15" spans="1:37" s="1860" customFormat="1" ht="18" customHeight="1" thickBot="1">
      <c r="A15" s="1203" t="s">
        <v>1036</v>
      </c>
      <c r="B15" s="346" t="s">
        <v>1420</v>
      </c>
      <c r="C15" s="23">
        <f ca="1">ROUND(C14*F15,0)</f>
        <v>6781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9218</v>
      </c>
      <c r="K16" s="1339" t="s">
        <v>1425</v>
      </c>
      <c r="L16" s="1340"/>
      <c r="M16" s="1296"/>
    </row>
    <row r="17" spans="1:37" s="1860" customFormat="1" ht="18" customHeight="1">
      <c r="A17" s="1203" t="s">
        <v>1390</v>
      </c>
      <c r="B17" s="346" t="s">
        <v>1426</v>
      </c>
      <c r="C17" s="23">
        <f ca="1">ROUND(F17*(F43+INDIRECT("'数据-取费表'!S"&amp;$G$1)),0)</f>
        <v>16146</v>
      </c>
      <c r="D17" s="346" t="s">
        <v>1427</v>
      </c>
      <c r="E17" s="346" t="s">
        <v>1428</v>
      </c>
      <c r="F17" s="25">
        <f>'数据-取费表'!B35</f>
        <v>200</v>
      </c>
      <c r="G17" s="1856"/>
      <c r="H17" s="1203" t="s">
        <v>1035</v>
      </c>
      <c r="I17" s="346" t="s">
        <v>1429</v>
      </c>
      <c r="J17" s="23">
        <f ca="1">ROUND(IF(项目基本情况!B11="自然人",J5*M17,J18+J19+J20),0)</f>
        <v>2774</v>
      </c>
      <c r="K17" s="1802" t="s">
        <v>1430</v>
      </c>
      <c r="L17" s="1800" t="s">
        <v>1431</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3391</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252362</v>
      </c>
      <c r="D19" s="139" t="s">
        <v>1436</v>
      </c>
      <c r="E19" s="1820"/>
      <c r="F19" s="25"/>
      <c r="G19" s="1853"/>
      <c r="H19" s="1203" t="s">
        <v>1036</v>
      </c>
      <c r="I19" s="346" t="s">
        <v>1437</v>
      </c>
      <c r="J19" s="23">
        <f ca="1">IF(K19="按租金收入计税",ROUND(J5*M19,0),ROUND(C29*M19*0.7,0))</f>
        <v>2706</v>
      </c>
      <c r="K19" s="1830" t="s">
        <v>1438</v>
      </c>
      <c r="L19" s="346" t="s">
        <v>1422</v>
      </c>
      <c r="M19" s="366">
        <f>IF(K19="按租金收入计税",'数据-取费表'!B51,'数据-取费表'!B50)</f>
        <v>1.2E-2</v>
      </c>
    </row>
    <row r="20" spans="1:37" s="1860" customFormat="1" ht="18" customHeight="1">
      <c r="A20" s="1203" t="s">
        <v>1039</v>
      </c>
      <c r="B20" s="346" t="s">
        <v>1439</v>
      </c>
      <c r="C20" s="23">
        <f ca="1">ROUND(C19*F20,0)</f>
        <v>3785</v>
      </c>
      <c r="D20" s="368" t="s">
        <v>1440</v>
      </c>
      <c r="E20" s="346" t="s">
        <v>1422</v>
      </c>
      <c r="F20" s="366">
        <f>'数据-取费表'!B37</f>
        <v>1.4999999999999999E-2</v>
      </c>
      <c r="G20" s="1856"/>
      <c r="H20" s="1203" t="s">
        <v>1389</v>
      </c>
      <c r="I20" s="163" t="s">
        <v>1441</v>
      </c>
      <c r="J20" s="24">
        <f ca="1">ROUND(M20*M21,0)</f>
        <v>68</v>
      </c>
      <c r="K20" s="369" t="s">
        <v>1442</v>
      </c>
      <c r="L20" s="346" t="s">
        <v>1443</v>
      </c>
      <c r="M20" s="370">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0.03</v>
      </c>
      <c r="G21" s="1856"/>
      <c r="H21" s="371"/>
      <c r="I21" s="355"/>
      <c r="J21" s="28"/>
      <c r="K21" s="372"/>
      <c r="L21" s="346" t="s">
        <v>1447</v>
      </c>
      <c r="M21" s="347">
        <f ca="1">INDIRECT("'数据-取费表'!r"&amp;$G$1)</f>
        <v>4.24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6444</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12167</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-9218</v>
      </c>
      <c r="K25" s="1347" t="s">
        <v>1464</v>
      </c>
      <c r="L25" s="1348"/>
      <c r="M25" s="1349"/>
    </row>
    <row r="26" spans="1:37" ht="18" customHeight="1">
      <c r="A26" s="1203" t="s">
        <v>1034</v>
      </c>
      <c r="B26" s="346" t="s">
        <v>1465</v>
      </c>
      <c r="C26" s="23">
        <f ca="1">ROUND((C19+C20)*F26,0)</f>
        <v>25615</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322185</v>
      </c>
      <c r="D29" s="1344"/>
      <c r="E29" s="1342"/>
      <c r="F29" s="1345"/>
      <c r="G29" s="1856"/>
      <c r="H29" s="379" t="s">
        <v>1033</v>
      </c>
      <c r="I29" s="380" t="s">
        <v>1479</v>
      </c>
      <c r="J29" s="381">
        <f ca="1">ROUND(J26/(1+F40)^F41,0)</f>
        <v>0</v>
      </c>
      <c r="K29" s="382" t="s">
        <v>1480</v>
      </c>
      <c r="L29" s="383"/>
      <c r="M29" s="384">
        <f ca="1">INDIRECT("'数据-取费表'!k"&amp;$G$1)</f>
        <v>80.73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16868</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8363</v>
      </c>
      <c r="D31" s="1802" t="s">
        <v>1430</v>
      </c>
      <c r="E31" s="1800" t="s">
        <v>1481</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1433</v>
      </c>
      <c r="C32" s="23">
        <f ca="1">IF(项目基本情况!B11="自然人","——",ROUND(C5*F32/(1+'数据-取费表'!C42),0))</f>
        <v>2552</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5743</v>
      </c>
      <c r="D33" s="2989" t="s">
        <v>3358</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f>
        <v>68</v>
      </c>
      <c r="D34" s="369" t="s">
        <v>1442</v>
      </c>
      <c r="E34" s="346" t="s">
        <v>1443</v>
      </c>
      <c r="F34" s="370">
        <f>'数据-取费表'!B52</f>
        <v>16</v>
      </c>
      <c r="G34" s="1853"/>
      <c r="H34" s="744"/>
      <c r="I34" s="1862"/>
      <c r="J34" s="1863"/>
      <c r="K34" s="1865"/>
      <c r="L34" s="1866"/>
      <c r="M34" s="1866"/>
    </row>
    <row r="35" spans="1:18" ht="18" customHeight="1">
      <c r="A35" s="1355"/>
      <c r="B35" s="1353"/>
      <c r="C35" s="28"/>
      <c r="D35" s="372"/>
      <c r="E35" s="346" t="s">
        <v>1447</v>
      </c>
      <c r="F35" s="347">
        <f ca="1">INDIRECT("'数据-取费表'!r"&amp;$G$1)</f>
        <v>4.24</v>
      </c>
      <c r="G35" s="1853"/>
      <c r="H35" s="744"/>
      <c r="I35" s="1862"/>
      <c r="J35" s="1863"/>
      <c r="K35" s="1864"/>
      <c r="L35" s="1861"/>
      <c r="M35" s="1861"/>
    </row>
    <row r="36" spans="1:18" ht="18" customHeight="1">
      <c r="A36" s="1354" t="s">
        <v>1039</v>
      </c>
      <c r="B36" s="346" t="s">
        <v>1449</v>
      </c>
      <c r="C36" s="23">
        <f ca="1">ROUND(C29*F36,0)</f>
        <v>6444</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ROUND(C13*F37,0)</f>
        <v>625</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1435.7</v>
      </c>
      <c r="D38" s="1344" t="s">
        <v>1459</v>
      </c>
      <c r="E38" s="1342" t="s">
        <v>1455</v>
      </c>
      <c r="F38" s="1338">
        <f ca="1">INDIRECT("'数据-取费表'!Am"&amp;$G$1)</f>
        <v>0.03</v>
      </c>
      <c r="G38" s="1853"/>
      <c r="H38" s="1861"/>
      <c r="I38" s="1862"/>
      <c r="J38" s="1863"/>
      <c r="K38" s="1867"/>
      <c r="L38" s="1861"/>
      <c r="M38" s="1861"/>
    </row>
    <row r="39" spans="1:18" ht="24.6" customHeight="1" thickTop="1">
      <c r="A39" s="1331" t="s">
        <v>1031</v>
      </c>
      <c r="B39" s="1346" t="s">
        <v>1483</v>
      </c>
      <c r="C39" s="354">
        <f ca="1">C5-C30</f>
        <v>30987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746115</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34.159999999999997</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ROUND(C40/F43,0)</f>
        <v>9242</v>
      </c>
      <c r="D43" s="382" t="s">
        <v>1488</v>
      </c>
      <c r="E43" s="383" t="s">
        <v>1489</v>
      </c>
      <c r="F43" s="384">
        <f ca="1">INDIRECT("'数据-取费表'!k"&amp;$G$1)</f>
        <v>80.73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-1569618</v>
      </c>
      <c r="D45" s="1942" t="s">
        <v>1604</v>
      </c>
      <c r="E45" s="1868"/>
      <c r="F45" s="1868"/>
      <c r="O45" s="1871" t="s">
        <v>1519</v>
      </c>
      <c r="P45" s="1841"/>
      <c r="Q45" s="1841"/>
      <c r="R45" s="1841"/>
    </row>
    <row r="46" spans="1:18" s="1844" customFormat="1" ht="13.5" thickBot="1">
      <c r="A46" s="1872" t="s">
        <v>1520</v>
      </c>
      <c r="C46" s="1873">
        <f ca="1">ROUND(C45/10000,0)</f>
        <v>-157</v>
      </c>
      <c r="D46" s="1874" t="str">
        <f>C2</f>
        <v>万元</v>
      </c>
      <c r="I46" s="1875" t="s">
        <v>1521</v>
      </c>
      <c r="J46" s="1876"/>
      <c r="K46" s="1877"/>
      <c r="L46" s="1878">
        <f ca="1">IF(M47="住宅",0,IF(L48&gt;J51,L60,J60))</f>
        <v>6787</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3324</v>
      </c>
      <c r="K47" s="1884" t="s">
        <v>1527</v>
      </c>
      <c r="L47" s="1885">
        <f ca="1">INDIRECT("'数据-取费表'!d"&amp;$G$1)</f>
        <v>40</v>
      </c>
      <c r="M47" s="1840" t="str">
        <f>IF(ISNUMBER(FIND("住宅",C1)),"住宅","非住宅")</f>
        <v>非住宅</v>
      </c>
      <c r="O47" s="1886" t="s">
        <v>1040</v>
      </c>
      <c r="P47" s="1887" t="s">
        <v>1528</v>
      </c>
      <c r="Q47" s="1888">
        <f ca="1">C40+J29</f>
        <v>746115</v>
      </c>
      <c r="R47" s="1888" t="s">
        <v>1529</v>
      </c>
    </row>
    <row r="48" spans="1:18" s="1844" customFormat="1" ht="28.5" thickBot="1">
      <c r="A48" s="1362" t="s">
        <v>1135</v>
      </c>
      <c r="B48" s="344" t="s">
        <v>1401</v>
      </c>
      <c r="C48" s="1819">
        <f ca="1">C49+C53+C55</f>
        <v>0</v>
      </c>
      <c r="D48" s="1364"/>
      <c r="E48" s="1365"/>
      <c r="F48" s="1183"/>
      <c r="G48" s="791"/>
      <c r="H48" s="792"/>
      <c r="I48" s="1889" t="s">
        <v>1530</v>
      </c>
      <c r="J48" s="1890" t="s">
        <v>3340</v>
      </c>
      <c r="K48" s="1891" t="s">
        <v>1531</v>
      </c>
      <c r="L48" s="1892">
        <f ca="1">INDIRECT("'数据-取费表'!f"&amp;$G$1)</f>
        <v>34.159999999999997</v>
      </c>
      <c r="O48" s="1886" t="s">
        <v>1041</v>
      </c>
      <c r="P48" s="1887" t="s">
        <v>1532</v>
      </c>
      <c r="Q48" s="1888">
        <f ca="1">J60</f>
        <v>6787</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2016</v>
      </c>
      <c r="K49" s="1891" t="s">
        <v>1535</v>
      </c>
      <c r="L49" s="1895"/>
      <c r="O49" s="1896" t="s">
        <v>1042</v>
      </c>
      <c r="P49" s="1887" t="s">
        <v>1536</v>
      </c>
      <c r="Q49" s="1888">
        <f ca="1">C29</f>
        <v>322185</v>
      </c>
      <c r="R49" s="1888" t="s">
        <v>1529</v>
      </c>
    </row>
    <row r="50" spans="1:18" s="1844" customFormat="1" ht="13.5" thickBot="1">
      <c r="A50" s="1197"/>
      <c r="B50" s="1200"/>
      <c r="C50" s="1201"/>
      <c r="D50" s="1174"/>
      <c r="E50" s="1279" t="s">
        <v>1406</v>
      </c>
      <c r="F50" s="1280">
        <f ca="1">F7</f>
        <v>80.73</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58</v>
      </c>
      <c r="K51" s="1902" t="s">
        <v>1541</v>
      </c>
      <c r="L51" s="1903">
        <f ca="1">ROUND(-PV(INDIRECT("'数据-取费表'!h"&amp;$G$1),L48,(C39-C13*C76),0),0)</f>
        <v>76435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34.159999999999997</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IF(M47="住宅",J51,IF(D1="——",MIN(J51,L48),IF(D1="在建（套用方法）",MIN(J51,L48-'数据-取费表'!B24),IF(D1="土地（套用方法）",MIN(J51,L48-'数据-取费表'!B20)))))</f>
        <v>34.159999999999997</v>
      </c>
      <c r="K53" s="3233" t="s">
        <v>1548</v>
      </c>
      <c r="L53" s="3234"/>
      <c r="O53" s="1886" t="s">
        <v>1046</v>
      </c>
      <c r="P53" s="1887" t="s">
        <v>1549</v>
      </c>
      <c r="Q53" s="1888">
        <f ca="1">Q47+Q48</f>
        <v>752902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0.39700000000000002</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312519</v>
      </c>
      <c r="D56" s="1916"/>
      <c r="E56" s="1917"/>
      <c r="F56" s="1909"/>
      <c r="I56" s="1918" t="s">
        <v>1554</v>
      </c>
      <c r="J56" s="1919" t="s">
        <v>3299</v>
      </c>
      <c r="K56" s="1889" t="s">
        <v>1555</v>
      </c>
      <c r="L56" s="1892" t="str">
        <f ca="1">IF(L48&lt;J51,"——",L48-J51)</f>
        <v>——</v>
      </c>
      <c r="O56" s="1886" t="s">
        <v>1040</v>
      </c>
      <c r="P56" s="1887" t="s">
        <v>1528</v>
      </c>
      <c r="Q56" s="1888">
        <f ca="1">C40+J29</f>
        <v>746115</v>
      </c>
      <c r="R56" s="1888" t="s">
        <v>1529</v>
      </c>
    </row>
    <row r="57" spans="1:18" s="1844" customFormat="1" ht="24.75" thickBot="1">
      <c r="A57" s="1920"/>
      <c r="B57" s="1171" t="s">
        <v>1478</v>
      </c>
      <c r="C57" s="281">
        <f ca="1">C29</f>
        <v>322185</v>
      </c>
      <c r="D57" s="1921"/>
      <c r="E57" s="1922"/>
      <c r="F57" s="1923"/>
      <c r="I57" s="1924" t="s">
        <v>1556</v>
      </c>
      <c r="J57" s="1925">
        <f ca="1">IF(OR(M47="住宅",J51&lt;L48,J56="是"),"——",J51-L48)</f>
        <v>23.840000000000003</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34201</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27132</v>
      </c>
      <c r="D59" s="1184" t="s">
        <v>1430</v>
      </c>
      <c r="E59" s="1185" t="s">
        <v>1431</v>
      </c>
      <c r="F59" s="367">
        <f ca="1">IF(项目基本情况!B11="企业","",IF(INDIRECT("'数据-取费表'!c"&amp;$G$1)="住宅",5%,IF(F49*F50*F51/12/(1+'数据-取费表'!C42)&gt;20000,12%,7%)))</f>
        <v>7.0000000000000007E-2</v>
      </c>
      <c r="I59" s="1924" t="s">
        <v>1563</v>
      </c>
      <c r="J59" s="1925">
        <f ca="1">IF(OR(M47="住宅",J51&lt;L48,J56="是"),"——",ROUND(C29*J58,0))</f>
        <v>128874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f ca="1">IF(OR(M47="住宅",J51&lt;L48,J56="是"),"0",ROUND(J59/(1+J52)^J53,0))</f>
        <v>6787</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27064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IF(项目基本情况!B11="自然人","——",ROUND(F62*F63,0))</f>
        <v>68</v>
      </c>
      <c r="D62" s="1186" t="s">
        <v>1497</v>
      </c>
      <c r="E62" s="1171" t="s">
        <v>1498</v>
      </c>
      <c r="F62" s="370">
        <f t="shared" si="0"/>
        <v>16</v>
      </c>
      <c r="I62" s="1931" t="s">
        <v>1570</v>
      </c>
      <c r="J62" s="1932" t="s">
        <v>1571</v>
      </c>
      <c r="K62" s="1932" t="s">
        <v>1572</v>
      </c>
      <c r="L62" s="1932" t="s">
        <v>1573</v>
      </c>
      <c r="M62" s="1933" t="s">
        <v>1574</v>
      </c>
      <c r="O62" s="1886" t="s">
        <v>1046</v>
      </c>
      <c r="P62" s="1887" t="s">
        <v>1575</v>
      </c>
      <c r="Q62" s="1888">
        <f ca="1">Q56+Q57</f>
        <v>746115</v>
      </c>
      <c r="R62" s="1888" t="s">
        <v>1047</v>
      </c>
    </row>
    <row r="63" spans="1:18" s="1844" customFormat="1" ht="13.5" thickBot="1">
      <c r="A63" s="371"/>
      <c r="B63" s="1177"/>
      <c r="C63" s="28"/>
      <c r="D63" s="1187"/>
      <c r="E63" s="1171" t="s">
        <v>1499</v>
      </c>
      <c r="F63" s="347">
        <f t="shared" ca="1" si="0"/>
        <v>4.24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6444</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625</v>
      </c>
      <c r="D65" s="1185" t="s">
        <v>1454</v>
      </c>
      <c r="E65" s="1171" t="s">
        <v>1455</v>
      </c>
      <c r="F65" s="375">
        <f t="shared" ca="1" si="0"/>
        <v>2E-3</v>
      </c>
      <c r="I65" s="1931" t="s">
        <v>1579</v>
      </c>
      <c r="J65" s="1932">
        <v>40</v>
      </c>
      <c r="K65" s="1932">
        <v>30</v>
      </c>
      <c r="L65" s="1932">
        <v>50</v>
      </c>
      <c r="M65" s="1934">
        <v>0.02</v>
      </c>
      <c r="O65" s="1886" t="s">
        <v>1040</v>
      </c>
      <c r="P65" s="1887" t="s">
        <v>1580</v>
      </c>
      <c r="Q65" s="1888">
        <f ca="1">C40+J29</f>
        <v>746115</v>
      </c>
      <c r="R65" s="1888" t="s">
        <v>1529</v>
      </c>
    </row>
    <row r="66" spans="1:18" s="1844" customFormat="1" ht="16.5" thickBot="1">
      <c r="A66" s="1203" t="s">
        <v>1504</v>
      </c>
      <c r="B66" s="1171" t="s">
        <v>1439</v>
      </c>
      <c r="C66" s="23">
        <f ca="1">ROUND(C48*F66,0)</f>
        <v>0</v>
      </c>
      <c r="D66" s="1185" t="s">
        <v>1505</v>
      </c>
      <c r="E66" s="1171" t="s">
        <v>1422</v>
      </c>
      <c r="F66" s="356">
        <f t="shared" ca="1" si="0"/>
        <v>0.03</v>
      </c>
      <c r="O66" s="1886" t="s">
        <v>1041</v>
      </c>
      <c r="P66" s="1887" t="s">
        <v>1558</v>
      </c>
      <c r="Q66" s="1888">
        <f ca="1">L60</f>
        <v>0</v>
      </c>
      <c r="R66" s="1888" t="s">
        <v>1581</v>
      </c>
    </row>
    <row r="67" spans="1:18" s="1844" customFormat="1" ht="16.5" thickBot="1">
      <c r="A67" s="1178" t="s">
        <v>1031</v>
      </c>
      <c r="B67" s="1188" t="s">
        <v>1463</v>
      </c>
      <c r="C67" s="360">
        <f ca="1">C48-C58</f>
        <v>-34201</v>
      </c>
      <c r="D67" s="1184" t="s">
        <v>1464</v>
      </c>
      <c r="E67" s="1189"/>
      <c r="F67" s="1190"/>
      <c r="O67" s="1896" t="s">
        <v>1042</v>
      </c>
      <c r="P67" s="1887" t="s">
        <v>1562</v>
      </c>
      <c r="Q67" s="1935">
        <f ca="1">L51</f>
        <v>76435</v>
      </c>
      <c r="R67" s="1888" t="s">
        <v>1582</v>
      </c>
    </row>
    <row r="68" spans="1:18" s="1844" customFormat="1" ht="16.5" thickBot="1">
      <c r="A68" s="1168" t="s">
        <v>1032</v>
      </c>
      <c r="B68" s="1169" t="s">
        <v>1485</v>
      </c>
      <c r="C68" s="345">
        <f ca="1">ROUND(C67*(1-((1+F70)/(1+F68))^F69)/(F68-F70),0)</f>
        <v>-823503</v>
      </c>
      <c r="D68" s="1186" t="s">
        <v>1469</v>
      </c>
      <c r="E68" s="1171" t="s">
        <v>1470</v>
      </c>
      <c r="F68" s="356">
        <f ca="1">F40</f>
        <v>0.05</v>
      </c>
      <c r="O68" s="1896" t="s">
        <v>1043</v>
      </c>
      <c r="P68" s="1936" t="s">
        <v>1583</v>
      </c>
      <c r="Q68" s="1888">
        <f ca="1">ROUND(Q69-Q70*Q71,0)</f>
        <v>4423</v>
      </c>
      <c r="R68" s="1888" t="s">
        <v>1051</v>
      </c>
    </row>
    <row r="69" spans="1:18" s="1844" customFormat="1" ht="13.5" thickBot="1">
      <c r="A69" s="1172"/>
      <c r="B69" s="1173"/>
      <c r="C69" s="350"/>
      <c r="D69" s="1191" t="s">
        <v>1473</v>
      </c>
      <c r="E69" s="1171" t="s">
        <v>1474</v>
      </c>
      <c r="F69" s="378">
        <f ca="1">F41</f>
        <v>34.159999999999997</v>
      </c>
      <c r="O69" s="1896" t="s">
        <v>1048</v>
      </c>
      <c r="P69" s="1936" t="s">
        <v>1584</v>
      </c>
      <c r="Q69" s="1888">
        <f ca="1">C39</f>
        <v>30987</v>
      </c>
      <c r="R69" s="1888" t="s">
        <v>1529</v>
      </c>
    </row>
    <row r="70" spans="1:18" s="1844" customFormat="1" ht="13.5" thickBot="1">
      <c r="A70" s="1175"/>
      <c r="B70" s="1176"/>
      <c r="C70" s="354"/>
      <c r="D70" s="1187"/>
      <c r="E70" s="1171" t="s">
        <v>1477</v>
      </c>
      <c r="F70" s="1277">
        <f ca="1">F42</f>
        <v>0.03</v>
      </c>
      <c r="O70" s="1896" t="s">
        <v>1049</v>
      </c>
      <c r="P70" s="1936" t="s">
        <v>1585</v>
      </c>
      <c r="Q70" s="1888">
        <f ca="1">C13</f>
        <v>312519</v>
      </c>
      <c r="R70" s="1888" t="s">
        <v>1529</v>
      </c>
    </row>
    <row r="71" spans="1:18" s="1844" customFormat="1" ht="13.5" thickBot="1">
      <c r="A71" s="1192" t="s">
        <v>1033</v>
      </c>
      <c r="B71" s="1193" t="s">
        <v>1487</v>
      </c>
      <c r="C71" s="381">
        <f ca="1">ROUND(C68/F71,0)</f>
        <v>-10201</v>
      </c>
      <c r="D71" s="1194" t="s">
        <v>1488</v>
      </c>
      <c r="E71" s="1195" t="s">
        <v>1489</v>
      </c>
      <c r="F71" s="384">
        <f ca="1">F43</f>
        <v>80.73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26564</v>
      </c>
      <c r="D75" s="1844"/>
      <c r="E75" s="1844"/>
      <c r="F75" s="1844"/>
      <c r="K75" s="1870"/>
      <c r="L75" s="1844"/>
      <c r="O75" s="1886" t="s">
        <v>1046</v>
      </c>
      <c r="P75" s="1887" t="s">
        <v>1549</v>
      </c>
      <c r="Q75" s="1888">
        <f ca="1">Q65+Q66</f>
        <v>746115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0.14300000000000002</v>
      </c>
    </row>
    <row r="80" spans="1:18">
      <c r="B80" s="385" t="s">
        <v>1511</v>
      </c>
      <c r="C80" s="317">
        <f ca="1">ROUND(C75/C39,3)</f>
        <v>0.85699999999999998</v>
      </c>
    </row>
    <row r="81" spans="2:3">
      <c r="B81" s="313" t="s">
        <v>1512</v>
      </c>
      <c r="C81" s="281"/>
    </row>
    <row r="82" spans="2:3">
      <c r="B82" s="316" t="s">
        <v>1513</v>
      </c>
      <c r="C82" s="318">
        <f ca="1">1-C83</f>
        <v>0.58099999999999996</v>
      </c>
    </row>
    <row r="83" spans="2:3">
      <c r="B83" s="316" t="s">
        <v>1514</v>
      </c>
      <c r="C83" s="317">
        <f ca="1">ROUND(C13/C40,3)</f>
        <v>0.41899999999999998</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2531</v>
      </c>
      <c r="B1" s="2567"/>
      <c r="C1" s="2567"/>
      <c r="D1" s="2567"/>
      <c r="E1" s="2568"/>
    </row>
    <row r="2" spans="1:6" ht="15.75">
      <c r="A2" s="2569" t="s">
        <v>2332</v>
      </c>
      <c r="B2" s="2570">
        <f ca="1">SUMIF(B6:B13,"&lt;&gt;#ref!",B6:B13)</f>
        <v>75</v>
      </c>
      <c r="C2" s="2571" t="s">
        <v>2524</v>
      </c>
      <c r="D2" s="2572" t="s">
        <v>2525</v>
      </c>
      <c r="E2" s="2573">
        <f>SUM(E6:E13)</f>
        <v>80.73</v>
      </c>
    </row>
    <row r="3" spans="1:6" ht="15.75">
      <c r="A3" s="2569" t="s">
        <v>1395</v>
      </c>
      <c r="B3" s="2570">
        <f ca="1">ROUND(B2*10000/E2,0)</f>
        <v>9290</v>
      </c>
      <c r="C3" s="2571" t="s">
        <v>2532</v>
      </c>
      <c r="D3" s="2574"/>
      <c r="E3" s="2575"/>
    </row>
    <row r="4" spans="1:6" ht="15.75">
      <c r="A4" s="2576"/>
      <c r="B4" s="2574"/>
      <c r="C4" s="2574"/>
      <c r="D4" s="2574"/>
      <c r="E4" s="2575"/>
    </row>
    <row r="5" spans="1:6" ht="15">
      <c r="A5" s="2577" t="s">
        <v>2526</v>
      </c>
      <c r="B5" s="3291" t="s">
        <v>2527</v>
      </c>
      <c r="C5" s="3291"/>
      <c r="D5" s="2578"/>
      <c r="E5" s="2579" t="s">
        <v>2528</v>
      </c>
      <c r="F5" s="2580" t="s">
        <v>2529</v>
      </c>
    </row>
    <row r="6" spans="1:6">
      <c r="A6" s="2581" t="str">
        <f>'数据-取费表'!AN6</f>
        <v>收益法 (元)</v>
      </c>
      <c r="B6" s="2580">
        <f ca="1">IF(F6="是",'数据-取费表'!AO6,0)</f>
        <v>75</v>
      </c>
      <c r="C6" s="2571" t="s">
        <v>2524</v>
      </c>
      <c r="D6" s="2574"/>
      <c r="E6" s="2582">
        <f>IF(OR(A6=0,F6="否"),0,'数据-取费表'!K6+'数据-取费表'!S6)</f>
        <v>80.73</v>
      </c>
      <c r="F6" s="2583" t="s">
        <v>2530</v>
      </c>
    </row>
    <row r="7" spans="1:6">
      <c r="A7" s="2581">
        <f>'数据-取费表'!AN7</f>
        <v>0</v>
      </c>
      <c r="B7" s="2580" t="e">
        <f ca="1">IF(F7="是",'数据-取费表'!AO7,0)</f>
        <v>#REF!</v>
      </c>
      <c r="C7" s="2571" t="s">
        <v>2524</v>
      </c>
      <c r="D7" s="2574"/>
      <c r="E7" s="2582">
        <f>IF(OR(A7=0,F7="否"),0,'数据-取费表'!K7+'数据-取费表'!S7)</f>
        <v>0</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8" t="s">
        <v>1076</v>
      </c>
      <c r="B1" s="3309"/>
      <c r="C1" s="3310"/>
      <c r="D1" s="3311">
        <f>SUM(I10,I15,I20,I21,I23)</f>
        <v>0</v>
      </c>
      <c r="E1" s="3311"/>
      <c r="F1" s="3311"/>
      <c r="G1" s="3311"/>
      <c r="H1" s="3311"/>
      <c r="I1" s="3312"/>
    </row>
    <row r="2" spans="1:9">
      <c r="A2" s="3298" t="s">
        <v>1077</v>
      </c>
      <c r="B2" s="3299" t="s">
        <v>1078</v>
      </c>
      <c r="C2" s="3299"/>
      <c r="D2" s="1303" t="s">
        <v>1079</v>
      </c>
      <c r="E2" s="1303" t="s">
        <v>1080</v>
      </c>
      <c r="F2" s="1303" t="s">
        <v>1081</v>
      </c>
      <c r="G2" s="1303" t="s">
        <v>1082</v>
      </c>
      <c r="H2" s="1303" t="s">
        <v>1083</v>
      </c>
      <c r="I2" s="1304" t="s">
        <v>1084</v>
      </c>
    </row>
    <row r="3" spans="1:9">
      <c r="A3" s="3298"/>
      <c r="B3" s="3299" t="s">
        <v>1085</v>
      </c>
      <c r="C3" s="3299"/>
      <c r="D3" s="1305"/>
      <c r="E3" s="1303"/>
      <c r="F3" s="1306"/>
      <c r="G3" s="1306"/>
      <c r="H3" s="1307"/>
      <c r="I3" s="1308">
        <f>ROUND(D3*E3*F3*G3*H3/10000,0)</f>
        <v>0</v>
      </c>
    </row>
    <row r="4" spans="1:9">
      <c r="A4" s="3298"/>
      <c r="B4" s="3299" t="s">
        <v>1086</v>
      </c>
      <c r="C4" s="3299"/>
      <c r="D4" s="1305"/>
      <c r="E4" s="1303"/>
      <c r="F4" s="1306"/>
      <c r="G4" s="1306"/>
      <c r="H4" s="1307"/>
      <c r="I4" s="1308">
        <f t="shared" ref="I4:I9" si="0">ROUND(D4*E4*F4*G4*H4/10000,0)</f>
        <v>0</v>
      </c>
    </row>
    <row r="5" spans="1:9">
      <c r="A5" s="3298"/>
      <c r="B5" s="3299" t="s">
        <v>1087</v>
      </c>
      <c r="C5" s="3299"/>
      <c r="D5" s="1305"/>
      <c r="E5" s="1303"/>
      <c r="F5" s="1306"/>
      <c r="G5" s="1306"/>
      <c r="H5" s="1307"/>
      <c r="I5" s="1308">
        <f t="shared" si="0"/>
        <v>0</v>
      </c>
    </row>
    <row r="6" spans="1:9">
      <c r="A6" s="3298"/>
      <c r="B6" s="3299" t="s">
        <v>1088</v>
      </c>
      <c r="C6" s="3299"/>
      <c r="D6" s="1305"/>
      <c r="E6" s="1303"/>
      <c r="F6" s="1306"/>
      <c r="G6" s="1306"/>
      <c r="H6" s="1307"/>
      <c r="I6" s="1308">
        <f t="shared" si="0"/>
        <v>0</v>
      </c>
    </row>
    <row r="7" spans="1:9">
      <c r="A7" s="3298"/>
      <c r="B7" s="3299" t="s">
        <v>1089</v>
      </c>
      <c r="C7" s="3299"/>
      <c r="D7" s="1305"/>
      <c r="E7" s="1303"/>
      <c r="F7" s="1306"/>
      <c r="G7" s="1306"/>
      <c r="H7" s="1307"/>
      <c r="I7" s="1308">
        <f t="shared" si="0"/>
        <v>0</v>
      </c>
    </row>
    <row r="8" spans="1:9">
      <c r="A8" s="3298"/>
      <c r="B8" s="3299" t="s">
        <v>1090</v>
      </c>
      <c r="C8" s="3299"/>
      <c r="D8" s="1305"/>
      <c r="E8" s="1303"/>
      <c r="F8" s="1306"/>
      <c r="G8" s="1306"/>
      <c r="H8" s="1307"/>
      <c r="I8" s="1308">
        <f t="shared" si="0"/>
        <v>0</v>
      </c>
    </row>
    <row r="9" spans="1:9">
      <c r="A9" s="3298"/>
      <c r="B9" s="3299" t="s">
        <v>1091</v>
      </c>
      <c r="C9" s="3299"/>
      <c r="D9" s="1305"/>
      <c r="E9" s="1303"/>
      <c r="F9" s="1306"/>
      <c r="G9" s="1306"/>
      <c r="H9" s="1307"/>
      <c r="I9" s="1308">
        <f t="shared" si="0"/>
        <v>0</v>
      </c>
    </row>
    <row r="10" spans="1:9">
      <c r="A10" s="3298"/>
      <c r="B10" s="3300" t="s">
        <v>1092</v>
      </c>
      <c r="C10" s="3300"/>
      <c r="D10" s="1309"/>
      <c r="E10" s="1309" t="e">
        <f>ROUND(D1*10000/D10/H9,0)</f>
        <v>#DIV/0!</v>
      </c>
      <c r="F10" s="1310"/>
      <c r="G10" s="1310"/>
      <c r="H10" s="1311"/>
      <c r="I10" s="1312">
        <f>SUM(I3:I9)</f>
        <v>0</v>
      </c>
    </row>
    <row r="11" spans="1:9" ht="14.25">
      <c r="A11" s="3298" t="s">
        <v>1093</v>
      </c>
      <c r="B11" s="3299" t="s">
        <v>1094</v>
      </c>
      <c r="C11" s="3299"/>
      <c r="D11" s="1305" t="s">
        <v>1095</v>
      </c>
      <c r="E11" s="1305" t="s">
        <v>1096</v>
      </c>
      <c r="F11" s="1306" t="s">
        <v>1097</v>
      </c>
      <c r="G11" s="1306" t="s">
        <v>1083</v>
      </c>
      <c r="H11" s="1313" t="s">
        <v>1098</v>
      </c>
      <c r="I11" s="1304" t="s">
        <v>1084</v>
      </c>
    </row>
    <row r="12" spans="1:9">
      <c r="A12" s="3298"/>
      <c r="B12" s="3299" t="s">
        <v>1099</v>
      </c>
      <c r="C12" s="3299"/>
      <c r="D12" s="1305"/>
      <c r="E12" s="1305"/>
      <c r="F12" s="1306"/>
      <c r="G12" s="1307"/>
      <c r="H12" s="1314"/>
      <c r="I12" s="1304">
        <f>ROUND(D12*E12*F12*G12/10000,0)</f>
        <v>0</v>
      </c>
    </row>
    <row r="13" spans="1:9">
      <c r="A13" s="3298"/>
      <c r="B13" s="3299" t="s">
        <v>1100</v>
      </c>
      <c r="C13" s="3299"/>
      <c r="D13" s="1305"/>
      <c r="E13" s="1305"/>
      <c r="F13" s="1306"/>
      <c r="G13" s="1307"/>
      <c r="H13" s="1314"/>
      <c r="I13" s="1304">
        <f>ROUND(D13*E13*F13*G13/10000,0)</f>
        <v>0</v>
      </c>
    </row>
    <row r="14" spans="1:9">
      <c r="A14" s="3298"/>
      <c r="B14" s="3299" t="s">
        <v>1101</v>
      </c>
      <c r="C14" s="3299"/>
      <c r="D14" s="1305"/>
      <c r="E14" s="1305"/>
      <c r="F14" s="1306"/>
      <c r="G14" s="1307"/>
      <c r="H14" s="1314"/>
      <c r="I14" s="1304">
        <f>ROUND(D14*E14*F14*G14/10000,0)</f>
        <v>0</v>
      </c>
    </row>
    <row r="15" spans="1:9">
      <c r="A15" s="3298"/>
      <c r="B15" s="3300" t="s">
        <v>1092</v>
      </c>
      <c r="C15" s="3300"/>
      <c r="D15" s="1309"/>
      <c r="E15" s="1309">
        <f>SUM(E12:E14)</f>
        <v>0</v>
      </c>
      <c r="F15" s="1310"/>
      <c r="G15" s="1307"/>
      <c r="H15" s="1314"/>
      <c r="I15" s="1315">
        <f>SUM(I12:I14)</f>
        <v>0</v>
      </c>
    </row>
    <row r="16" spans="1:9" ht="24">
      <c r="A16" s="3298" t="s">
        <v>1102</v>
      </c>
      <c r="B16" s="3299" t="s">
        <v>1103</v>
      </c>
      <c r="C16" s="3299"/>
      <c r="D16" s="1305" t="s">
        <v>1079</v>
      </c>
      <c r="E16" s="1316" t="s">
        <v>1104</v>
      </c>
      <c r="F16" s="1306" t="s">
        <v>1105</v>
      </c>
      <c r="G16" s="1307" t="s">
        <v>1083</v>
      </c>
      <c r="H16" s="1313" t="s">
        <v>1098</v>
      </c>
      <c r="I16" s="1304" t="s">
        <v>1084</v>
      </c>
    </row>
    <row r="17" spans="1:9" ht="14.25">
      <c r="A17" s="3298"/>
      <c r="B17" s="3299" t="s">
        <v>1106</v>
      </c>
      <c r="C17" s="3299"/>
      <c r="D17" s="1305"/>
      <c r="E17" s="1305"/>
      <c r="F17" s="1306"/>
      <c r="G17" s="1307"/>
      <c r="H17" s="1317"/>
      <c r="I17" s="1318">
        <f>ROUND(D17*E17*F17*G17/10000,0)</f>
        <v>0</v>
      </c>
    </row>
    <row r="18" spans="1:9" ht="14.25">
      <c r="A18" s="3298"/>
      <c r="B18" s="3299" t="s">
        <v>1107</v>
      </c>
      <c r="C18" s="3299"/>
      <c r="D18" s="1305"/>
      <c r="E18" s="1305"/>
      <c r="F18" s="1306"/>
      <c r="G18" s="1307"/>
      <c r="H18" s="1317"/>
      <c r="I18" s="1318">
        <f>ROUND(D18*E18*F18*G18/10000,0)</f>
        <v>0</v>
      </c>
    </row>
    <row r="19" spans="1:9" ht="14.25">
      <c r="A19" s="3298"/>
      <c r="B19" s="3299" t="s">
        <v>1108</v>
      </c>
      <c r="C19" s="3299"/>
      <c r="D19" s="1305"/>
      <c r="E19" s="1305"/>
      <c r="F19" s="1306"/>
      <c r="G19" s="1307"/>
      <c r="H19" s="1317"/>
      <c r="I19" s="1318">
        <f>ROUND(D19*E19*F19*G19/10000,0)</f>
        <v>0</v>
      </c>
    </row>
    <row r="20" spans="1:9">
      <c r="A20" s="3298"/>
      <c r="B20" s="3300" t="s">
        <v>1092</v>
      </c>
      <c r="C20" s="3300"/>
      <c r="D20" s="1309">
        <f>SUM(D17:D19)</f>
        <v>0</v>
      </c>
      <c r="E20" s="1309"/>
      <c r="F20" s="1310"/>
      <c r="G20" s="1307"/>
      <c r="H20" s="1314"/>
      <c r="I20" s="1315">
        <f>SUM(I17:I19)</f>
        <v>0</v>
      </c>
    </row>
    <row r="21" spans="1:9">
      <c r="A21" s="3298" t="s">
        <v>1109</v>
      </c>
      <c r="B21" s="3301"/>
      <c r="C21" s="3301"/>
      <c r="D21" s="3301"/>
      <c r="E21" s="3301"/>
      <c r="F21" s="3301"/>
      <c r="G21" s="3301"/>
      <c r="H21" s="1767">
        <v>0.1</v>
      </c>
      <c r="I21" s="1312">
        <f>ROUND(I10*H21,0)</f>
        <v>0</v>
      </c>
    </row>
    <row r="22" spans="1:9" ht="14.25">
      <c r="A22" s="3302" t="s">
        <v>1110</v>
      </c>
      <c r="B22" s="3303"/>
      <c r="C22" s="3304"/>
      <c r="D22" s="1319" t="s">
        <v>1111</v>
      </c>
      <c r="E22" s="1319" t="s">
        <v>1112</v>
      </c>
      <c r="F22" s="1320" t="s">
        <v>1113</v>
      </c>
      <c r="G22" s="1320" t="s">
        <v>1114</v>
      </c>
      <c r="H22" s="1313" t="s">
        <v>1115</v>
      </c>
      <c r="I22" s="1304" t="s">
        <v>1116</v>
      </c>
    </row>
    <row r="23" spans="1:9" ht="14.25" thickBot="1">
      <c r="A23" s="3305"/>
      <c r="B23" s="3306"/>
      <c r="C23" s="3307"/>
      <c r="D23" s="1321"/>
      <c r="E23" s="1321"/>
      <c r="F23" s="1321"/>
      <c r="G23" s="1322"/>
      <c r="H23" s="1323"/>
      <c r="I23" s="1324">
        <f>ROUND(E23*D23*F23*(1-G23)/10000,0)</f>
        <v>0</v>
      </c>
    </row>
    <row r="26" spans="1:9">
      <c r="A26" s="1325" t="s">
        <v>1117</v>
      </c>
      <c r="B26" s="1325"/>
      <c r="C26" s="1325"/>
      <c r="D26" s="1325"/>
      <c r="E26" s="3295">
        <f>C27-C30-C31-C32</f>
        <v>0</v>
      </c>
      <c r="F26" s="3295"/>
      <c r="G26" s="3295"/>
      <c r="H26" s="1739" t="s">
        <v>1340</v>
      </c>
    </row>
    <row r="27" spans="1:9">
      <c r="A27" s="1326">
        <v>1</v>
      </c>
      <c r="B27" s="1327" t="s">
        <v>1118</v>
      </c>
      <c r="C27" s="1327">
        <f>C28+C29</f>
        <v>0</v>
      </c>
      <c r="D27" s="1327"/>
      <c r="E27" s="3296"/>
      <c r="F27" s="3296"/>
      <c r="G27" s="3296"/>
    </row>
    <row r="28" spans="1:9">
      <c r="A28" s="1328" t="s">
        <v>1119</v>
      </c>
      <c r="B28" s="1327" t="s">
        <v>1120</v>
      </c>
      <c r="C28" s="1327"/>
      <c r="D28" s="1327"/>
      <c r="E28" s="3296"/>
      <c r="F28" s="3296"/>
      <c r="G28" s="329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97"/>
      <c r="F32" s="3297"/>
      <c r="G32" s="3297"/>
    </row>
    <row r="33" spans="1:7" hidden="1">
      <c r="A33" s="3292" t="s">
        <v>1129</v>
      </c>
      <c r="B33" s="3293"/>
      <c r="C33" s="3293"/>
      <c r="D33" s="3294"/>
      <c r="E33" s="3295"/>
      <c r="F33" s="3295"/>
      <c r="G33" s="3295"/>
    </row>
    <row r="34" spans="1:7" hidden="1">
      <c r="A34" s="1330">
        <v>1</v>
      </c>
      <c r="B34" s="1327" t="s">
        <v>1130</v>
      </c>
      <c r="C34" s="1327"/>
      <c r="D34" s="1327"/>
      <c r="E34" s="3296"/>
      <c r="F34" s="3296"/>
      <c r="G34" s="3296"/>
    </row>
    <row r="35" spans="1:7" hidden="1">
      <c r="A35" s="1330">
        <v>2</v>
      </c>
      <c r="B35" s="1327" t="s">
        <v>1131</v>
      </c>
      <c r="C35" s="1327"/>
      <c r="D35" s="1327"/>
      <c r="E35" s="3296"/>
      <c r="F35" s="3296"/>
      <c r="G35" s="3296"/>
    </row>
    <row r="36" spans="1:7" hidden="1">
      <c r="A36" s="1330">
        <v>3</v>
      </c>
      <c r="B36" s="1327" t="s">
        <v>1132</v>
      </c>
      <c r="C36" s="1327"/>
      <c r="D36" s="1327"/>
      <c r="E36" s="3296"/>
      <c r="F36" s="3296"/>
      <c r="G36" s="3296"/>
    </row>
    <row r="37" spans="1:7" hidden="1">
      <c r="A37" s="1330">
        <v>4</v>
      </c>
      <c r="B37" s="1327" t="s">
        <v>1133</v>
      </c>
      <c r="C37" s="1327"/>
      <c r="D37" s="1327"/>
      <c r="E37" s="3296"/>
      <c r="F37" s="3296"/>
      <c r="G37" s="3296"/>
    </row>
    <row r="38" spans="1:7" hidden="1">
      <c r="A38" s="3292" t="s">
        <v>1134</v>
      </c>
      <c r="B38" s="3293"/>
      <c r="C38" s="3293"/>
      <c r="D38" s="3294"/>
      <c r="E38" s="3295"/>
      <c r="F38" s="3295"/>
      <c r="G38" s="32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7" t="s">
        <v>2534</v>
      </c>
      <c r="C1" s="1636" t="s">
        <v>2535</v>
      </c>
      <c r="D1" s="1623"/>
      <c r="E1" s="2588"/>
      <c r="F1" s="2589" t="s">
        <v>2536</v>
      </c>
      <c r="G1" s="1633" t="s">
        <v>2537</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2538</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2539</v>
      </c>
      <c r="D3" s="398">
        <f>IF(D1="",'数据-汇总表'!E3,SUMIF('数据-汇总表'!$C19:$C33,D1,'数据-汇总表'!$E19:$E33))</f>
        <v>16960.349999999999</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2540</v>
      </c>
      <c r="B4" s="401"/>
      <c r="C4" s="3256" t="s">
        <v>2541</v>
      </c>
      <c r="D4" s="3257"/>
      <c r="E4" s="3258" t="s">
        <v>2542</v>
      </c>
      <c r="F4" s="3259"/>
      <c r="G4" s="3256" t="s">
        <v>2543</v>
      </c>
      <c r="H4" s="3257"/>
      <c r="I4" s="3256" t="s">
        <v>2544</v>
      </c>
      <c r="J4" s="3257"/>
      <c r="K4" s="2601" t="s">
        <v>2545</v>
      </c>
      <c r="L4" s="1132"/>
      <c r="M4" s="1133"/>
      <c r="N4" s="1133"/>
      <c r="O4" s="1133"/>
      <c r="P4" s="3317" t="s">
        <v>2546</v>
      </c>
      <c r="Q4" s="3318"/>
      <c r="R4" s="3321" t="s">
        <v>2542</v>
      </c>
      <c r="S4" s="3322"/>
      <c r="T4" s="3321" t="s">
        <v>2543</v>
      </c>
      <c r="U4" s="3322"/>
      <c r="V4" s="3273" t="s">
        <v>2544</v>
      </c>
      <c r="W4" s="3273"/>
      <c r="X4" s="1815"/>
      <c r="Y4" s="3321" t="s">
        <v>2546</v>
      </c>
      <c r="Z4" s="3322"/>
      <c r="AA4" s="3316" t="s">
        <v>2542</v>
      </c>
      <c r="AB4" s="3316" t="s">
        <v>2543</v>
      </c>
      <c r="AC4" s="3316" t="s">
        <v>2544</v>
      </c>
    </row>
    <row r="5" spans="1:29" ht="15">
      <c r="A5" s="403"/>
      <c r="B5" s="404"/>
      <c r="C5" s="3282" t="s">
        <v>2547</v>
      </c>
      <c r="D5" s="3283"/>
      <c r="E5" s="3325" t="s">
        <v>2548</v>
      </c>
      <c r="F5" s="3326"/>
      <c r="G5" s="3282" t="s">
        <v>2549</v>
      </c>
      <c r="H5" s="3283"/>
      <c r="I5" s="3282" t="s">
        <v>2550</v>
      </c>
      <c r="J5" s="3283"/>
      <c r="K5" s="2602"/>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2551</v>
      </c>
      <c r="D6" s="3285"/>
      <c r="E6" s="3323" t="s">
        <v>2551</v>
      </c>
      <c r="F6" s="3324"/>
      <c r="G6" s="3284" t="s">
        <v>2551</v>
      </c>
      <c r="H6" s="3285"/>
      <c r="I6" s="3284" t="s">
        <v>2551</v>
      </c>
      <c r="J6" s="3285"/>
      <c r="K6" s="2602" t="s">
        <v>2552</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2553</v>
      </c>
      <c r="B7" s="408"/>
      <c r="C7" s="409">
        <f>'数据-取费表'!B2</f>
        <v>43214</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280" t="s">
        <v>2554</v>
      </c>
      <c r="Q7" s="3281"/>
      <c r="R7" s="769" t="s">
        <v>23</v>
      </c>
      <c r="S7" s="770">
        <f t="shared" ref="S7:S15" si="0">F7</f>
        <v>0</v>
      </c>
      <c r="T7" s="769" t="s">
        <v>23</v>
      </c>
      <c r="U7" s="770">
        <f t="shared" ref="U7:U15" si="1">H7</f>
        <v>0</v>
      </c>
      <c r="V7" s="769" t="s">
        <v>23</v>
      </c>
      <c r="W7" s="770">
        <f t="shared" ref="W7:W15" si="2">J7</f>
        <v>0</v>
      </c>
      <c r="X7" s="771"/>
      <c r="Y7" s="3280" t="s">
        <v>2554</v>
      </c>
      <c r="Z7" s="3279"/>
      <c r="AA7" s="772" t="e">
        <f>D7/F7</f>
        <v>#DIV/0!</v>
      </c>
      <c r="AB7" s="772" t="e">
        <f>D7/H7</f>
        <v>#DIV/0!</v>
      </c>
      <c r="AC7" s="772" t="e">
        <f>D7/J7</f>
        <v>#DIV/0!</v>
      </c>
    </row>
    <row r="8" spans="1:29" s="116" customFormat="1" ht="15.75" thickBot="1">
      <c r="A8" s="407" t="s">
        <v>2555</v>
      </c>
      <c r="B8" s="408"/>
      <c r="C8" s="413" t="s">
        <v>2556</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280" t="s">
        <v>2557</v>
      </c>
      <c r="Q8" s="3279"/>
      <c r="R8" s="769" t="s">
        <v>23</v>
      </c>
      <c r="S8" s="770">
        <f t="shared" si="0"/>
        <v>0</v>
      </c>
      <c r="T8" s="769" t="s">
        <v>23</v>
      </c>
      <c r="U8" s="770">
        <f t="shared" si="1"/>
        <v>0</v>
      </c>
      <c r="V8" s="769" t="s">
        <v>23</v>
      </c>
      <c r="W8" s="770">
        <f t="shared" si="2"/>
        <v>0</v>
      </c>
      <c r="X8" s="771"/>
      <c r="Y8" s="3280" t="s">
        <v>2557</v>
      </c>
      <c r="Z8" s="3279"/>
      <c r="AA8" s="772" t="e">
        <f t="shared" ref="AA8:AA19" si="3">D8/F8</f>
        <v>#DIV/0!</v>
      </c>
      <c r="AB8" s="772" t="e">
        <f t="shared" ref="AB8:AB19" si="4">D8/H8</f>
        <v>#DIV/0!</v>
      </c>
      <c r="AC8" s="772"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238"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38"/>
      <c r="Q11" s="1797" t="str">
        <f t="shared" si="6"/>
        <v>容积率</v>
      </c>
      <c r="R11" s="769" t="s">
        <v>21</v>
      </c>
      <c r="S11" s="770" t="e">
        <f t="shared" si="0"/>
        <v>#N/A</v>
      </c>
      <c r="T11" s="769" t="s">
        <v>21</v>
      </c>
      <c r="U11" s="770" t="e">
        <f t="shared" si="1"/>
        <v>#N/A</v>
      </c>
      <c r="V11" s="769" t="s">
        <v>21</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238"/>
      <c r="Q12" s="1797">
        <f t="shared" si="6"/>
        <v>111</v>
      </c>
      <c r="R12" s="769" t="s">
        <v>21</v>
      </c>
      <c r="S12" s="770">
        <f t="shared" si="0"/>
        <v>100</v>
      </c>
      <c r="T12" s="769" t="s">
        <v>21</v>
      </c>
      <c r="U12" s="770">
        <f t="shared" si="1"/>
        <v>100</v>
      </c>
      <c r="V12" s="769" t="s">
        <v>21</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238"/>
      <c r="Q13" s="1797">
        <f t="shared" si="6"/>
        <v>111</v>
      </c>
      <c r="R13" s="769" t="s">
        <v>21</v>
      </c>
      <c r="S13" s="770">
        <f t="shared" si="0"/>
        <v>100</v>
      </c>
      <c r="T13" s="769" t="s">
        <v>21</v>
      </c>
      <c r="U13" s="770">
        <f t="shared" si="1"/>
        <v>100</v>
      </c>
      <c r="V13" s="769" t="s">
        <v>21</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238"/>
      <c r="Q14" s="1797">
        <f t="shared" si="6"/>
        <v>111</v>
      </c>
      <c r="R14" s="769" t="s">
        <v>21</v>
      </c>
      <c r="S14" s="770">
        <f t="shared" si="0"/>
        <v>100</v>
      </c>
      <c r="T14" s="769" t="s">
        <v>21</v>
      </c>
      <c r="U14" s="770">
        <f t="shared" si="1"/>
        <v>100</v>
      </c>
      <c r="V14" s="769" t="s">
        <v>21</v>
      </c>
      <c r="W14" s="770">
        <f t="shared" si="2"/>
        <v>100</v>
      </c>
      <c r="X14" s="771"/>
      <c r="Y14" s="3064"/>
      <c r="Z14" s="54">
        <f t="shared" si="7"/>
        <v>111</v>
      </c>
      <c r="AA14" s="772">
        <f t="shared" si="3"/>
        <v>1</v>
      </c>
      <c r="AB14" s="772">
        <f t="shared" si="4"/>
        <v>1</v>
      </c>
      <c r="AC14" s="772">
        <f t="shared" si="5"/>
        <v>1</v>
      </c>
    </row>
    <row r="15" spans="1:29" ht="99.75">
      <c r="A15" s="439" t="s">
        <v>2564</v>
      </c>
      <c r="B15" s="68"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4" t="s">
        <v>2565</v>
      </c>
      <c r="Q15" s="1812" t="str">
        <f t="shared" si="6"/>
        <v>居住社区成熟度</v>
      </c>
      <c r="R15" s="773" t="s">
        <v>21</v>
      </c>
      <c r="S15" s="774">
        <f t="shared" si="0"/>
        <v>100</v>
      </c>
      <c r="T15" s="773" t="s">
        <v>21</v>
      </c>
      <c r="U15" s="774">
        <f t="shared" si="1"/>
        <v>100</v>
      </c>
      <c r="V15" s="773" t="s">
        <v>21</v>
      </c>
      <c r="W15" s="774">
        <f t="shared" si="2"/>
        <v>100</v>
      </c>
      <c r="X15" s="1815"/>
      <c r="Y15" s="3246" t="s">
        <v>2565</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245"/>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5"/>
      <c r="Q17" s="1812" t="str">
        <f>B17</f>
        <v>交通便捷度</v>
      </c>
      <c r="R17" s="773" t="s">
        <v>21</v>
      </c>
      <c r="S17" s="774">
        <f>F17</f>
        <v>100</v>
      </c>
      <c r="T17" s="773" t="s">
        <v>21</v>
      </c>
      <c r="U17" s="774">
        <f>H17</f>
        <v>100</v>
      </c>
      <c r="V17" s="773" t="s">
        <v>21</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245"/>
      <c r="Q18" s="1812"/>
      <c r="R18" s="773"/>
      <c r="S18" s="774"/>
      <c r="T18" s="773"/>
      <c r="U18" s="774"/>
      <c r="V18" s="773"/>
      <c r="W18" s="774"/>
      <c r="X18" s="1815"/>
      <c r="Y18" s="3247"/>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5"/>
      <c r="Q19" s="1812" t="str">
        <f>B19</f>
        <v>公共配套设施</v>
      </c>
      <c r="R19" s="773" t="s">
        <v>21</v>
      </c>
      <c r="S19" s="774">
        <f>F19</f>
        <v>100</v>
      </c>
      <c r="T19" s="773" t="s">
        <v>21</v>
      </c>
      <c r="U19" s="774">
        <f>H19</f>
        <v>100</v>
      </c>
      <c r="V19" s="773" t="s">
        <v>21</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245"/>
      <c r="Q20" s="1812"/>
      <c r="R20" s="773"/>
      <c r="S20" s="774"/>
      <c r="T20" s="773"/>
      <c r="U20" s="774"/>
      <c r="V20" s="773"/>
      <c r="W20" s="774"/>
      <c r="X20" s="1815"/>
      <c r="Y20" s="3247"/>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245"/>
      <c r="Q22" s="1812"/>
      <c r="R22" s="773"/>
      <c r="S22" s="774"/>
      <c r="T22" s="773"/>
      <c r="U22" s="774"/>
      <c r="V22" s="773"/>
      <c r="W22" s="774"/>
      <c r="X22" s="1815"/>
      <c r="Y22" s="3247"/>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5"/>
      <c r="Q23" s="1812" t="str">
        <f>B23</f>
        <v>自然及人文环境</v>
      </c>
      <c r="R23" s="773" t="s">
        <v>21</v>
      </c>
      <c r="S23" s="774">
        <f>F23</f>
        <v>100</v>
      </c>
      <c r="T23" s="773" t="s">
        <v>21</v>
      </c>
      <c r="U23" s="774">
        <f>H23</f>
        <v>100</v>
      </c>
      <c r="V23" s="773" t="s">
        <v>21</v>
      </c>
      <c r="W23" s="774">
        <f>J23</f>
        <v>100</v>
      </c>
      <c r="X23" s="1815"/>
      <c r="Y23" s="3247"/>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245"/>
      <c r="Q24" s="1812"/>
      <c r="R24" s="773"/>
      <c r="S24" s="774"/>
      <c r="T24" s="773"/>
      <c r="U24" s="774"/>
      <c r="V24" s="773"/>
      <c r="W24" s="774"/>
      <c r="X24" s="1815"/>
      <c r="Y24" s="3247"/>
      <c r="Z24" s="1816"/>
      <c r="AA24" s="1813">
        <v>1</v>
      </c>
      <c r="AB24" s="1813">
        <v>1</v>
      </c>
      <c r="AC24" s="1813">
        <v>1</v>
      </c>
    </row>
    <row r="25" spans="1:29" ht="15">
      <c r="A25" s="427"/>
      <c r="B25" s="421" t="s">
        <v>2566</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24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7"/>
      <c r="Z25" s="1816" t="str">
        <f>Q25</f>
        <v>楼层-1</v>
      </c>
      <c r="AA25" s="1813">
        <f t="shared" ref="AA25:AA46" si="15">D25/F25</f>
        <v>1</v>
      </c>
      <c r="AB25" s="1813">
        <f t="shared" ref="AB25:AB46" si="16">D25/H25</f>
        <v>1</v>
      </c>
      <c r="AC25" s="1813">
        <f t="shared" ref="AC25:AC46" si="17">D25/J25</f>
        <v>1</v>
      </c>
    </row>
    <row r="26" spans="1:29" ht="15">
      <c r="A26" s="427"/>
      <c r="B26" s="421" t="s">
        <v>2567</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245"/>
      <c r="Q26" s="1812" t="str">
        <f t="shared" si="11"/>
        <v>朝向</v>
      </c>
      <c r="R26" s="773" t="s">
        <v>21</v>
      </c>
      <c r="S26" s="774">
        <f t="shared" si="12"/>
        <v>100</v>
      </c>
      <c r="T26" s="773" t="s">
        <v>21</v>
      </c>
      <c r="U26" s="774">
        <f t="shared" si="13"/>
        <v>100</v>
      </c>
      <c r="V26" s="773" t="s">
        <v>21</v>
      </c>
      <c r="W26" s="774">
        <f t="shared" si="14"/>
        <v>100</v>
      </c>
      <c r="X26" s="1815"/>
      <c r="Y26" s="324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245"/>
      <c r="Q27" s="1797">
        <f t="shared" si="11"/>
        <v>111</v>
      </c>
      <c r="R27" s="769" t="s">
        <v>21</v>
      </c>
      <c r="S27" s="770">
        <f t="shared" si="12"/>
        <v>100</v>
      </c>
      <c r="T27" s="769" t="s">
        <v>21</v>
      </c>
      <c r="U27" s="770">
        <f t="shared" si="13"/>
        <v>100</v>
      </c>
      <c r="V27" s="769" t="s">
        <v>21</v>
      </c>
      <c r="W27" s="770">
        <f t="shared" si="14"/>
        <v>100</v>
      </c>
      <c r="X27" s="771"/>
      <c r="Y27" s="3247"/>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245"/>
      <c r="Q28" s="1812">
        <f t="shared" si="11"/>
        <v>111</v>
      </c>
      <c r="R28" s="773" t="s">
        <v>21</v>
      </c>
      <c r="S28" s="774">
        <f t="shared" si="12"/>
        <v>100</v>
      </c>
      <c r="T28" s="773" t="s">
        <v>21</v>
      </c>
      <c r="U28" s="774">
        <f t="shared" si="13"/>
        <v>100</v>
      </c>
      <c r="V28" s="773" t="s">
        <v>21</v>
      </c>
      <c r="W28" s="774">
        <f t="shared" si="14"/>
        <v>100</v>
      </c>
      <c r="X28" s="1815"/>
      <c r="Y28" s="324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245"/>
      <c r="Q29" s="1812">
        <f t="shared" si="11"/>
        <v>111</v>
      </c>
      <c r="R29" s="773" t="s">
        <v>21</v>
      </c>
      <c r="S29" s="774">
        <f t="shared" si="12"/>
        <v>100</v>
      </c>
      <c r="T29" s="773" t="s">
        <v>21</v>
      </c>
      <c r="U29" s="774">
        <f t="shared" si="13"/>
        <v>100</v>
      </c>
      <c r="V29" s="773" t="s">
        <v>21</v>
      </c>
      <c r="W29" s="774">
        <f t="shared" si="14"/>
        <v>100</v>
      </c>
      <c r="X29" s="1815"/>
      <c r="Y29" s="324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245"/>
      <c r="Q30" s="1812">
        <f t="shared" si="11"/>
        <v>111</v>
      </c>
      <c r="R30" s="773" t="s">
        <v>21</v>
      </c>
      <c r="S30" s="774">
        <f t="shared" si="12"/>
        <v>100</v>
      </c>
      <c r="T30" s="773" t="s">
        <v>21</v>
      </c>
      <c r="U30" s="774">
        <f t="shared" si="13"/>
        <v>100</v>
      </c>
      <c r="V30" s="773" t="s">
        <v>21</v>
      </c>
      <c r="W30" s="774">
        <f t="shared" si="14"/>
        <v>100</v>
      </c>
      <c r="X30" s="1815"/>
      <c r="Y30" s="324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245"/>
      <c r="Q31" s="1812">
        <f t="shared" si="11"/>
        <v>111</v>
      </c>
      <c r="R31" s="773" t="s">
        <v>21</v>
      </c>
      <c r="S31" s="774">
        <f t="shared" si="12"/>
        <v>100</v>
      </c>
      <c r="T31" s="773" t="s">
        <v>21</v>
      </c>
      <c r="U31" s="774">
        <f t="shared" si="13"/>
        <v>100</v>
      </c>
      <c r="V31" s="773" t="s">
        <v>21</v>
      </c>
      <c r="W31" s="774">
        <f t="shared" si="14"/>
        <v>100</v>
      </c>
      <c r="X31" s="1815"/>
      <c r="Y31" s="3247"/>
      <c r="Z31" s="1816">
        <f t="shared" si="18"/>
        <v>111</v>
      </c>
      <c r="AA31" s="1813">
        <f t="shared" si="15"/>
        <v>1</v>
      </c>
      <c r="AB31" s="1813">
        <f t="shared" si="16"/>
        <v>1</v>
      </c>
      <c r="AC31" s="1813">
        <f t="shared" si="17"/>
        <v>1</v>
      </c>
    </row>
    <row r="32" spans="1:29" ht="15">
      <c r="A32" s="439" t="s">
        <v>2568</v>
      </c>
      <c r="B32" s="70" t="s">
        <v>2569</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248" t="s">
        <v>2570</v>
      </c>
      <c r="Q32" s="1812" t="str">
        <f t="shared" si="11"/>
        <v>建筑类型</v>
      </c>
      <c r="R32" s="773" t="s">
        <v>21</v>
      </c>
      <c r="S32" s="774">
        <f t="shared" si="12"/>
        <v>100</v>
      </c>
      <c r="T32" s="773" t="s">
        <v>21</v>
      </c>
      <c r="U32" s="774">
        <f t="shared" si="13"/>
        <v>100</v>
      </c>
      <c r="V32" s="773" t="s">
        <v>21</v>
      </c>
      <c r="W32" s="774">
        <f t="shared" si="14"/>
        <v>100</v>
      </c>
      <c r="X32" s="1815"/>
      <c r="Y32" s="3251" t="s">
        <v>2570</v>
      </c>
      <c r="Z32" s="1816" t="str">
        <f t="shared" si="18"/>
        <v>建筑类型</v>
      </c>
      <c r="AA32" s="1813">
        <f t="shared" si="15"/>
        <v>1</v>
      </c>
      <c r="AB32" s="1813">
        <f t="shared" si="16"/>
        <v>1</v>
      </c>
      <c r="AC32" s="1813">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249"/>
      <c r="Q33" s="775" t="str">
        <f t="shared" si="11"/>
        <v>项目建筑规模</v>
      </c>
      <c r="R33" s="776" t="s">
        <v>21</v>
      </c>
      <c r="S33" s="777" t="e">
        <f t="shared" si="12"/>
        <v>#N/A</v>
      </c>
      <c r="T33" s="776" t="s">
        <v>21</v>
      </c>
      <c r="U33" s="777" t="e">
        <f t="shared" si="13"/>
        <v>#N/A</v>
      </c>
      <c r="V33" s="776" t="s">
        <v>21</v>
      </c>
      <c r="W33" s="777" t="e">
        <f t="shared" si="14"/>
        <v>#N/A</v>
      </c>
      <c r="X33" s="778"/>
      <c r="Y33" s="3251"/>
      <c r="Z33" s="779" t="str">
        <f t="shared" si="18"/>
        <v>项目建筑规模</v>
      </c>
      <c r="AA33" s="1813" t="e">
        <f t="shared" si="15"/>
        <v>#N/A</v>
      </c>
      <c r="AB33" s="1813" t="e">
        <f t="shared" si="16"/>
        <v>#N/A</v>
      </c>
      <c r="AC33" s="1813" t="e">
        <f t="shared" si="17"/>
        <v>#N/A</v>
      </c>
    </row>
    <row r="34" spans="1:29" ht="15">
      <c r="A34" s="471"/>
      <c r="B34" s="421" t="s">
        <v>2572</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249"/>
      <c r="Q34" s="1812" t="str">
        <f t="shared" si="11"/>
        <v>建筑结构</v>
      </c>
      <c r="R34" s="773" t="s">
        <v>21</v>
      </c>
      <c r="S34" s="774">
        <f t="shared" si="12"/>
        <v>100</v>
      </c>
      <c r="T34" s="773" t="s">
        <v>21</v>
      </c>
      <c r="U34" s="774">
        <f t="shared" si="13"/>
        <v>100</v>
      </c>
      <c r="V34" s="773" t="s">
        <v>21</v>
      </c>
      <c r="W34" s="774">
        <f t="shared" si="14"/>
        <v>100</v>
      </c>
      <c r="X34" s="1815"/>
      <c r="Y34" s="3251"/>
      <c r="Z34" s="1816" t="str">
        <f t="shared" si="18"/>
        <v>建筑结构</v>
      </c>
      <c r="AA34" s="1813">
        <f t="shared" si="15"/>
        <v>1</v>
      </c>
      <c r="AB34" s="1813">
        <f t="shared" si="16"/>
        <v>1</v>
      </c>
      <c r="AC34" s="1813">
        <f t="shared" si="17"/>
        <v>1</v>
      </c>
    </row>
    <row r="35" spans="1:29" ht="15">
      <c r="A35" s="471"/>
      <c r="B35" s="421" t="s">
        <v>2573</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249"/>
      <c r="Q35" s="1812" t="str">
        <f t="shared" si="11"/>
        <v>建筑品质</v>
      </c>
      <c r="R35" s="773" t="s">
        <v>21</v>
      </c>
      <c r="S35" s="774">
        <f t="shared" si="12"/>
        <v>100</v>
      </c>
      <c r="T35" s="773" t="s">
        <v>21</v>
      </c>
      <c r="U35" s="774">
        <f t="shared" si="13"/>
        <v>100</v>
      </c>
      <c r="V35" s="773" t="s">
        <v>21</v>
      </c>
      <c r="W35" s="774">
        <f t="shared" si="14"/>
        <v>100</v>
      </c>
      <c r="X35" s="1815"/>
      <c r="Y35" s="3251"/>
      <c r="Z35" s="1816" t="str">
        <f t="shared" si="18"/>
        <v>建筑品质</v>
      </c>
      <c r="AA35" s="1813">
        <f t="shared" si="15"/>
        <v>1</v>
      </c>
      <c r="AB35" s="1813">
        <f t="shared" si="16"/>
        <v>1</v>
      </c>
      <c r="AC35" s="1813">
        <f t="shared" si="17"/>
        <v>1</v>
      </c>
    </row>
    <row r="36" spans="1:29" ht="15">
      <c r="A36" s="471"/>
      <c r="B36" s="421" t="s">
        <v>2574</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249"/>
      <c r="Q36" s="1812" t="str">
        <f t="shared" si="11"/>
        <v>公共部分装修</v>
      </c>
      <c r="R36" s="773" t="s">
        <v>21</v>
      </c>
      <c r="S36" s="774">
        <f t="shared" si="12"/>
        <v>100</v>
      </c>
      <c r="T36" s="773" t="s">
        <v>21</v>
      </c>
      <c r="U36" s="774">
        <f t="shared" si="13"/>
        <v>100</v>
      </c>
      <c r="V36" s="773" t="s">
        <v>21</v>
      </c>
      <c r="W36" s="774">
        <f t="shared" si="14"/>
        <v>100</v>
      </c>
      <c r="X36" s="1815"/>
      <c r="Y36" s="3251"/>
      <c r="Z36" s="1816" t="str">
        <f t="shared" si="18"/>
        <v>公共部分装修</v>
      </c>
      <c r="AA36" s="1813">
        <f t="shared" si="15"/>
        <v>1</v>
      </c>
      <c r="AB36" s="1813">
        <f t="shared" si="16"/>
        <v>1</v>
      </c>
      <c r="AC36" s="1813">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49"/>
      <c r="Q37" s="1797" t="str">
        <f t="shared" si="11"/>
        <v>成新度</v>
      </c>
      <c r="R37" s="769" t="s">
        <v>21</v>
      </c>
      <c r="S37" s="770" t="e">
        <f t="shared" si="12"/>
        <v>#N/A</v>
      </c>
      <c r="T37" s="769" t="s">
        <v>21</v>
      </c>
      <c r="U37" s="770" t="e">
        <f t="shared" si="13"/>
        <v>#N/A</v>
      </c>
      <c r="V37" s="769" t="s">
        <v>21</v>
      </c>
      <c r="W37" s="770" t="e">
        <f t="shared" si="14"/>
        <v>#N/A</v>
      </c>
      <c r="X37" s="771"/>
      <c r="Y37" s="3251"/>
      <c r="Z37" s="54" t="str">
        <f t="shared" si="18"/>
        <v>成新度</v>
      </c>
      <c r="AA37" s="772" t="e">
        <f t="shared" si="15"/>
        <v>#N/A</v>
      </c>
      <c r="AB37" s="772" t="e">
        <f t="shared" si="16"/>
        <v>#N/A</v>
      </c>
      <c r="AC37" s="772" t="e">
        <f t="shared" si="17"/>
        <v>#N/A</v>
      </c>
    </row>
    <row r="38" spans="1:29" ht="15">
      <c r="A38" s="471"/>
      <c r="B38" s="421" t="s">
        <v>2576</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249" t="s">
        <v>2570</v>
      </c>
      <c r="Q38" s="1812" t="str">
        <f t="shared" si="11"/>
        <v>物业管理</v>
      </c>
      <c r="R38" s="773" t="s">
        <v>21</v>
      </c>
      <c r="S38" s="774">
        <f t="shared" si="12"/>
        <v>100</v>
      </c>
      <c r="T38" s="773" t="s">
        <v>21</v>
      </c>
      <c r="U38" s="774">
        <f t="shared" si="13"/>
        <v>100</v>
      </c>
      <c r="V38" s="773" t="s">
        <v>21</v>
      </c>
      <c r="W38" s="774">
        <f t="shared" si="14"/>
        <v>100</v>
      </c>
      <c r="X38" s="1815"/>
      <c r="Y38" s="3251" t="s">
        <v>2570</v>
      </c>
      <c r="Z38" s="1816" t="str">
        <f t="shared" si="18"/>
        <v>物业管理</v>
      </c>
      <c r="AA38" s="1813">
        <f t="shared" si="15"/>
        <v>1</v>
      </c>
      <c r="AB38" s="1813">
        <f t="shared" si="16"/>
        <v>1</v>
      </c>
      <c r="AC38" s="1813">
        <f t="shared" si="17"/>
        <v>1</v>
      </c>
    </row>
    <row r="39" spans="1:29" ht="15">
      <c r="A39" s="471"/>
      <c r="B39" s="421" t="s">
        <v>2577</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249"/>
      <c r="Q39" s="1812" t="str">
        <f t="shared" si="11"/>
        <v>市政基础设施</v>
      </c>
      <c r="R39" s="773" t="s">
        <v>21</v>
      </c>
      <c r="S39" s="774">
        <f t="shared" si="12"/>
        <v>100</v>
      </c>
      <c r="T39" s="773" t="s">
        <v>21</v>
      </c>
      <c r="U39" s="774">
        <f t="shared" si="13"/>
        <v>100</v>
      </c>
      <c r="V39" s="773" t="s">
        <v>21</v>
      </c>
      <c r="W39" s="774">
        <f t="shared" si="14"/>
        <v>100</v>
      </c>
      <c r="X39" s="1815"/>
      <c r="Y39" s="3251"/>
      <c r="Z39" s="1816" t="str">
        <f t="shared" si="18"/>
        <v>市政基础设施</v>
      </c>
      <c r="AA39" s="1813">
        <f t="shared" si="15"/>
        <v>1</v>
      </c>
      <c r="AB39" s="1813">
        <f t="shared" si="16"/>
        <v>1</v>
      </c>
      <c r="AC39" s="1813">
        <f t="shared" si="17"/>
        <v>1</v>
      </c>
    </row>
    <row r="40" spans="1:29" ht="15">
      <c r="A40" s="471"/>
      <c r="B40" s="421" t="s">
        <v>2578</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249"/>
      <c r="Q40" s="1812" t="str">
        <f t="shared" si="11"/>
        <v>房型</v>
      </c>
      <c r="R40" s="773" t="s">
        <v>21</v>
      </c>
      <c r="S40" s="774">
        <f t="shared" si="12"/>
        <v>100</v>
      </c>
      <c r="T40" s="773" t="s">
        <v>21</v>
      </c>
      <c r="U40" s="774">
        <f t="shared" si="13"/>
        <v>100</v>
      </c>
      <c r="V40" s="773" t="s">
        <v>21</v>
      </c>
      <c r="W40" s="774">
        <f t="shared" si="14"/>
        <v>100</v>
      </c>
      <c r="X40" s="1815"/>
      <c r="Y40" s="3251"/>
      <c r="Z40" s="1816" t="str">
        <f t="shared" si="18"/>
        <v>房型</v>
      </c>
      <c r="AA40" s="1813">
        <f t="shared" si="15"/>
        <v>1</v>
      </c>
      <c r="AB40" s="1813">
        <f t="shared" si="16"/>
        <v>1</v>
      </c>
      <c r="AC40" s="1813">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249"/>
      <c r="Q41" s="775" t="str">
        <f t="shared" si="11"/>
        <v>单套/主力户型建筑面积</v>
      </c>
      <c r="R41" s="776" t="s">
        <v>21</v>
      </c>
      <c r="S41" s="777">
        <f t="shared" si="12"/>
        <v>100</v>
      </c>
      <c r="T41" s="776" t="s">
        <v>21</v>
      </c>
      <c r="U41" s="777">
        <f t="shared" si="13"/>
        <v>100</v>
      </c>
      <c r="V41" s="776" t="s">
        <v>21</v>
      </c>
      <c r="W41" s="777">
        <f t="shared" si="14"/>
        <v>100</v>
      </c>
      <c r="X41" s="778"/>
      <c r="Y41" s="3251"/>
      <c r="Z41" s="779" t="str">
        <f t="shared" si="18"/>
        <v>单套/主力户型建筑面积</v>
      </c>
      <c r="AA41" s="1813">
        <f t="shared" si="15"/>
        <v>1</v>
      </c>
      <c r="AB41" s="1813">
        <f t="shared" si="16"/>
        <v>1</v>
      </c>
      <c r="AC41" s="1813">
        <f t="shared" si="17"/>
        <v>1</v>
      </c>
    </row>
    <row r="42" spans="1:29" ht="15">
      <c r="A42" s="471"/>
      <c r="B42" s="421" t="s">
        <v>2580</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249"/>
      <c r="Q42" s="1812" t="str">
        <f t="shared" si="11"/>
        <v>内部装修</v>
      </c>
      <c r="R42" s="773" t="s">
        <v>21</v>
      </c>
      <c r="S42" s="774">
        <f t="shared" si="12"/>
        <v>100</v>
      </c>
      <c r="T42" s="773" t="s">
        <v>21</v>
      </c>
      <c r="U42" s="774">
        <f t="shared" si="13"/>
        <v>100</v>
      </c>
      <c r="V42" s="773" t="s">
        <v>21</v>
      </c>
      <c r="W42" s="774">
        <f t="shared" si="14"/>
        <v>100</v>
      </c>
      <c r="X42" s="1815"/>
      <c r="Y42" s="3251"/>
      <c r="Z42" s="1816" t="str">
        <f t="shared" si="18"/>
        <v>内部装修</v>
      </c>
      <c r="AA42" s="1813">
        <f t="shared" si="15"/>
        <v>1</v>
      </c>
      <c r="AB42" s="1813">
        <f t="shared" si="16"/>
        <v>1</v>
      </c>
      <c r="AC42" s="1813">
        <f t="shared" si="17"/>
        <v>1</v>
      </c>
    </row>
    <row r="43" spans="1:29" ht="15">
      <c r="A43" s="471"/>
      <c r="B43" s="421" t="s">
        <v>2581</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249"/>
      <c r="Q43" s="1812" t="str">
        <f t="shared" si="11"/>
        <v>内部装修维护情况</v>
      </c>
      <c r="R43" s="773" t="s">
        <v>21</v>
      </c>
      <c r="S43" s="774">
        <f t="shared" si="12"/>
        <v>100</v>
      </c>
      <c r="T43" s="773" t="s">
        <v>21</v>
      </c>
      <c r="U43" s="774">
        <f t="shared" si="13"/>
        <v>100</v>
      </c>
      <c r="V43" s="773" t="s">
        <v>21</v>
      </c>
      <c r="W43" s="774">
        <f t="shared" si="14"/>
        <v>100</v>
      </c>
      <c r="X43" s="1815"/>
      <c r="Y43" s="325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249"/>
      <c r="Q44" s="1797">
        <f t="shared" si="11"/>
        <v>111</v>
      </c>
      <c r="R44" s="769" t="s">
        <v>21</v>
      </c>
      <c r="S44" s="770">
        <f t="shared" si="12"/>
        <v>100</v>
      </c>
      <c r="T44" s="769" t="s">
        <v>21</v>
      </c>
      <c r="U44" s="770">
        <f t="shared" si="13"/>
        <v>100</v>
      </c>
      <c r="V44" s="769" t="s">
        <v>21</v>
      </c>
      <c r="W44" s="770">
        <f t="shared" si="14"/>
        <v>100</v>
      </c>
      <c r="X44" s="771"/>
      <c r="Y44" s="3251"/>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49"/>
      <c r="Q45" s="1812">
        <f t="shared" si="11"/>
        <v>111</v>
      </c>
      <c r="R45" s="773" t="s">
        <v>21</v>
      </c>
      <c r="S45" s="774">
        <f t="shared" si="12"/>
        <v>100</v>
      </c>
      <c r="T45" s="773" t="s">
        <v>21</v>
      </c>
      <c r="U45" s="774">
        <f t="shared" si="13"/>
        <v>100</v>
      </c>
      <c r="V45" s="773" t="s">
        <v>21</v>
      </c>
      <c r="W45" s="774">
        <f t="shared" si="14"/>
        <v>100</v>
      </c>
      <c r="X45" s="1815"/>
      <c r="Y45" s="3251"/>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50"/>
      <c r="Q46" s="1812">
        <f t="shared" si="11"/>
        <v>111</v>
      </c>
      <c r="R46" s="773" t="s">
        <v>20</v>
      </c>
      <c r="S46" s="774">
        <f t="shared" si="12"/>
        <v>100</v>
      </c>
      <c r="T46" s="773" t="s">
        <v>20</v>
      </c>
      <c r="U46" s="774">
        <f t="shared" si="13"/>
        <v>100</v>
      </c>
      <c r="V46" s="773" t="s">
        <v>20</v>
      </c>
      <c r="W46" s="774">
        <f t="shared" si="14"/>
        <v>100</v>
      </c>
      <c r="X46" s="1815"/>
      <c r="Y46" s="3252"/>
      <c r="Z46" s="1816">
        <f t="shared" si="18"/>
        <v>111</v>
      </c>
      <c r="AA46" s="1813">
        <f t="shared" si="15"/>
        <v>1</v>
      </c>
      <c r="AB46" s="1813">
        <f t="shared" si="16"/>
        <v>1</v>
      </c>
      <c r="AC46" s="1813">
        <f t="shared" si="17"/>
        <v>1</v>
      </c>
    </row>
    <row r="47" spans="1:29" ht="15">
      <c r="A47" s="478" t="s">
        <v>2582</v>
      </c>
      <c r="B47" s="479"/>
      <c r="C47" s="1409" t="s">
        <v>19</v>
      </c>
      <c r="D47" s="1410"/>
      <c r="E47" s="1411"/>
      <c r="F47" s="1412"/>
      <c r="G47" s="1413"/>
      <c r="H47" s="1414"/>
      <c r="I47" s="1411"/>
      <c r="J47" s="1414"/>
      <c r="K47" s="2626"/>
      <c r="L47" s="1145"/>
      <c r="M47" s="1146"/>
      <c r="N47" s="1133"/>
      <c r="O47" s="1146"/>
      <c r="P47" s="3239" t="str">
        <f>A47</f>
        <v>成交单价（元/平方米）</v>
      </c>
      <c r="Q47" s="3239"/>
      <c r="R47" s="3240">
        <f>E47</f>
        <v>0</v>
      </c>
      <c r="S47" s="3240"/>
      <c r="T47" s="3240">
        <f>G47</f>
        <v>0</v>
      </c>
      <c r="U47" s="3240"/>
      <c r="V47" s="3240">
        <f>I47</f>
        <v>0</v>
      </c>
      <c r="W47" s="3240"/>
      <c r="X47" s="758"/>
      <c r="Y47" s="780"/>
      <c r="Z47" s="758"/>
      <c r="AA47" s="758"/>
      <c r="AB47" s="758"/>
      <c r="AC47" s="758"/>
    </row>
    <row r="48" spans="1:29" ht="15.75" thickBot="1">
      <c r="A48" s="485" t="s">
        <v>2583</v>
      </c>
      <c r="B48" s="486"/>
      <c r="C48" s="1415" t="e">
        <f>R49</f>
        <v>#DIV/0!</v>
      </c>
      <c r="D48" s="1416"/>
      <c r="E48" s="1417" t="e">
        <f>R48</f>
        <v>#DIV/0!</v>
      </c>
      <c r="F48" s="1417"/>
      <c r="G48" s="1415" t="e">
        <f>T48</f>
        <v>#DIV/0!</v>
      </c>
      <c r="H48" s="1416"/>
      <c r="I48" s="1417" t="e">
        <f>V48</f>
        <v>#DIV/0!</v>
      </c>
      <c r="J48" s="1416"/>
      <c r="K48" s="2627"/>
      <c r="L48" s="1145"/>
      <c r="M48" s="1146"/>
      <c r="N48" s="1146"/>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2584</v>
      </c>
      <c r="B49" s="492"/>
      <c r="C49" s="1418" t="e">
        <f>R49</f>
        <v>#DIV/0!</v>
      </c>
      <c r="D49" s="1419"/>
      <c r="E49" s="1419"/>
      <c r="F49" s="1419"/>
      <c r="G49" s="1419"/>
      <c r="H49" s="1419"/>
      <c r="I49" s="1419"/>
      <c r="J49" s="1419"/>
      <c r="K49" s="2628"/>
      <c r="L49" s="1145"/>
      <c r="M49" s="1146"/>
      <c r="N49" s="1146"/>
      <c r="O49" s="1146"/>
      <c r="P49" s="3313" t="str">
        <f>A49</f>
        <v>估价对象XX用房的比较价值（楼面单价，元/平方米）</v>
      </c>
      <c r="Q49" s="3314"/>
      <c r="R49" s="3315" t="e">
        <f>IF(F1="售价",ROUND(AVERAGE(R48:V48),0),ROUND(AVERAGE(R48:V48),1))</f>
        <v>#DIV/0!</v>
      </c>
      <c r="S49" s="3315"/>
      <c r="T49" s="3315"/>
      <c r="U49" s="3315"/>
      <c r="V49" s="3315"/>
      <c r="W49" s="33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31"/>
      <c r="Q57" s="503"/>
    </row>
    <row r="58" spans="1:29" s="507" customFormat="1" ht="15">
      <c r="A58" s="504" t="s">
        <v>2589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2590</v>
      </c>
      <c r="B60" s="515"/>
      <c r="C60" s="516"/>
      <c r="D60" s="517"/>
      <c r="E60" s="517"/>
      <c r="F60" s="517"/>
      <c r="G60" s="517"/>
      <c r="H60" s="517"/>
      <c r="I60" s="517"/>
      <c r="J60" s="517"/>
      <c r="K60" s="517"/>
      <c r="L60" s="517"/>
      <c r="M60" s="518"/>
      <c r="N60" s="517"/>
      <c r="O60" s="518"/>
      <c r="P60" s="2633"/>
      <c r="Q60" s="503"/>
    </row>
    <row r="61" spans="1:29" s="116" customFormat="1" ht="15">
      <c r="A61" s="520" t="s">
        <v>2591</v>
      </c>
      <c r="B61" s="509"/>
      <c r="C61" s="521" t="s">
        <v>2592</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2593</v>
      </c>
      <c r="B63" s="527" t="s">
        <v>2559</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2609</v>
      </c>
      <c r="D82" s="538" t="s">
        <v>2610</v>
      </c>
      <c r="E82" s="538" t="s">
        <v>2611</v>
      </c>
      <c r="F82" s="538" t="s">
        <v>2612</v>
      </c>
      <c r="G82" s="538" t="s">
        <v>2613</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2615</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2616</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2568</v>
      </c>
      <c r="B100" s="527" t="s">
        <v>2617</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2619</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2620</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2621</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2622</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2623</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2624</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2579</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2625</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5" t="s">
        <v>2630</v>
      </c>
      <c r="D138" s="145" t="s">
        <v>2631</v>
      </c>
      <c r="E138" s="2650" t="s">
        <v>2632</v>
      </c>
      <c r="F138" s="2651" t="s">
        <v>2633</v>
      </c>
      <c r="G138" s="145" t="s">
        <v>2631</v>
      </c>
      <c r="H138" s="146" t="s">
        <v>2632</v>
      </c>
      <c r="I138" s="2652"/>
      <c r="J138" s="145" t="s">
        <v>2634</v>
      </c>
      <c r="K138" s="146" t="s">
        <v>2635</v>
      </c>
    </row>
    <row r="139" spans="1:17" ht="15">
      <c r="B139" s="1086">
        <v>6</v>
      </c>
      <c r="C139" s="1087">
        <v>96</v>
      </c>
      <c r="D139" s="2653" t="s">
        <v>2636</v>
      </c>
      <c r="E139" s="1088">
        <v>100</v>
      </c>
      <c r="F139" s="1089">
        <v>102.5</v>
      </c>
      <c r="G139" s="2653" t="s">
        <v>2636</v>
      </c>
      <c r="H139" s="1090">
        <v>105</v>
      </c>
      <c r="I139" s="2654" t="s">
        <v>2637</v>
      </c>
      <c r="J139" s="1087">
        <v>20</v>
      </c>
      <c r="K139" s="1091">
        <f>C145/(J139-2)</f>
        <v>4.0555555555555553E-3</v>
      </c>
    </row>
    <row r="140" spans="1:17" ht="15">
      <c r="B140" s="1092">
        <v>5</v>
      </c>
      <c r="C140" s="1093">
        <v>100</v>
      </c>
      <c r="D140" s="1093"/>
      <c r="E140" s="1094"/>
      <c r="F140" s="1095">
        <v>102</v>
      </c>
      <c r="G140" s="1093"/>
      <c r="H140" s="1096"/>
      <c r="I140" s="2655" t="s">
        <v>2638</v>
      </c>
      <c r="J140" s="314">
        <f>ROUNDUP((J139-1)/2,0)</f>
        <v>10</v>
      </c>
      <c r="K140" s="1097">
        <v>100</v>
      </c>
    </row>
    <row r="141" spans="1:17" ht="15">
      <c r="B141" s="1092">
        <v>4</v>
      </c>
      <c r="C141" s="1093">
        <v>102</v>
      </c>
      <c r="D141" s="1093"/>
      <c r="E141" s="1094"/>
      <c r="F141" s="1095">
        <v>101.5</v>
      </c>
      <c r="G141" s="1093"/>
      <c r="H141" s="1096"/>
      <c r="I141" s="2655" t="s">
        <v>2639</v>
      </c>
      <c r="J141" s="314">
        <v>1</v>
      </c>
      <c r="K141" s="1098">
        <f>ROUND(100+(J141-J140)*K139*100,1)</f>
        <v>96.4</v>
      </c>
    </row>
    <row r="142" spans="1:17" ht="15">
      <c r="B142" s="1092">
        <v>3</v>
      </c>
      <c r="C142" s="1093">
        <v>103</v>
      </c>
      <c r="D142" s="1093"/>
      <c r="E142" s="1094"/>
      <c r="F142" s="1095">
        <v>101</v>
      </c>
      <c r="G142" s="1093"/>
      <c r="H142" s="1096"/>
      <c r="I142" s="2655" t="s">
        <v>2640</v>
      </c>
      <c r="J142" s="314">
        <f>J139</f>
        <v>20</v>
      </c>
      <c r="K142" s="1099">
        <v>95</v>
      </c>
    </row>
    <row r="143" spans="1:17" ht="15">
      <c r="B143" s="1092">
        <v>2</v>
      </c>
      <c r="C143" s="1093">
        <v>100</v>
      </c>
      <c r="D143" s="1093"/>
      <c r="E143" s="1094"/>
      <c r="F143" s="1095">
        <v>100.5</v>
      </c>
      <c r="G143" s="1093"/>
      <c r="H143" s="1096"/>
      <c r="I143" s="2655" t="s">
        <v>2641</v>
      </c>
      <c r="J143" s="1093">
        <v>15</v>
      </c>
      <c r="K143" s="1098">
        <f>ROUND(100+(J143-J140)*K139*100,1)</f>
        <v>102</v>
      </c>
    </row>
    <row r="144" spans="1:17" ht="15">
      <c r="B144" s="1092">
        <v>1</v>
      </c>
      <c r="C144" s="1093">
        <v>98</v>
      </c>
      <c r="D144" s="2656" t="s">
        <v>2642</v>
      </c>
      <c r="E144" s="1094">
        <v>102</v>
      </c>
      <c r="F144" s="1100">
        <v>100</v>
      </c>
      <c r="G144" s="2656" t="s">
        <v>2642</v>
      </c>
      <c r="H144" s="1096">
        <v>105</v>
      </c>
      <c r="I144" s="2655" t="s">
        <v>2641</v>
      </c>
      <c r="J144" s="1093">
        <v>18</v>
      </c>
      <c r="K144" s="1098">
        <f>ROUND(100+(J144-J140)*K139*100,1)</f>
        <v>103.2</v>
      </c>
    </row>
    <row r="145" spans="2:11" ht="15.75" thickBot="1">
      <c r="B145" s="2657" t="s">
        <v>2643</v>
      </c>
      <c r="C145" s="1101">
        <f>ROUND(MAX(C139:C144)/MIN(C139:C144)-1,3)</f>
        <v>7.2999999999999995E-2</v>
      </c>
      <c r="D145" s="1102"/>
      <c r="E145" s="1102"/>
      <c r="F145" s="2658" t="s">
        <v>2644</v>
      </c>
      <c r="G145" s="2659"/>
      <c r="H145" s="2660"/>
      <c r="I145" s="2661" t="s">
        <v>2641</v>
      </c>
      <c r="J145" s="1103">
        <v>8</v>
      </c>
      <c r="K145" s="1104">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估价对象为房地产，为所有。根据《国有土地使用证》[]，估价对象（分摊）出让国有建设用地使用权面积为888.1平方米，建筑面积为16960.35平方米。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估价对象为房地产,属开发建设的，该项目尚在开发建设中。根据《国有土地使用证》[]，估价对象（分摊）出让国有建设用地使用权面积为888.1平方米，规划建筑面积为16960.35平方米。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2018年4月24日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7" t="s">
        <v>2647</v>
      </c>
      <c r="C1" s="1636" t="s">
        <v>2535</v>
      </c>
      <c r="D1" s="1623"/>
      <c r="E1" s="2662"/>
      <c r="F1" s="2589"/>
      <c r="G1" s="1633" t="s">
        <v>2648</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2332</v>
      </c>
      <c r="B2" s="1420" t="e">
        <f ca="1">IF(C2="——",ROUND(C49*D3/10000,0),ROUND(C49*D3/10000,0)-D2)</f>
        <v>#DIV/0!</v>
      </c>
      <c r="C2" s="2591"/>
      <c r="D2" s="1367" t="e">
        <f ca="1">SUMIF(INDIRECT("'"&amp;F2&amp;"'"&amp;"!A:A"),"承租人权益价值",INDIRECT("'"&amp;F2&amp;"'"&amp;"!c:c"))</f>
        <v>#REF!</v>
      </c>
      <c r="E2" s="2592" t="s">
        <v>2333</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2334</v>
      </c>
      <c r="B3" s="608" t="e">
        <f ca="1">IF(C2="——",C49,ROUND(B2*10000/D3,0))</f>
        <v>#DIV/0!</v>
      </c>
      <c r="C3" s="399" t="s">
        <v>2649</v>
      </c>
      <c r="D3" s="398">
        <f>IF(D1="",'数据-汇总表'!E3,SUMIF('数据-汇总表'!$C19:$C33,D1,'数据-汇总表'!$E19:$E33))</f>
        <v>16960.349999999999</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73" t="s">
        <v>2653</v>
      </c>
      <c r="AC4" s="3316" t="s">
        <v>2654</v>
      </c>
    </row>
    <row r="5" spans="1:29"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73"/>
      <c r="AC5" s="3287"/>
    </row>
    <row r="6" spans="1:29" ht="15.75" thickBot="1">
      <c r="A6" s="405"/>
      <c r="B6" s="406"/>
      <c r="C6" s="3284" t="s">
        <v>2551</v>
      </c>
      <c r="D6" s="3285"/>
      <c r="E6" s="3323" t="s">
        <v>2551</v>
      </c>
      <c r="F6" s="3324"/>
      <c r="G6" s="3284" t="s">
        <v>2551</v>
      </c>
      <c r="H6" s="3285"/>
      <c r="I6" s="3284" t="s">
        <v>2551</v>
      </c>
      <c r="J6" s="3285"/>
      <c r="K6" s="609" t="s">
        <v>2552</v>
      </c>
      <c r="L6" s="1132"/>
      <c r="M6" s="1133"/>
      <c r="N6" s="1133"/>
      <c r="O6" s="1133"/>
      <c r="P6" s="3320"/>
      <c r="Q6" s="3265"/>
      <c r="R6" s="3268"/>
      <c r="S6" s="3269"/>
      <c r="T6" s="3270"/>
      <c r="U6" s="3271"/>
      <c r="V6" s="3273"/>
      <c r="W6" s="3273"/>
      <c r="X6" s="1815"/>
      <c r="Y6" s="3270"/>
      <c r="Z6" s="3271"/>
      <c r="AA6" s="3288"/>
      <c r="AB6" s="3273"/>
      <c r="AC6" s="3288"/>
    </row>
    <row r="7" spans="1:29" s="116" customFormat="1" ht="15.75" thickBot="1">
      <c r="A7" s="407" t="s">
        <v>2553</v>
      </c>
      <c r="B7" s="408"/>
      <c r="C7" s="409">
        <f>'数据-取费表'!B2</f>
        <v>43214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80" t="s">
        <v>2554</v>
      </c>
      <c r="Q7" s="3281"/>
      <c r="R7" s="769" t="s">
        <v>17</v>
      </c>
      <c r="S7" s="770">
        <f t="shared" ref="S7:S15" si="0">F7</f>
        <v>0</v>
      </c>
      <c r="T7" s="769" t="s">
        <v>17</v>
      </c>
      <c r="U7" s="770">
        <f t="shared" ref="U7:U15" si="1">H7</f>
        <v>0</v>
      </c>
      <c r="V7" s="769" t="s">
        <v>17</v>
      </c>
      <c r="W7" s="770">
        <f t="shared" ref="W7:W15" si="2">J7</f>
        <v>0</v>
      </c>
      <c r="X7" s="771"/>
      <c r="Y7" s="3280" t="s">
        <v>2554</v>
      </c>
      <c r="Z7" s="3279"/>
      <c r="AA7" s="772" t="e">
        <f>D7/F7</f>
        <v>#DIV/0!</v>
      </c>
      <c r="AB7" s="772" t="e">
        <f>D7/H7</f>
        <v>#DIV/0!</v>
      </c>
      <c r="AC7" s="772" t="e">
        <f>D7/J7</f>
        <v>#DIV/0!</v>
      </c>
    </row>
    <row r="8" spans="1:29" s="116"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46" si="3">D8/F8</f>
        <v>#DIV/0!</v>
      </c>
      <c r="AB8" s="772" t="e">
        <f t="shared" ref="AB8:AB46" si="4">D8/H8</f>
        <v>#DIV/0!</v>
      </c>
      <c r="AC8" s="772" t="e">
        <f t="shared" ref="AC8:AC46" si="5">D8/J8</f>
        <v>#DIV/0!</v>
      </c>
    </row>
    <row r="9" spans="1:29" s="116" customFormat="1">
      <c r="A9" s="414" t="s">
        <v>2558</v>
      </c>
      <c r="B9" s="70" t="s">
        <v>2559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38"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38"/>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38"/>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38"/>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38"/>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71.25">
      <c r="A15" s="439" t="s">
        <v>2564</v>
      </c>
      <c r="B15" s="68" t="s">
        <v>2658</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4" t="s">
        <v>2565</v>
      </c>
      <c r="Q15" s="1812" t="str">
        <f t="shared" si="6"/>
        <v>商业繁华度</v>
      </c>
      <c r="R15" s="773" t="s">
        <v>17</v>
      </c>
      <c r="S15" s="774">
        <f t="shared" si="0"/>
        <v>100</v>
      </c>
      <c r="T15" s="773" t="s">
        <v>17</v>
      </c>
      <c r="U15" s="774">
        <f t="shared" si="1"/>
        <v>100</v>
      </c>
      <c r="V15" s="773" t="s">
        <v>17</v>
      </c>
      <c r="W15" s="774">
        <f t="shared" si="2"/>
        <v>100</v>
      </c>
      <c r="X15" s="1815"/>
      <c r="Y15" s="3246" t="s">
        <v>2565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5"/>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5"/>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245"/>
      <c r="Q18" s="1812"/>
      <c r="R18" s="773"/>
      <c r="S18" s="774"/>
      <c r="T18" s="773"/>
      <c r="U18" s="774"/>
      <c r="V18" s="773"/>
      <c r="W18" s="774"/>
      <c r="X18" s="1815"/>
      <c r="Y18" s="3247"/>
      <c r="Z18" s="1816"/>
      <c r="AA18" s="1813">
        <v>1</v>
      </c>
      <c r="AB18" s="1813">
        <v>1</v>
      </c>
      <c r="AC18" s="1813">
        <v>1</v>
      </c>
    </row>
    <row r="19" spans="1:29" ht="42.75">
      <c r="A19" s="427"/>
      <c r="B19" s="450" t="s">
        <v>2659</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5"/>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245"/>
      <c r="Q20" s="1812"/>
      <c r="R20" s="773"/>
      <c r="S20" s="774"/>
      <c r="T20" s="773"/>
      <c r="U20" s="774"/>
      <c r="V20" s="773"/>
      <c r="W20" s="774"/>
      <c r="X20" s="1815"/>
      <c r="Y20" s="3247"/>
      <c r="Z20" s="1816"/>
      <c r="AA20" s="1813">
        <v>1</v>
      </c>
      <c r="AB20" s="1813">
        <v>1</v>
      </c>
      <c r="AC20" s="1813">
        <v>1</v>
      </c>
    </row>
    <row r="21" spans="1:29" ht="28.5">
      <c r="A21" s="427"/>
      <c r="B21" s="1386" t="s">
        <v>2660</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245"/>
      <c r="Q22" s="1812"/>
      <c r="R22" s="773"/>
      <c r="S22" s="774"/>
      <c r="T22" s="773"/>
      <c r="U22" s="774"/>
      <c r="V22" s="773"/>
      <c r="W22" s="774"/>
      <c r="X22" s="1815"/>
      <c r="Y22" s="3247"/>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5"/>
      <c r="Q23" s="1812" t="str">
        <f>B23</f>
        <v>自然及人文环境</v>
      </c>
      <c r="R23" s="773" t="s">
        <v>17</v>
      </c>
      <c r="S23" s="774">
        <f>F23</f>
        <v>100</v>
      </c>
      <c r="T23" s="773" t="s">
        <v>17</v>
      </c>
      <c r="U23" s="774">
        <f>H23</f>
        <v>100</v>
      </c>
      <c r="V23" s="773" t="s">
        <v>17</v>
      </c>
      <c r="W23" s="774">
        <f>J23</f>
        <v>100</v>
      </c>
      <c r="X23" s="1815"/>
      <c r="Y23" s="3247"/>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245"/>
      <c r="Q24" s="1812"/>
      <c r="R24" s="773"/>
      <c r="S24" s="774"/>
      <c r="T24" s="773"/>
      <c r="U24" s="774"/>
      <c r="V24" s="773"/>
      <c r="W24" s="774"/>
      <c r="X24" s="1815"/>
      <c r="Y24" s="3247"/>
      <c r="Z24" s="1816"/>
      <c r="AA24" s="1813">
        <v>1</v>
      </c>
      <c r="AB24" s="1813">
        <v>1</v>
      </c>
      <c r="AC24" s="1813">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5"/>
      <c r="Q25" s="1812" t="str">
        <f t="shared" ref="Q25:Q46" si="11">B25</f>
        <v>临街状况</v>
      </c>
      <c r="R25" s="773" t="s">
        <v>17</v>
      </c>
      <c r="S25" s="774">
        <f>F25</f>
        <v>100</v>
      </c>
      <c r="T25" s="773" t="s">
        <v>17</v>
      </c>
      <c r="U25" s="774">
        <f>H25</f>
        <v>100</v>
      </c>
      <c r="V25" s="773" t="s">
        <v>17</v>
      </c>
      <c r="W25" s="774">
        <f>J25</f>
        <v>100</v>
      </c>
      <c r="X25" s="1815"/>
      <c r="Y25" s="3247"/>
      <c r="Z25" s="1816" t="str">
        <f>Q25</f>
        <v>临街状况</v>
      </c>
      <c r="AA25" s="1813">
        <f t="shared" si="3"/>
        <v>1</v>
      </c>
      <c r="AB25" s="1813">
        <f t="shared" si="4"/>
        <v>1</v>
      </c>
      <c r="AC25" s="1813">
        <f t="shared" si="5"/>
        <v>1</v>
      </c>
    </row>
    <row r="26" spans="1:29" ht="15">
      <c r="A26" s="427"/>
      <c r="B26" s="1388" t="s">
        <v>2662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5"/>
      <c r="Q26" s="1812" t="str">
        <f t="shared" si="11"/>
        <v>平面位置/可视性</v>
      </c>
      <c r="R26" s="773" t="s">
        <v>17</v>
      </c>
      <c r="S26" s="774">
        <f>F26</f>
        <v>100</v>
      </c>
      <c r="T26" s="773" t="s">
        <v>17</v>
      </c>
      <c r="U26" s="774">
        <f>H26</f>
        <v>100</v>
      </c>
      <c r="V26" s="773" t="s">
        <v>17</v>
      </c>
      <c r="W26" s="774">
        <f>J26</f>
        <v>100</v>
      </c>
      <c r="X26" s="1815"/>
      <c r="Y26" s="3247"/>
      <c r="Z26" s="1816" t="str">
        <f>Q26</f>
        <v>平面位置/可视性</v>
      </c>
      <c r="AA26" s="1813">
        <f t="shared" si="3"/>
        <v>1</v>
      </c>
      <c r="AB26" s="1813">
        <f t="shared" si="4"/>
        <v>1</v>
      </c>
      <c r="AC26" s="1813">
        <f t="shared" si="5"/>
        <v>1</v>
      </c>
    </row>
    <row r="27" spans="1:29" s="116" customFormat="1" ht="15">
      <c r="A27" s="430"/>
      <c r="B27" s="450" t="s">
        <v>2663</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245"/>
      <c r="Q27" s="1797" t="str">
        <f t="shared" si="11"/>
        <v>人流量</v>
      </c>
      <c r="R27" s="769" t="s">
        <v>17</v>
      </c>
      <c r="S27" s="770">
        <f>F27</f>
        <v>100</v>
      </c>
      <c r="T27" s="769" t="s">
        <v>17</v>
      </c>
      <c r="U27" s="770">
        <f>H27</f>
        <v>100</v>
      </c>
      <c r="V27" s="769" t="s">
        <v>17</v>
      </c>
      <c r="W27" s="770">
        <f>J27</f>
        <v>100</v>
      </c>
      <c r="X27" s="771"/>
      <c r="Y27" s="3247"/>
      <c r="Z27" s="54" t="str">
        <f>Q27</f>
        <v>人流量</v>
      </c>
      <c r="AA27" s="1813">
        <f>D27/F27</f>
        <v>1</v>
      </c>
      <c r="AB27" s="1813">
        <f>D27/H27</f>
        <v>1</v>
      </c>
      <c r="AC27" s="1813">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5"/>
      <c r="Q29" s="1812">
        <f t="shared" si="11"/>
        <v>111</v>
      </c>
      <c r="R29" s="773" t="s">
        <v>17</v>
      </c>
      <c r="S29" s="774">
        <f t="shared" si="12"/>
        <v>100</v>
      </c>
      <c r="T29" s="773" t="s">
        <v>17</v>
      </c>
      <c r="U29" s="774">
        <f t="shared" si="13"/>
        <v>100</v>
      </c>
      <c r="V29" s="773" t="s">
        <v>17</v>
      </c>
      <c r="W29" s="774">
        <f t="shared" si="14"/>
        <v>100</v>
      </c>
      <c r="X29" s="1815"/>
      <c r="Y29" s="324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5"/>
      <c r="Q30" s="1812">
        <f t="shared" si="11"/>
        <v>111</v>
      </c>
      <c r="R30" s="773" t="s">
        <v>17</v>
      </c>
      <c r="S30" s="774">
        <f t="shared" si="12"/>
        <v>100</v>
      </c>
      <c r="T30" s="773" t="s">
        <v>17</v>
      </c>
      <c r="U30" s="774">
        <f t="shared" si="13"/>
        <v>100</v>
      </c>
      <c r="V30" s="773" t="s">
        <v>17</v>
      </c>
      <c r="W30" s="774">
        <f t="shared" si="14"/>
        <v>100</v>
      </c>
      <c r="X30" s="1815"/>
      <c r="Y30" s="324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5"/>
      <c r="Q31" s="1812">
        <f t="shared" si="11"/>
        <v>111</v>
      </c>
      <c r="R31" s="773" t="s">
        <v>17</v>
      </c>
      <c r="S31" s="774">
        <f t="shared" si="12"/>
        <v>100</v>
      </c>
      <c r="T31" s="773" t="s">
        <v>17</v>
      </c>
      <c r="U31" s="774">
        <f t="shared" si="13"/>
        <v>100</v>
      </c>
      <c r="V31" s="773" t="s">
        <v>17</v>
      </c>
      <c r="W31" s="774">
        <f t="shared" si="14"/>
        <v>100</v>
      </c>
      <c r="X31" s="1815"/>
      <c r="Y31" s="3247"/>
      <c r="Z31" s="1816">
        <f t="shared" si="15"/>
        <v>111</v>
      </c>
      <c r="AA31" s="1813">
        <f t="shared" si="3"/>
        <v>1</v>
      </c>
      <c r="AB31" s="1813">
        <f t="shared" si="4"/>
        <v>1</v>
      </c>
      <c r="AC31" s="1813">
        <f t="shared" si="5"/>
        <v>1</v>
      </c>
    </row>
    <row r="32" spans="1:29" ht="15">
      <c r="A32" s="439" t="s">
        <v>2568</v>
      </c>
      <c r="B32" s="70" t="s">
        <v>2665</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248" t="s">
        <v>2570</v>
      </c>
      <c r="Q32" s="1812" t="str">
        <f t="shared" si="11"/>
        <v>商业类型</v>
      </c>
      <c r="R32" s="773" t="s">
        <v>17</v>
      </c>
      <c r="S32" s="774">
        <f t="shared" si="12"/>
        <v>100</v>
      </c>
      <c r="T32" s="773" t="s">
        <v>17</v>
      </c>
      <c r="U32" s="774">
        <f t="shared" si="13"/>
        <v>100</v>
      </c>
      <c r="V32" s="773" t="s">
        <v>17</v>
      </c>
      <c r="W32" s="774">
        <f t="shared" si="14"/>
        <v>100</v>
      </c>
      <c r="X32" s="1815"/>
      <c r="Y32" s="3251" t="s">
        <v>2570</v>
      </c>
      <c r="Z32" s="1816" t="str">
        <f t="shared" si="15"/>
        <v>商业类型</v>
      </c>
      <c r="AA32" s="1813">
        <f t="shared" si="3"/>
        <v>1</v>
      </c>
      <c r="AB32" s="1813">
        <f t="shared" si="4"/>
        <v>1</v>
      </c>
      <c r="AC32" s="1813">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49"/>
      <c r="Q33" s="775" t="str">
        <f t="shared" si="11"/>
        <v>项目建筑规模</v>
      </c>
      <c r="R33" s="776" t="s">
        <v>17</v>
      </c>
      <c r="S33" s="777" t="e">
        <f t="shared" si="12"/>
        <v>#N/A</v>
      </c>
      <c r="T33" s="776" t="s">
        <v>17</v>
      </c>
      <c r="U33" s="777" t="e">
        <f t="shared" si="13"/>
        <v>#N/A</v>
      </c>
      <c r="V33" s="776" t="s">
        <v>17</v>
      </c>
      <c r="W33" s="777" t="e">
        <f t="shared" si="14"/>
        <v>#N/A</v>
      </c>
      <c r="X33" s="778"/>
      <c r="Y33" s="3251"/>
      <c r="Z33" s="779" t="str">
        <f t="shared" si="15"/>
        <v>项目建筑规模</v>
      </c>
      <c r="AA33" s="1813" t="e">
        <f t="shared" si="3"/>
        <v>#N/A</v>
      </c>
      <c r="AB33" s="1813" t="e">
        <f t="shared" si="4"/>
        <v>#N/A</v>
      </c>
      <c r="AC33" s="1813" t="e">
        <f t="shared" si="5"/>
        <v>#N/A</v>
      </c>
    </row>
    <row r="34" spans="1:29" ht="15">
      <c r="A34" s="471"/>
      <c r="B34" s="421" t="s">
        <v>2572</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249"/>
      <c r="Q34" s="1812" t="str">
        <f t="shared" si="11"/>
        <v>建筑结构</v>
      </c>
      <c r="R34" s="773" t="s">
        <v>17</v>
      </c>
      <c r="S34" s="774">
        <f t="shared" si="12"/>
        <v>100</v>
      </c>
      <c r="T34" s="773" t="s">
        <v>17</v>
      </c>
      <c r="U34" s="774">
        <f t="shared" si="13"/>
        <v>100</v>
      </c>
      <c r="V34" s="773" t="s">
        <v>17</v>
      </c>
      <c r="W34" s="774">
        <f t="shared" si="14"/>
        <v>100</v>
      </c>
      <c r="X34" s="1815"/>
      <c r="Y34" s="3251"/>
      <c r="Z34" s="1816" t="str">
        <f t="shared" si="15"/>
        <v>建筑结构</v>
      </c>
      <c r="AA34" s="1813">
        <f t="shared" si="3"/>
        <v>1</v>
      </c>
      <c r="AB34" s="1813">
        <f t="shared" si="4"/>
        <v>1</v>
      </c>
      <c r="AC34" s="1813">
        <f t="shared" si="5"/>
        <v>1</v>
      </c>
    </row>
    <row r="35" spans="1:29" ht="15">
      <c r="A35" s="471"/>
      <c r="B35" s="421" t="s">
        <v>2666</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49"/>
      <c r="Q35" s="1812" t="str">
        <f t="shared" si="11"/>
        <v>公共部分装修</v>
      </c>
      <c r="R35" s="773" t="s">
        <v>17</v>
      </c>
      <c r="S35" s="774">
        <f t="shared" si="12"/>
        <v>100</v>
      </c>
      <c r="T35" s="773" t="s">
        <v>17</v>
      </c>
      <c r="U35" s="774">
        <f t="shared" si="13"/>
        <v>100</v>
      </c>
      <c r="V35" s="773" t="s">
        <v>17</v>
      </c>
      <c r="W35" s="774">
        <f t="shared" si="14"/>
        <v>100</v>
      </c>
      <c r="X35" s="1815"/>
      <c r="Y35" s="3251"/>
      <c r="Z35" s="1816" t="str">
        <f t="shared" si="15"/>
        <v>公共部分装修</v>
      </c>
      <c r="AA35" s="1813">
        <f t="shared" si="3"/>
        <v>1</v>
      </c>
      <c r="AB35" s="1813">
        <f t="shared" si="4"/>
        <v>1</v>
      </c>
      <c r="AC35" s="1813">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49"/>
      <c r="Q36" s="1812" t="str">
        <f t="shared" si="11"/>
        <v>成新度</v>
      </c>
      <c r="R36" s="773" t="s">
        <v>17</v>
      </c>
      <c r="S36" s="774" t="e">
        <f t="shared" si="12"/>
        <v>#N/A</v>
      </c>
      <c r="T36" s="773" t="s">
        <v>17</v>
      </c>
      <c r="U36" s="774" t="e">
        <f t="shared" si="13"/>
        <v>#N/A</v>
      </c>
      <c r="V36" s="773" t="s">
        <v>17</v>
      </c>
      <c r="W36" s="774" t="e">
        <f t="shared" si="14"/>
        <v>#N/A</v>
      </c>
      <c r="X36" s="1815"/>
      <c r="Y36" s="3251"/>
      <c r="Z36" s="1816" t="str">
        <f t="shared" si="15"/>
        <v>成新度</v>
      </c>
      <c r="AA36" s="1813" t="e">
        <f t="shared" si="3"/>
        <v>#N/A</v>
      </c>
      <c r="AB36" s="1813" t="e">
        <f t="shared" si="4"/>
        <v>#N/A</v>
      </c>
      <c r="AC36" s="1813" t="e">
        <f t="shared" si="5"/>
        <v>#N/A</v>
      </c>
    </row>
    <row r="37" spans="1:29" s="116" customFormat="1" ht="15">
      <c r="A37" s="472"/>
      <c r="B37" s="421" t="s">
        <v>2668</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49"/>
      <c r="Q37" s="1797" t="str">
        <f t="shared" si="11"/>
        <v>市政基础设施</v>
      </c>
      <c r="R37" s="769" t="s">
        <v>17</v>
      </c>
      <c r="S37" s="770">
        <f t="shared" si="12"/>
        <v>100</v>
      </c>
      <c r="T37" s="769" t="s">
        <v>17</v>
      </c>
      <c r="U37" s="770">
        <f t="shared" si="13"/>
        <v>100</v>
      </c>
      <c r="V37" s="769" t="s">
        <v>17</v>
      </c>
      <c r="W37" s="770">
        <f t="shared" si="14"/>
        <v>100</v>
      </c>
      <c r="X37" s="771"/>
      <c r="Y37" s="3251"/>
      <c r="Z37" s="54" t="str">
        <f t="shared" si="15"/>
        <v>市政基础设施</v>
      </c>
      <c r="AA37" s="772">
        <f t="shared" si="3"/>
        <v>1</v>
      </c>
      <c r="AB37" s="772">
        <f t="shared" si="4"/>
        <v>1</v>
      </c>
      <c r="AC37" s="772">
        <f t="shared" si="5"/>
        <v>1</v>
      </c>
    </row>
    <row r="38" spans="1:29" ht="15">
      <c r="A38" s="471"/>
      <c r="B38" s="421" t="s">
        <v>2669</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49" t="s">
        <v>2570</v>
      </c>
      <c r="Q38" s="1812" t="str">
        <f t="shared" si="11"/>
        <v>业态</v>
      </c>
      <c r="R38" s="773" t="s">
        <v>17</v>
      </c>
      <c r="S38" s="774">
        <f t="shared" si="12"/>
        <v>100</v>
      </c>
      <c r="T38" s="773" t="s">
        <v>17</v>
      </c>
      <c r="U38" s="774">
        <f t="shared" si="13"/>
        <v>100</v>
      </c>
      <c r="V38" s="773" t="s">
        <v>17</v>
      </c>
      <c r="W38" s="774">
        <f t="shared" si="14"/>
        <v>100</v>
      </c>
      <c r="X38" s="1815"/>
      <c r="Y38" s="3251" t="s">
        <v>2570</v>
      </c>
      <c r="Z38" s="1816" t="str">
        <f t="shared" si="15"/>
        <v>业态</v>
      </c>
      <c r="AA38" s="1813">
        <f t="shared" si="3"/>
        <v>1</v>
      </c>
      <c r="AB38" s="1813">
        <f t="shared" si="4"/>
        <v>1</v>
      </c>
      <c r="AC38" s="1813">
        <f t="shared" si="5"/>
        <v>1</v>
      </c>
    </row>
    <row r="39" spans="1:29" ht="15">
      <c r="A39" s="471"/>
      <c r="B39" s="421" t="s">
        <v>2670</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49"/>
      <c r="Q39" s="1812" t="str">
        <f t="shared" si="11"/>
        <v>层高</v>
      </c>
      <c r="R39" s="773" t="s">
        <v>17</v>
      </c>
      <c r="S39" s="774">
        <f t="shared" si="12"/>
        <v>100</v>
      </c>
      <c r="T39" s="773" t="s">
        <v>17</v>
      </c>
      <c r="U39" s="774">
        <f t="shared" si="13"/>
        <v>100</v>
      </c>
      <c r="V39" s="773" t="s">
        <v>17</v>
      </c>
      <c r="W39" s="774">
        <f t="shared" si="14"/>
        <v>100</v>
      </c>
      <c r="X39" s="1815"/>
      <c r="Y39" s="3251"/>
      <c r="Z39" s="1816" t="str">
        <f t="shared" si="15"/>
        <v>层高</v>
      </c>
      <c r="AA39" s="1813">
        <f t="shared" si="3"/>
        <v>1</v>
      </c>
      <c r="AB39" s="1813">
        <f t="shared" si="4"/>
        <v>1</v>
      </c>
      <c r="AC39" s="1813">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49"/>
      <c r="Q40" s="1812" t="str">
        <f t="shared" si="11"/>
        <v>单套建筑面积</v>
      </c>
      <c r="R40" s="773" t="s">
        <v>17</v>
      </c>
      <c r="S40" s="774">
        <f t="shared" si="12"/>
        <v>100</v>
      </c>
      <c r="T40" s="773" t="s">
        <v>17</v>
      </c>
      <c r="U40" s="774">
        <f t="shared" si="13"/>
        <v>100</v>
      </c>
      <c r="V40" s="773" t="s">
        <v>17</v>
      </c>
      <c r="W40" s="774">
        <f t="shared" si="14"/>
        <v>100</v>
      </c>
      <c r="X40" s="1815"/>
      <c r="Y40" s="3251"/>
      <c r="Z40" s="1816" t="str">
        <f t="shared" si="15"/>
        <v>单套建筑面积</v>
      </c>
      <c r="AA40" s="1813">
        <f t="shared" si="3"/>
        <v>1</v>
      </c>
      <c r="AB40" s="1813">
        <f t="shared" si="4"/>
        <v>1</v>
      </c>
      <c r="AC40" s="1813">
        <f t="shared" si="5"/>
        <v>1</v>
      </c>
    </row>
    <row r="41" spans="1:29" s="470" customFormat="1" ht="15">
      <c r="A41" s="467"/>
      <c r="B41" s="1814"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49"/>
      <c r="Q41" s="775" t="str">
        <f t="shared" si="11"/>
        <v>进深比</v>
      </c>
      <c r="R41" s="776" t="s">
        <v>17</v>
      </c>
      <c r="S41" s="777">
        <f t="shared" si="12"/>
        <v>100</v>
      </c>
      <c r="T41" s="776" t="s">
        <v>17</v>
      </c>
      <c r="U41" s="777">
        <f t="shared" si="13"/>
        <v>100</v>
      </c>
      <c r="V41" s="776" t="s">
        <v>17</v>
      </c>
      <c r="W41" s="777">
        <f t="shared" si="14"/>
        <v>100</v>
      </c>
      <c r="X41" s="778"/>
      <c r="Y41" s="3251"/>
      <c r="Z41" s="779" t="str">
        <f t="shared" si="15"/>
        <v>进深比</v>
      </c>
      <c r="AA41" s="1813">
        <f t="shared" si="3"/>
        <v>1</v>
      </c>
      <c r="AB41" s="1813">
        <f t="shared" si="4"/>
        <v>1</v>
      </c>
      <c r="AC41" s="1813">
        <f t="shared" si="5"/>
        <v>1</v>
      </c>
    </row>
    <row r="42" spans="1:29" ht="15">
      <c r="A42" s="471"/>
      <c r="B42" s="421" t="s">
        <v>2673</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49"/>
      <c r="Q42" s="1812" t="str">
        <f t="shared" si="11"/>
        <v>内部装修</v>
      </c>
      <c r="R42" s="773" t="s">
        <v>17</v>
      </c>
      <c r="S42" s="774">
        <f t="shared" si="12"/>
        <v>100</v>
      </c>
      <c r="T42" s="773" t="s">
        <v>17</v>
      </c>
      <c r="U42" s="774">
        <f t="shared" si="13"/>
        <v>100</v>
      </c>
      <c r="V42" s="773" t="s">
        <v>17</v>
      </c>
      <c r="W42" s="774">
        <f t="shared" si="14"/>
        <v>100</v>
      </c>
      <c r="X42" s="1815"/>
      <c r="Y42" s="3251"/>
      <c r="Z42" s="1816" t="str">
        <f t="shared" si="15"/>
        <v>内部装修</v>
      </c>
      <c r="AA42" s="1813">
        <f t="shared" si="3"/>
        <v>1</v>
      </c>
      <c r="AB42" s="1813">
        <f t="shared" si="4"/>
        <v>1</v>
      </c>
      <c r="AC42" s="1813">
        <f t="shared" si="5"/>
        <v>1</v>
      </c>
    </row>
    <row r="43" spans="1:29" ht="15">
      <c r="A43" s="471"/>
      <c r="B43" s="421" t="s">
        <v>2581</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49"/>
      <c r="Q43" s="1812" t="str">
        <f t="shared" si="11"/>
        <v>内部装修维护情况</v>
      </c>
      <c r="R43" s="773" t="s">
        <v>17</v>
      </c>
      <c r="S43" s="774">
        <f t="shared" si="12"/>
        <v>100</v>
      </c>
      <c r="T43" s="773" t="s">
        <v>17</v>
      </c>
      <c r="U43" s="774">
        <f t="shared" si="13"/>
        <v>100</v>
      </c>
      <c r="V43" s="773" t="s">
        <v>17</v>
      </c>
      <c r="W43" s="774">
        <f t="shared" si="14"/>
        <v>100</v>
      </c>
      <c r="X43" s="1815"/>
      <c r="Y43" s="325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49"/>
      <c r="Q44" s="1797">
        <f t="shared" si="11"/>
        <v>111</v>
      </c>
      <c r="R44" s="769" t="s">
        <v>17</v>
      </c>
      <c r="S44" s="770">
        <f t="shared" si="12"/>
        <v>100</v>
      </c>
      <c r="T44" s="769" t="s">
        <v>17</v>
      </c>
      <c r="U44" s="770">
        <f t="shared" si="13"/>
        <v>100</v>
      </c>
      <c r="V44" s="769" t="s">
        <v>17</v>
      </c>
      <c r="W44" s="770">
        <f t="shared" si="14"/>
        <v>100</v>
      </c>
      <c r="X44" s="771"/>
      <c r="Y44" s="3251"/>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49"/>
      <c r="Q45" s="1812">
        <f t="shared" si="11"/>
        <v>111</v>
      </c>
      <c r="R45" s="773" t="s">
        <v>17</v>
      </c>
      <c r="S45" s="774">
        <f t="shared" si="12"/>
        <v>100</v>
      </c>
      <c r="T45" s="773" t="s">
        <v>17</v>
      </c>
      <c r="U45" s="774">
        <f t="shared" si="13"/>
        <v>100</v>
      </c>
      <c r="V45" s="773" t="s">
        <v>17</v>
      </c>
      <c r="W45" s="774">
        <f t="shared" si="14"/>
        <v>100</v>
      </c>
      <c r="X45" s="1815"/>
      <c r="Y45" s="3251"/>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0"/>
      <c r="Q46" s="1812">
        <f t="shared" si="11"/>
        <v>111</v>
      </c>
      <c r="R46" s="773" t="s">
        <v>17</v>
      </c>
      <c r="S46" s="774">
        <f t="shared" si="12"/>
        <v>100</v>
      </c>
      <c r="T46" s="773" t="s">
        <v>17</v>
      </c>
      <c r="U46" s="774">
        <f t="shared" si="13"/>
        <v>100</v>
      </c>
      <c r="V46" s="773" t="s">
        <v>17</v>
      </c>
      <c r="W46" s="774">
        <f t="shared" si="14"/>
        <v>100</v>
      </c>
      <c r="X46" s="1815"/>
      <c r="Y46" s="3252"/>
      <c r="Z46" s="1816">
        <f t="shared" si="15"/>
        <v>111</v>
      </c>
      <c r="AA46" s="1813">
        <f t="shared" si="3"/>
        <v>1</v>
      </c>
      <c r="AB46" s="1813">
        <f t="shared" si="4"/>
        <v>1</v>
      </c>
      <c r="AC46" s="1813">
        <f t="shared" si="5"/>
        <v>1</v>
      </c>
    </row>
    <row r="47" spans="1:29" ht="15">
      <c r="A47" s="478" t="s">
        <v>2582</v>
      </c>
      <c r="B47" s="479"/>
      <c r="C47" s="1409" t="s">
        <v>1</v>
      </c>
      <c r="D47" s="1410"/>
      <c r="E47" s="1411"/>
      <c r="F47" s="1412"/>
      <c r="G47" s="1413"/>
      <c r="H47" s="1414"/>
      <c r="I47" s="1411"/>
      <c r="J47" s="1414"/>
      <c r="K47" s="782"/>
      <c r="L47" s="1145"/>
      <c r="M47" s="1146"/>
      <c r="N47" s="1133"/>
      <c r="O47" s="1146"/>
      <c r="P47" s="3239" t="str">
        <f>A47</f>
        <v>成交单价（元/平方米）</v>
      </c>
      <c r="Q47" s="3239"/>
      <c r="R47" s="3273">
        <f>E47</f>
        <v>0</v>
      </c>
      <c r="S47" s="3273"/>
      <c r="T47" s="3273">
        <f>G47</f>
        <v>0</v>
      </c>
      <c r="U47" s="3273"/>
      <c r="V47" s="3273">
        <f>I47</f>
        <v>0</v>
      </c>
      <c r="W47" s="3273"/>
      <c r="X47" s="758"/>
      <c r="Y47" s="780"/>
      <c r="Z47" s="758"/>
      <c r="AA47" s="758"/>
      <c r="AB47" s="758"/>
      <c r="AC47" s="758"/>
    </row>
    <row r="48" spans="1:29" ht="15.75" thickBot="1">
      <c r="A48" s="485" t="s">
        <v>2674</v>
      </c>
      <c r="B48" s="486"/>
      <c r="C48" s="1415" t="e">
        <f>R49</f>
        <v>#DIV/0!</v>
      </c>
      <c r="D48" s="1416"/>
      <c r="E48" s="1417" t="e">
        <f>R48</f>
        <v>#DIV/0!</v>
      </c>
      <c r="F48" s="1417"/>
      <c r="G48" s="1415" t="e">
        <f>T48</f>
        <v>#DIV/0!</v>
      </c>
      <c r="H48" s="1416"/>
      <c r="I48" s="1417" t="e">
        <f>V48</f>
        <v>#DIV/0!</v>
      </c>
      <c r="J48" s="1416"/>
      <c r="K48" s="783"/>
      <c r="L48" s="1145"/>
      <c r="M48" s="1146"/>
      <c r="N48" s="1133"/>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2675</v>
      </c>
      <c r="B49" s="492"/>
      <c r="C49" s="1419" t="e">
        <f>R49</f>
        <v>#DIV/0!</v>
      </c>
      <c r="D49" s="1419"/>
      <c r="E49" s="1419"/>
      <c r="F49" s="1419"/>
      <c r="G49" s="1419"/>
      <c r="H49" s="1419"/>
      <c r="I49" s="1419"/>
      <c r="J49" s="1419"/>
      <c r="K49" s="784"/>
      <c r="L49" s="1145"/>
      <c r="M49" s="1146"/>
      <c r="N49" s="1133"/>
      <c r="O49" s="1146"/>
      <c r="P49" s="3313" t="str">
        <f>A49</f>
        <v>估价对象XX用房的比较价值（楼面单价，元/平方米）</v>
      </c>
      <c r="Q49" s="3314"/>
      <c r="R49" s="3315" t="e">
        <f>IF(F1="售价",ROUND(AVERAGE(R48:V48),0),ROUND(AVERAGE(R48:V48),1))</f>
        <v>#DIV/0!</v>
      </c>
      <c r="S49" s="3315"/>
      <c r="T49" s="3315"/>
      <c r="U49" s="3315"/>
      <c r="V49" s="3315"/>
      <c r="W49" s="33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2553</v>
      </c>
      <c r="B58" s="505"/>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2590</v>
      </c>
      <c r="B60" s="515"/>
      <c r="C60" s="516"/>
      <c r="D60" s="517"/>
      <c r="E60" s="517"/>
      <c r="F60" s="517"/>
      <c r="G60" s="517"/>
      <c r="H60" s="517"/>
      <c r="I60" s="517"/>
      <c r="J60" s="517"/>
      <c r="K60" s="517"/>
      <c r="L60" s="517"/>
      <c r="M60" s="518"/>
      <c r="N60" s="517"/>
      <c r="O60" s="518"/>
      <c r="P60" s="2633"/>
      <c r="Q60" s="503"/>
    </row>
    <row r="61" spans="1:29" s="116" customFormat="1" ht="15">
      <c r="A61" s="520" t="s">
        <v>2555</v>
      </c>
      <c r="B61" s="509"/>
      <c r="C61" s="521" t="s">
        <v>2657</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2593</v>
      </c>
      <c r="B63" s="527" t="s">
        <v>2559</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2660</v>
      </c>
      <c r="C82" s="659" t="s">
        <v>2680</v>
      </c>
      <c r="D82" s="659" t="s">
        <v>2681</v>
      </c>
      <c r="E82" s="659" t="s">
        <v>2682</v>
      </c>
      <c r="F82" s="659" t="s">
        <v>2683</v>
      </c>
      <c r="G82" s="659" t="s">
        <v>2684</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2685</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2568</v>
      </c>
      <c r="B100" s="527" t="s">
        <v>2686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2619</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2621</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2623</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2687</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2688</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2689</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2690</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2625</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4" t="s">
        <v>2707</v>
      </c>
      <c r="C1" s="1622" t="s">
        <v>2535</v>
      </c>
      <c r="D1" s="1623"/>
      <c r="E1" s="1632"/>
      <c r="F1" s="2589"/>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20" t="e">
        <f ca="1">IF(C2="——",ROUND(C43*D3/10000,0),ROUND(C43*D3/10000,0)-D2)</f>
        <v>#DIV/0!</v>
      </c>
      <c r="C2" s="2591"/>
      <c r="D2" s="1126" t="e">
        <f ca="1">SUMIF(INDIRECT("'"&amp;F2&amp;"'"&amp;"!A:A"),"承租人权益价值",INDIRECT("'"&amp;F2&amp;"'"&amp;"!c:c"))</f>
        <v>#REF!</v>
      </c>
      <c r="E2" s="2592" t="s">
        <v>2333</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2334</v>
      </c>
      <c r="B3" s="608" t="e">
        <f ca="1">IF(C2="——",C43,ROUND(B2*10000/D3,0))</f>
        <v>#DIV/0!</v>
      </c>
      <c r="C3" s="399" t="s">
        <v>2649</v>
      </c>
      <c r="D3" s="398">
        <f>IF(D1="",'数据-汇总表'!E3,SUMIF('数据-汇总表'!$C19:$C33,D1,'数据-汇总表'!$E19:$E33))</f>
        <v>16960.349999999999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87" t="s">
        <v>2653</v>
      </c>
      <c r="AC4" s="3316" t="s">
        <v>2654</v>
      </c>
    </row>
    <row r="5" spans="1:29"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2551</v>
      </c>
      <c r="D6" s="3285"/>
      <c r="E6" s="3323" t="s">
        <v>2551</v>
      </c>
      <c r="F6" s="3324"/>
      <c r="G6" s="3284" t="s">
        <v>2551</v>
      </c>
      <c r="H6" s="3285"/>
      <c r="I6" s="3284" t="s">
        <v>2551</v>
      </c>
      <c r="J6" s="3285"/>
      <c r="K6" s="609" t="s">
        <v>2552</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2553</v>
      </c>
      <c r="B7" s="408"/>
      <c r="C7" s="409">
        <f>'数据-取费表'!B2</f>
        <v>43214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80" t="s">
        <v>2554</v>
      </c>
      <c r="Q7" s="3281"/>
      <c r="R7" s="769" t="s">
        <v>17</v>
      </c>
      <c r="S7" s="770">
        <f t="shared" ref="S7:S15" si="0">F7</f>
        <v>0</v>
      </c>
      <c r="T7" s="769" t="s">
        <v>17</v>
      </c>
      <c r="U7" s="770">
        <f t="shared" ref="U7:U15" si="1">H7</f>
        <v>0</v>
      </c>
      <c r="V7" s="769" t="s">
        <v>17</v>
      </c>
      <c r="W7" s="770">
        <f t="shared" ref="W7:W15" si="2">J7</f>
        <v>0</v>
      </c>
      <c r="X7" s="771"/>
      <c r="Y7" s="3280" t="s">
        <v>2554</v>
      </c>
      <c r="Z7" s="3279"/>
      <c r="AA7" s="772" t="e">
        <f>D7/F7</f>
        <v>#DIV/0!</v>
      </c>
      <c r="AB7" s="772" t="e">
        <f>D7/H7</f>
        <v>#DIV/0!</v>
      </c>
      <c r="AC7" s="772"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40" si="3">D8/F8</f>
        <v>#DIV/0!</v>
      </c>
      <c r="AB8" s="772" t="e">
        <f t="shared" ref="AB8:AB40" si="4">D8/H8</f>
        <v>#DIV/0!</v>
      </c>
      <c r="AC8" s="772"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9"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772">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57">
      <c r="A15" s="439" t="s">
        <v>2564</v>
      </c>
      <c r="B15" s="68" t="s">
        <v>2708</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46" t="s">
        <v>2565</v>
      </c>
      <c r="Q15" s="1812" t="str">
        <f t="shared" si="6"/>
        <v>产业集聚程度</v>
      </c>
      <c r="R15" s="773" t="s">
        <v>17</v>
      </c>
      <c r="S15" s="774">
        <f t="shared" si="0"/>
        <v>100</v>
      </c>
      <c r="T15" s="773" t="s">
        <v>17</v>
      </c>
      <c r="U15" s="774">
        <f t="shared" si="1"/>
        <v>100</v>
      </c>
      <c r="V15" s="773" t="s">
        <v>17</v>
      </c>
      <c r="W15" s="774">
        <f t="shared" si="2"/>
        <v>100</v>
      </c>
      <c r="X15" s="1815"/>
      <c r="Y15" s="3246" t="s">
        <v>2565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47"/>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47"/>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247"/>
      <c r="Q18" s="1812"/>
      <c r="R18" s="773"/>
      <c r="S18" s="774"/>
      <c r="T18" s="773"/>
      <c r="U18" s="774"/>
      <c r="V18" s="773"/>
      <c r="W18" s="774"/>
      <c r="X18" s="1815"/>
      <c r="Y18" s="3247"/>
      <c r="Z18" s="1816"/>
      <c r="AA18" s="1813">
        <v>1</v>
      </c>
      <c r="AB18" s="1813">
        <v>1</v>
      </c>
      <c r="AC18" s="1813">
        <v>1</v>
      </c>
    </row>
    <row r="19" spans="1:29" ht="42.75">
      <c r="A19" s="427"/>
      <c r="B19" s="450" t="s">
        <v>2693</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47"/>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247"/>
      <c r="Q20" s="1812"/>
      <c r="R20" s="773"/>
      <c r="S20" s="774"/>
      <c r="T20" s="773"/>
      <c r="U20" s="774"/>
      <c r="V20" s="773"/>
      <c r="W20" s="774"/>
      <c r="X20" s="1815"/>
      <c r="Y20" s="3247"/>
      <c r="Z20" s="1816"/>
      <c r="AA20" s="1813">
        <v>1</v>
      </c>
      <c r="AB20" s="1813">
        <v>1</v>
      </c>
      <c r="AC20" s="1813">
        <v>1</v>
      </c>
    </row>
    <row r="21" spans="1:29" ht="28.5">
      <c r="A21" s="427"/>
      <c r="B21" s="1386" t="s">
        <v>2694</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47"/>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247"/>
      <c r="Q22" s="1812"/>
      <c r="R22" s="773"/>
      <c r="S22" s="774"/>
      <c r="T22" s="773"/>
      <c r="U22" s="774"/>
      <c r="V22" s="773"/>
      <c r="W22" s="774"/>
      <c r="X22" s="1815"/>
      <c r="Y22" s="3247"/>
      <c r="Z22" s="1816"/>
      <c r="AA22" s="1813">
        <v>1</v>
      </c>
      <c r="AB22" s="1813">
        <v>1</v>
      </c>
      <c r="AC22" s="1813">
        <v>1</v>
      </c>
    </row>
    <row r="23" spans="1:29" ht="71.25">
      <c r="A23" s="427"/>
      <c r="B23" s="450" t="s">
        <v>2695</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47"/>
      <c r="Q23" s="1812" t="str">
        <f>B23</f>
        <v>环境质量</v>
      </c>
      <c r="R23" s="773" t="s">
        <v>17</v>
      </c>
      <c r="S23" s="774">
        <f>F23</f>
        <v>100</v>
      </c>
      <c r="T23" s="773" t="s">
        <v>17</v>
      </c>
      <c r="U23" s="774">
        <f>H23</f>
        <v>100</v>
      </c>
      <c r="V23" s="773" t="s">
        <v>17</v>
      </c>
      <c r="W23" s="774">
        <f>J23</f>
        <v>100</v>
      </c>
      <c r="X23" s="1815"/>
      <c r="Y23" s="3247"/>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247"/>
      <c r="Q24" s="1812"/>
      <c r="R24" s="773"/>
      <c r="S24" s="774"/>
      <c r="T24" s="773"/>
      <c r="U24" s="774"/>
      <c r="V24" s="773"/>
      <c r="W24" s="774"/>
      <c r="X24" s="1815"/>
      <c r="Y24" s="324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47"/>
      <c r="Q25" s="1812">
        <f>B25</f>
        <v>111</v>
      </c>
      <c r="R25" s="773" t="s">
        <v>17</v>
      </c>
      <c r="S25" s="774">
        <f>F25</f>
        <v>100</v>
      </c>
      <c r="T25" s="773" t="s">
        <v>17</v>
      </c>
      <c r="U25" s="774">
        <f>H25</f>
        <v>100</v>
      </c>
      <c r="V25" s="773" t="s">
        <v>17</v>
      </c>
      <c r="W25" s="774">
        <f>J25</f>
        <v>100</v>
      </c>
      <c r="X25" s="1815"/>
      <c r="Y25" s="324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47"/>
      <c r="Q26" s="1812">
        <f t="shared" ref="Q26:Q40" si="11">B26</f>
        <v>111</v>
      </c>
      <c r="R26" s="773" t="s">
        <v>17</v>
      </c>
      <c r="S26" s="774">
        <f>F26</f>
        <v>100</v>
      </c>
      <c r="T26" s="773" t="s">
        <v>17</v>
      </c>
      <c r="U26" s="774">
        <f>H26</f>
        <v>100</v>
      </c>
      <c r="V26" s="773" t="s">
        <v>17</v>
      </c>
      <c r="W26" s="774">
        <f>J26</f>
        <v>100</v>
      </c>
      <c r="X26" s="1815"/>
      <c r="Y26" s="324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47"/>
      <c r="Q27" s="1797">
        <f t="shared" si="11"/>
        <v>111</v>
      </c>
      <c r="R27" s="769" t="s">
        <v>17</v>
      </c>
      <c r="S27" s="770">
        <f>F27</f>
        <v>100</v>
      </c>
      <c r="T27" s="769" t="s">
        <v>17</v>
      </c>
      <c r="U27" s="770">
        <f>H27</f>
        <v>100</v>
      </c>
      <c r="V27" s="769" t="s">
        <v>17</v>
      </c>
      <c r="W27" s="770">
        <f>J27</f>
        <v>100</v>
      </c>
      <c r="X27" s="771"/>
      <c r="Y27" s="3247"/>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47"/>
      <c r="Q28" s="1812">
        <f t="shared" si="11"/>
        <v>111</v>
      </c>
      <c r="R28" s="773" t="s">
        <v>17</v>
      </c>
      <c r="S28" s="774">
        <f t="shared" ref="S28:S40" si="12">F28</f>
        <v>100</v>
      </c>
      <c r="T28" s="773" t="s">
        <v>17</v>
      </c>
      <c r="U28" s="774">
        <f t="shared" ref="U28:U40" si="13">H28</f>
        <v>100</v>
      </c>
      <c r="V28" s="773" t="s">
        <v>17</v>
      </c>
      <c r="W28" s="774">
        <f t="shared" ref="W28:W40" si="14">J28</f>
        <v>100</v>
      </c>
      <c r="X28" s="1815"/>
      <c r="Y28" s="3247"/>
      <c r="Z28" s="1816">
        <f t="shared" ref="Z28:Z40" si="15">Q28</f>
        <v>111</v>
      </c>
      <c r="AA28" s="1813">
        <f t="shared" si="3"/>
        <v>1</v>
      </c>
      <c r="AB28" s="1813">
        <f t="shared" si="4"/>
        <v>1</v>
      </c>
      <c r="AC28" s="1813">
        <f t="shared" si="5"/>
        <v>1</v>
      </c>
    </row>
    <row r="29" spans="1:29" ht="15">
      <c r="A29" s="465" t="s">
        <v>2568</v>
      </c>
      <c r="B29" s="70" t="s">
        <v>2698</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327" t="s">
        <v>2570</v>
      </c>
      <c r="Q29" s="1812" t="str">
        <f t="shared" si="11"/>
        <v>建筑类型</v>
      </c>
      <c r="R29" s="773" t="s">
        <v>17</v>
      </c>
      <c r="S29" s="774">
        <f t="shared" si="12"/>
        <v>100</v>
      </c>
      <c r="T29" s="773" t="s">
        <v>17</v>
      </c>
      <c r="U29" s="774">
        <f t="shared" si="13"/>
        <v>100</v>
      </c>
      <c r="V29" s="773" t="s">
        <v>17</v>
      </c>
      <c r="W29" s="774">
        <f t="shared" si="14"/>
        <v>100</v>
      </c>
      <c r="X29" s="1815"/>
      <c r="Y29" s="3251" t="s">
        <v>2570</v>
      </c>
      <c r="Z29" s="1816" t="str">
        <f t="shared" si="15"/>
        <v>建筑类型</v>
      </c>
      <c r="AA29" s="1813">
        <f t="shared" si="3"/>
        <v>1</v>
      </c>
      <c r="AB29" s="1813">
        <f t="shared" si="4"/>
        <v>1</v>
      </c>
      <c r="AC29" s="1813">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51"/>
      <c r="Q30" s="775" t="str">
        <f t="shared" si="11"/>
        <v>项目建筑规模</v>
      </c>
      <c r="R30" s="776" t="s">
        <v>17</v>
      </c>
      <c r="S30" s="777" t="e">
        <f t="shared" si="12"/>
        <v>#N/A</v>
      </c>
      <c r="T30" s="776" t="s">
        <v>17</v>
      </c>
      <c r="U30" s="777" t="e">
        <f t="shared" si="13"/>
        <v>#N/A</v>
      </c>
      <c r="V30" s="776" t="s">
        <v>17</v>
      </c>
      <c r="W30" s="777" t="e">
        <f t="shared" si="14"/>
        <v>#N/A</v>
      </c>
      <c r="X30" s="778"/>
      <c r="Y30" s="3251"/>
      <c r="Z30" s="779" t="str">
        <f t="shared" si="15"/>
        <v>项目建筑规模</v>
      </c>
      <c r="AA30" s="1813" t="e">
        <f t="shared" si="3"/>
        <v>#N/A</v>
      </c>
      <c r="AB30" s="1813" t="e">
        <f t="shared" si="4"/>
        <v>#N/A</v>
      </c>
      <c r="AC30" s="1813"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51"/>
      <c r="Q31" s="1812" t="str">
        <f t="shared" si="11"/>
        <v>建筑结构</v>
      </c>
      <c r="R31" s="773" t="s">
        <v>17</v>
      </c>
      <c r="S31" s="774">
        <f t="shared" si="12"/>
        <v>100</v>
      </c>
      <c r="T31" s="773" t="s">
        <v>17</v>
      </c>
      <c r="U31" s="774">
        <f t="shared" si="13"/>
        <v>100</v>
      </c>
      <c r="V31" s="773" t="s">
        <v>17</v>
      </c>
      <c r="W31" s="774">
        <f t="shared" si="14"/>
        <v>100</v>
      </c>
      <c r="X31" s="1815"/>
      <c r="Y31" s="3251"/>
      <c r="Z31" s="1816" t="str">
        <f t="shared" si="15"/>
        <v>建筑结构</v>
      </c>
      <c r="AA31" s="1813">
        <f t="shared" si="3"/>
        <v>1</v>
      </c>
      <c r="AB31" s="1813">
        <f t="shared" si="4"/>
        <v>1</v>
      </c>
      <c r="AC31" s="1813">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51"/>
      <c r="Q32" s="1812" t="str">
        <f t="shared" si="11"/>
        <v>公共部分装修</v>
      </c>
      <c r="R32" s="773" t="s">
        <v>17</v>
      </c>
      <c r="S32" s="774">
        <f t="shared" si="12"/>
        <v>100</v>
      </c>
      <c r="T32" s="773" t="s">
        <v>17</v>
      </c>
      <c r="U32" s="774">
        <f t="shared" si="13"/>
        <v>100</v>
      </c>
      <c r="V32" s="773" t="s">
        <v>17</v>
      </c>
      <c r="W32" s="774">
        <f t="shared" si="14"/>
        <v>100</v>
      </c>
      <c r="X32" s="1815"/>
      <c r="Y32" s="3251"/>
      <c r="Z32" s="1816" t="str">
        <f t="shared" si="15"/>
        <v>公共部分装修</v>
      </c>
      <c r="AA32" s="1813">
        <f t="shared" si="3"/>
        <v>1</v>
      </c>
      <c r="AB32" s="1813">
        <f t="shared" si="4"/>
        <v>1</v>
      </c>
      <c r="AC32" s="1813">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51"/>
      <c r="Q33" s="1812" t="str">
        <f t="shared" si="11"/>
        <v>成新度</v>
      </c>
      <c r="R33" s="773" t="s">
        <v>17</v>
      </c>
      <c r="S33" s="774" t="e">
        <f t="shared" si="12"/>
        <v>#N/A</v>
      </c>
      <c r="T33" s="773" t="s">
        <v>17</v>
      </c>
      <c r="U33" s="774" t="e">
        <f t="shared" si="13"/>
        <v>#N/A</v>
      </c>
      <c r="V33" s="773" t="s">
        <v>17</v>
      </c>
      <c r="W33" s="774" t="e">
        <f t="shared" si="14"/>
        <v>#N/A</v>
      </c>
      <c r="X33" s="1815"/>
      <c r="Y33" s="3251"/>
      <c r="Z33" s="1816" t="str">
        <f t="shared" si="15"/>
        <v>成新度</v>
      </c>
      <c r="AA33" s="1813" t="e">
        <f t="shared" si="3"/>
        <v>#N/A</v>
      </c>
      <c r="AB33" s="1813" t="e">
        <f t="shared" si="4"/>
        <v>#N/A</v>
      </c>
      <c r="AC33" s="1813"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51"/>
      <c r="Q34" s="1797" t="str">
        <f t="shared" si="11"/>
        <v>物业管理</v>
      </c>
      <c r="R34" s="769" t="s">
        <v>17</v>
      </c>
      <c r="S34" s="770">
        <f t="shared" si="12"/>
        <v>100</v>
      </c>
      <c r="T34" s="769" t="s">
        <v>17</v>
      </c>
      <c r="U34" s="770">
        <f t="shared" si="13"/>
        <v>100</v>
      </c>
      <c r="V34" s="769" t="s">
        <v>17</v>
      </c>
      <c r="W34" s="770">
        <f t="shared" si="14"/>
        <v>100</v>
      </c>
      <c r="X34" s="771"/>
      <c r="Y34" s="3251"/>
      <c r="Z34" s="54" t="str">
        <f t="shared" si="15"/>
        <v>物业管理</v>
      </c>
      <c r="AA34" s="772">
        <f t="shared" si="3"/>
        <v>1</v>
      </c>
      <c r="AB34" s="772">
        <f t="shared" si="4"/>
        <v>1</v>
      </c>
      <c r="AC34" s="772">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51" t="s">
        <v>2570</v>
      </c>
      <c r="Q35" s="1812" t="str">
        <f t="shared" si="11"/>
        <v>市政基础设施</v>
      </c>
      <c r="R35" s="773" t="s">
        <v>17</v>
      </c>
      <c r="S35" s="774">
        <f t="shared" si="12"/>
        <v>100</v>
      </c>
      <c r="T35" s="773" t="s">
        <v>17</v>
      </c>
      <c r="U35" s="774">
        <f t="shared" si="13"/>
        <v>100</v>
      </c>
      <c r="V35" s="773" t="s">
        <v>17</v>
      </c>
      <c r="W35" s="774">
        <f t="shared" si="14"/>
        <v>100</v>
      </c>
      <c r="X35" s="1815"/>
      <c r="Y35" s="3251" t="s">
        <v>2570</v>
      </c>
      <c r="Z35" s="1816" t="str">
        <f t="shared" si="15"/>
        <v>市政基础设施</v>
      </c>
      <c r="AA35" s="1813">
        <f t="shared" si="3"/>
        <v>1</v>
      </c>
      <c r="AB35" s="1813">
        <f t="shared" si="4"/>
        <v>1</v>
      </c>
      <c r="AC35" s="1813">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51"/>
      <c r="Q36" s="1812" t="str">
        <f t="shared" si="11"/>
        <v>内部装修</v>
      </c>
      <c r="R36" s="773" t="s">
        <v>17</v>
      </c>
      <c r="S36" s="774">
        <f t="shared" si="12"/>
        <v>100</v>
      </c>
      <c r="T36" s="773" t="s">
        <v>17</v>
      </c>
      <c r="U36" s="774">
        <f t="shared" si="13"/>
        <v>100</v>
      </c>
      <c r="V36" s="773" t="s">
        <v>17</v>
      </c>
      <c r="W36" s="774">
        <f t="shared" si="14"/>
        <v>100</v>
      </c>
      <c r="X36" s="1815"/>
      <c r="Y36" s="3251"/>
      <c r="Z36" s="1816" t="str">
        <f t="shared" si="15"/>
        <v>内部装修</v>
      </c>
      <c r="AA36" s="1813">
        <f t="shared" si="3"/>
        <v>1</v>
      </c>
      <c r="AB36" s="1813">
        <f t="shared" si="4"/>
        <v>1</v>
      </c>
      <c r="AC36" s="1813">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51"/>
      <c r="Q37" s="1812" t="str">
        <f t="shared" si="11"/>
        <v>内部装修状况</v>
      </c>
      <c r="R37" s="773" t="s">
        <v>17</v>
      </c>
      <c r="S37" s="774">
        <f t="shared" si="12"/>
        <v>100</v>
      </c>
      <c r="T37" s="773" t="s">
        <v>17</v>
      </c>
      <c r="U37" s="774">
        <f t="shared" si="13"/>
        <v>100</v>
      </c>
      <c r="V37" s="773" t="s">
        <v>17</v>
      </c>
      <c r="W37" s="774">
        <f t="shared" si="14"/>
        <v>100</v>
      </c>
      <c r="X37" s="1815"/>
      <c r="Y37" s="325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51"/>
      <c r="Q38" s="775">
        <f t="shared" si="11"/>
        <v>111</v>
      </c>
      <c r="R38" s="776" t="s">
        <v>17</v>
      </c>
      <c r="S38" s="777">
        <f t="shared" si="12"/>
        <v>100</v>
      </c>
      <c r="T38" s="776" t="s">
        <v>17</v>
      </c>
      <c r="U38" s="777">
        <f t="shared" si="13"/>
        <v>100</v>
      </c>
      <c r="V38" s="776" t="s">
        <v>17</v>
      </c>
      <c r="W38" s="777">
        <f t="shared" si="14"/>
        <v>100</v>
      </c>
      <c r="X38" s="778"/>
      <c r="Y38" s="325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51"/>
      <c r="Q39" s="1812">
        <f t="shared" si="11"/>
        <v>111</v>
      </c>
      <c r="R39" s="773" t="s">
        <v>17</v>
      </c>
      <c r="S39" s="774">
        <f t="shared" si="12"/>
        <v>100</v>
      </c>
      <c r="T39" s="773" t="s">
        <v>17</v>
      </c>
      <c r="U39" s="774">
        <f t="shared" si="13"/>
        <v>100</v>
      </c>
      <c r="V39" s="773" t="s">
        <v>17</v>
      </c>
      <c r="W39" s="774">
        <f t="shared" si="14"/>
        <v>100</v>
      </c>
      <c r="X39" s="1815"/>
      <c r="Y39" s="3251"/>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2"/>
      <c r="Q40" s="1812">
        <f t="shared" si="11"/>
        <v>111</v>
      </c>
      <c r="R40" s="773" t="s">
        <v>17</v>
      </c>
      <c r="S40" s="774">
        <f t="shared" si="12"/>
        <v>100</v>
      </c>
      <c r="T40" s="773" t="s">
        <v>17</v>
      </c>
      <c r="U40" s="774">
        <f t="shared" si="13"/>
        <v>100</v>
      </c>
      <c r="V40" s="773" t="s">
        <v>17</v>
      </c>
      <c r="W40" s="774">
        <f t="shared" si="14"/>
        <v>100</v>
      </c>
      <c r="X40" s="1815"/>
      <c r="Y40" s="3252"/>
      <c r="Z40" s="1816">
        <f t="shared" si="15"/>
        <v>111</v>
      </c>
      <c r="AA40" s="1813">
        <f t="shared" si="3"/>
        <v>1</v>
      </c>
      <c r="AB40" s="1813">
        <f t="shared" si="4"/>
        <v>1</v>
      </c>
      <c r="AC40" s="1813">
        <f t="shared" si="5"/>
        <v>1</v>
      </c>
    </row>
    <row r="41" spans="1:29" ht="15">
      <c r="A41" s="478" t="s">
        <v>2582</v>
      </c>
      <c r="B41" s="479"/>
      <c r="C41" s="1409" t="s">
        <v>1</v>
      </c>
      <c r="D41" s="1410"/>
      <c r="E41" s="1411"/>
      <c r="F41" s="1412"/>
      <c r="G41" s="1413"/>
      <c r="H41" s="1414"/>
      <c r="I41" s="1411"/>
      <c r="J41" s="1414"/>
      <c r="K41" s="782"/>
      <c r="L41" s="1145"/>
      <c r="M41" s="1146"/>
      <c r="N41" s="1133"/>
      <c r="O41" s="1146"/>
      <c r="P41" s="3239" t="str">
        <f>A41</f>
        <v>成交单价（元/平方米）</v>
      </c>
      <c r="Q41" s="3239"/>
      <c r="R41" s="3240">
        <f>E41</f>
        <v>0</v>
      </c>
      <c r="S41" s="3240"/>
      <c r="T41" s="3240">
        <f>G41</f>
        <v>0</v>
      </c>
      <c r="U41" s="3240"/>
      <c r="V41" s="3240">
        <f>I41</f>
        <v>0</v>
      </c>
      <c r="W41" s="3240"/>
      <c r="X41" s="758"/>
      <c r="Y41" s="780"/>
      <c r="Z41" s="758"/>
      <c r="AA41" s="758"/>
      <c r="AB41" s="758"/>
      <c r="AC41" s="758"/>
    </row>
    <row r="42" spans="1:29" ht="15.75" thickBot="1">
      <c r="A42" s="485" t="s">
        <v>2674</v>
      </c>
      <c r="B42" s="486"/>
      <c r="C42" s="1415" t="e">
        <f>R43</f>
        <v>#DIV/0!</v>
      </c>
      <c r="D42" s="1416"/>
      <c r="E42" s="1417" t="e">
        <f>R42</f>
        <v>#DIV/0!</v>
      </c>
      <c r="F42" s="1417"/>
      <c r="G42" s="1415" t="e">
        <f>T42</f>
        <v>#DIV/0!</v>
      </c>
      <c r="H42" s="1416"/>
      <c r="I42" s="1417" t="e">
        <f>V42</f>
        <v>#DIV/0!</v>
      </c>
      <c r="J42" s="1416"/>
      <c r="K42" s="783"/>
      <c r="L42" s="1145"/>
      <c r="M42" s="1146"/>
      <c r="N42" s="1133"/>
      <c r="O42" s="1146"/>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8"/>
      <c r="Y42" s="758"/>
      <c r="Z42" s="758"/>
      <c r="AA42" s="758"/>
      <c r="AB42" s="758"/>
      <c r="AC42" s="758"/>
    </row>
    <row r="43" spans="1:29" ht="15.75" thickBot="1">
      <c r="A43" s="491" t="s">
        <v>2675</v>
      </c>
      <c r="B43" s="492"/>
      <c r="C43" s="1419" t="e">
        <f>R43</f>
        <v>#DIV/0!</v>
      </c>
      <c r="D43" s="1419"/>
      <c r="E43" s="1419"/>
      <c r="F43" s="1419"/>
      <c r="G43" s="1419"/>
      <c r="H43" s="1419"/>
      <c r="I43" s="1419"/>
      <c r="J43" s="1419"/>
      <c r="K43" s="784"/>
      <c r="L43" s="1145"/>
      <c r="M43" s="1146"/>
      <c r="N43" s="1146"/>
      <c r="O43" s="1146"/>
      <c r="P43" s="3313" t="str">
        <f>A43</f>
        <v>估价对象XX用房的比较价值（楼面单价，元/平方米）</v>
      </c>
      <c r="Q43" s="3314"/>
      <c r="R43" s="3315" t="e">
        <f>IF(F1="售价",ROUND(AVERAGE(R42:V42),0),ROUND(AVERAGE(R42:V42),1))</f>
        <v>#DIV/0!</v>
      </c>
      <c r="S43" s="3315"/>
      <c r="T43" s="3315"/>
      <c r="U43" s="3315"/>
      <c r="V43" s="3315"/>
      <c r="W43" s="331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2"/>
      <c r="Q51" s="503"/>
    </row>
    <row r="52" spans="1:17" s="507" customFormat="1" ht="15">
      <c r="A52" s="504" t="s">
        <v>2553</v>
      </c>
      <c r="B52" s="505"/>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2593</v>
      </c>
      <c r="B57" s="527" t="s">
        <v>2559</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2694</v>
      </c>
      <c r="C76" s="659" t="s">
        <v>2680</v>
      </c>
      <c r="D76" s="659" t="s">
        <v>2681</v>
      </c>
      <c r="E76" s="659" t="s">
        <v>2682</v>
      </c>
      <c r="F76" s="659" t="s">
        <v>2683</v>
      </c>
      <c r="G76" s="659" t="s">
        <v>2684</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1"/>
      <c r="B87" s="568"/>
      <c r="C87" s="569"/>
      <c r="D87" s="569"/>
      <c r="E87" s="569"/>
      <c r="F87" s="569"/>
      <c r="G87" s="590"/>
      <c r="H87" s="590"/>
      <c r="I87" s="590"/>
      <c r="J87" s="590"/>
      <c r="K87" s="590"/>
      <c r="L87" s="590"/>
      <c r="M87" s="591"/>
      <c r="N87" s="1155"/>
      <c r="O87" s="1155"/>
      <c r="P87" s="44"/>
      <c r="Q87" s="503"/>
    </row>
    <row r="88" spans="1:17">
      <c r="A88" s="526" t="s">
        <v>2568</v>
      </c>
      <c r="B88" s="527" t="s">
        <v>2617</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2619</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2621</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2622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2623</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2625</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1"/>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24"/>
      <c r="F1" s="2589"/>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2332</v>
      </c>
      <c r="B2" s="1420" t="e">
        <f ca="1">IF(C2="——",IF(B37="元/平方米",ROUND(C39*D3/10000,0),ROUND(F3*C39/10000,0)),IF(B37="元/平方米",ROUND(C39*D3/10000,0),ROUND(F3*C39/10000,0))-D2)</f>
        <v>#DIV/0!</v>
      </c>
      <c r="C2" s="2591"/>
      <c r="D2" s="1126" t="e">
        <f ca="1">SUMIF(INDIRECT("'"&amp;F2&amp;"'"&amp;"!A:A"),"承租人权益价值",INDIRECT("'"&amp;F2&amp;"'"&amp;"!c:c"))</f>
        <v>#REF!</v>
      </c>
      <c r="E2" s="2592" t="s">
        <v>2333</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87" t="s">
        <v>2653</v>
      </c>
      <c r="AC4" s="3316" t="s">
        <v>2654</v>
      </c>
    </row>
    <row r="5" spans="1:29"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2551</v>
      </c>
      <c r="D6" s="3285"/>
      <c r="E6" s="3323" t="s">
        <v>2551</v>
      </c>
      <c r="F6" s="3324"/>
      <c r="G6" s="3284" t="s">
        <v>2551</v>
      </c>
      <c r="H6" s="3285"/>
      <c r="I6" s="3284" t="s">
        <v>2551</v>
      </c>
      <c r="J6" s="3285"/>
      <c r="K6" s="609" t="s">
        <v>2552</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2553</v>
      </c>
      <c r="B7" s="408"/>
      <c r="C7" s="409">
        <f>'数据-取费表'!B2</f>
        <v>43214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80" t="s">
        <v>2554</v>
      </c>
      <c r="Q7" s="3281"/>
      <c r="R7" s="769" t="s">
        <v>17</v>
      </c>
      <c r="S7" s="770">
        <f t="shared" ref="S7:S14" si="0">F7</f>
        <v>0</v>
      </c>
      <c r="T7" s="769" t="s">
        <v>17</v>
      </c>
      <c r="U7" s="770">
        <f t="shared" ref="U7:U14" si="1">H7</f>
        <v>0</v>
      </c>
      <c r="V7" s="769" t="s">
        <v>17</v>
      </c>
      <c r="W7" s="770">
        <f t="shared" ref="W7:W14" si="2">J7</f>
        <v>0</v>
      </c>
      <c r="X7" s="771"/>
      <c r="Y7" s="3280" t="s">
        <v>2554</v>
      </c>
      <c r="Z7" s="3279"/>
      <c r="AA7" s="772" t="e">
        <f>D7/F7</f>
        <v>#DIV/0!</v>
      </c>
      <c r="AB7" s="772" t="e">
        <f>D7/H7</f>
        <v>#DIV/0!</v>
      </c>
      <c r="AC7" s="772"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36" si="3">D8/F8</f>
        <v>#DIV/0!</v>
      </c>
      <c r="AB8" s="772" t="e">
        <f t="shared" ref="AB8:AB36" si="4">D8/H8</f>
        <v>#DIV/0!</v>
      </c>
      <c r="AC8" s="772" t="e">
        <f t="shared" ref="AC8:AC36" si="5">D8/J8</f>
        <v>#DIV/0!</v>
      </c>
    </row>
    <row r="9" spans="1:29" s="116" customFormat="1">
      <c r="A9" s="67"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39" t="s">
        <v>2560</v>
      </c>
      <c r="Q9" s="1797" t="str">
        <f t="shared" ref="Q9:Q14" si="6">B9</f>
        <v>用途</v>
      </c>
      <c r="R9" s="769" t="s">
        <v>17</v>
      </c>
      <c r="S9" s="770">
        <f t="shared" si="0"/>
        <v>100</v>
      </c>
      <c r="T9" s="769" t="s">
        <v>17</v>
      </c>
      <c r="U9" s="770">
        <f t="shared" si="1"/>
        <v>100</v>
      </c>
      <c r="V9" s="769" t="s">
        <v>17</v>
      </c>
      <c r="W9" s="770">
        <f t="shared" si="2"/>
        <v>100</v>
      </c>
      <c r="X9" s="771"/>
      <c r="Y9" s="3064" t="s">
        <v>2561</v>
      </c>
      <c r="Z9" s="54"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9"/>
      <c r="Q11" s="1797">
        <f t="shared" si="6"/>
        <v>111</v>
      </c>
      <c r="R11" s="769" t="s">
        <v>17</v>
      </c>
      <c r="S11" s="770">
        <f t="shared" si="0"/>
        <v>100</v>
      </c>
      <c r="T11" s="769" t="s">
        <v>17</v>
      </c>
      <c r="U11" s="770">
        <f t="shared" si="1"/>
        <v>100</v>
      </c>
      <c r="V11" s="769" t="s">
        <v>17</v>
      </c>
      <c r="W11" s="770">
        <f t="shared" si="2"/>
        <v>100</v>
      </c>
      <c r="X11" s="771"/>
      <c r="Y11" s="306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85.5">
      <c r="A14" s="400" t="s">
        <v>2564</v>
      </c>
      <c r="B14" s="628" t="s">
        <v>2714</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46" t="s">
        <v>2565</v>
      </c>
      <c r="Q14" s="1812" t="str">
        <f t="shared" si="6"/>
        <v>交通便捷度</v>
      </c>
      <c r="R14" s="773" t="s">
        <v>17</v>
      </c>
      <c r="S14" s="774">
        <f t="shared" si="0"/>
        <v>100</v>
      </c>
      <c r="T14" s="773" t="s">
        <v>17</v>
      </c>
      <c r="U14" s="774">
        <f t="shared" si="1"/>
        <v>100</v>
      </c>
      <c r="V14" s="773" t="s">
        <v>17</v>
      </c>
      <c r="W14" s="774">
        <f t="shared" si="2"/>
        <v>100</v>
      </c>
      <c r="X14" s="1815"/>
      <c r="Y14" s="3246" t="s">
        <v>2565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47"/>
      <c r="Q15" s="1812"/>
      <c r="R15" s="773"/>
      <c r="S15" s="774"/>
      <c r="T15" s="773"/>
      <c r="U15" s="774"/>
      <c r="V15" s="773"/>
      <c r="W15" s="774"/>
      <c r="X15" s="1815"/>
      <c r="Y15" s="3247"/>
      <c r="Z15" s="1816"/>
      <c r="AA15" s="1813">
        <v>1</v>
      </c>
      <c r="AB15" s="1813">
        <v>1</v>
      </c>
      <c r="AC15" s="1813">
        <v>1</v>
      </c>
    </row>
    <row r="16" spans="1:29" ht="42.75">
      <c r="A16" s="403"/>
      <c r="B16" s="630" t="s">
        <v>2693</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47"/>
      <c r="Q16" s="1812" t="str">
        <f>B16</f>
        <v>公共配套设施</v>
      </c>
      <c r="R16" s="773" t="s">
        <v>17</v>
      </c>
      <c r="S16" s="774">
        <f>F16</f>
        <v>100</v>
      </c>
      <c r="T16" s="773" t="s">
        <v>17</v>
      </c>
      <c r="U16" s="774">
        <f>H16</f>
        <v>100</v>
      </c>
      <c r="V16" s="773" t="s">
        <v>17</v>
      </c>
      <c r="W16" s="774">
        <f>J16</f>
        <v>100</v>
      </c>
      <c r="X16" s="1815"/>
      <c r="Y16" s="3247"/>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247"/>
      <c r="Q17" s="1812"/>
      <c r="R17" s="773"/>
      <c r="S17" s="774"/>
      <c r="T17" s="773"/>
      <c r="U17" s="774"/>
      <c r="V17" s="773"/>
      <c r="W17" s="774"/>
      <c r="X17" s="1815"/>
      <c r="Y17" s="3247"/>
      <c r="Z17" s="1816"/>
      <c r="AA17" s="1813">
        <v>1</v>
      </c>
      <c r="AB17" s="1813">
        <v>1</v>
      </c>
      <c r="AC17" s="1813">
        <v>1</v>
      </c>
    </row>
    <row r="18" spans="1:29" ht="28.5">
      <c r="A18" s="403"/>
      <c r="B18" s="632" t="s">
        <v>2694</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47"/>
      <c r="Q18" s="1812" t="str">
        <f>B18</f>
        <v>基础设施水平</v>
      </c>
      <c r="R18" s="773" t="s">
        <v>17</v>
      </c>
      <c r="S18" s="774">
        <f>F18</f>
        <v>100</v>
      </c>
      <c r="T18" s="773" t="s">
        <v>17</v>
      </c>
      <c r="U18" s="774">
        <f>H18</f>
        <v>100</v>
      </c>
      <c r="V18" s="773" t="s">
        <v>17</v>
      </c>
      <c r="W18" s="774">
        <f>J18</f>
        <v>100</v>
      </c>
      <c r="X18" s="1815"/>
      <c r="Y18" s="3247"/>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247"/>
      <c r="Q19" s="1812"/>
      <c r="R19" s="773"/>
      <c r="S19" s="774"/>
      <c r="T19" s="773"/>
      <c r="U19" s="774"/>
      <c r="V19" s="773"/>
      <c r="W19" s="774"/>
      <c r="X19" s="1815"/>
      <c r="Y19" s="3247"/>
      <c r="Z19" s="1816"/>
      <c r="AA19" s="1813">
        <v>1</v>
      </c>
      <c r="AB19" s="1813">
        <v>1</v>
      </c>
      <c r="AC19" s="1813">
        <v>1</v>
      </c>
    </row>
    <row r="20" spans="1:29" ht="57">
      <c r="A20" s="403"/>
      <c r="B20" s="630" t="s">
        <v>2715</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47"/>
      <c r="Q20" s="1812" t="str">
        <f>B20</f>
        <v>自然及人文环境</v>
      </c>
      <c r="R20" s="773" t="s">
        <v>17</v>
      </c>
      <c r="S20" s="774">
        <f>F20</f>
        <v>100</v>
      </c>
      <c r="T20" s="773" t="s">
        <v>17</v>
      </c>
      <c r="U20" s="774">
        <f>H20</f>
        <v>100</v>
      </c>
      <c r="V20" s="773" t="s">
        <v>17</v>
      </c>
      <c r="W20" s="774">
        <f>J20</f>
        <v>100</v>
      </c>
      <c r="X20" s="1815"/>
      <c r="Y20" s="324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47"/>
      <c r="Q21" s="1812"/>
      <c r="R21" s="773"/>
      <c r="S21" s="774"/>
      <c r="T21" s="773"/>
      <c r="U21" s="774"/>
      <c r="V21" s="773"/>
      <c r="W21" s="774"/>
      <c r="X21" s="1815"/>
      <c r="Y21" s="3247"/>
      <c r="Z21" s="1816"/>
      <c r="AA21" s="1813">
        <v>1</v>
      </c>
      <c r="AB21" s="1813">
        <v>1</v>
      </c>
      <c r="AC21" s="1813">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47"/>
      <c r="Q22" s="1812" t="str">
        <f>B22</f>
        <v>楼层</v>
      </c>
      <c r="R22" s="773" t="s">
        <v>17</v>
      </c>
      <c r="S22" s="774">
        <f>F22</f>
        <v>100</v>
      </c>
      <c r="T22" s="773" t="s">
        <v>17</v>
      </c>
      <c r="U22" s="774">
        <f>H22</f>
        <v>100</v>
      </c>
      <c r="V22" s="773" t="s">
        <v>17</v>
      </c>
      <c r="W22" s="774">
        <f>J22</f>
        <v>100</v>
      </c>
      <c r="X22" s="1815"/>
      <c r="Y22" s="324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47"/>
      <c r="Q23" s="1812">
        <f>B23</f>
        <v>111</v>
      </c>
      <c r="R23" s="773" t="s">
        <v>17</v>
      </c>
      <c r="S23" s="774">
        <f>F23</f>
        <v>100</v>
      </c>
      <c r="T23" s="773" t="s">
        <v>17</v>
      </c>
      <c r="U23" s="774">
        <f>H23</f>
        <v>100</v>
      </c>
      <c r="V23" s="773" t="s">
        <v>17</v>
      </c>
      <c r="W23" s="774">
        <f>J23</f>
        <v>100</v>
      </c>
      <c r="X23" s="1815"/>
      <c r="Y23" s="324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47"/>
      <c r="Q24" s="1812">
        <f t="shared" ref="Q24:Q36" si="11">B24</f>
        <v>111</v>
      </c>
      <c r="R24" s="773" t="s">
        <v>17</v>
      </c>
      <c r="S24" s="774">
        <f>F24</f>
        <v>100</v>
      </c>
      <c r="T24" s="773" t="s">
        <v>17</v>
      </c>
      <c r="U24" s="774">
        <f>H24</f>
        <v>100</v>
      </c>
      <c r="V24" s="773" t="s">
        <v>17</v>
      </c>
      <c r="W24" s="774">
        <f>J24</f>
        <v>100</v>
      </c>
      <c r="X24" s="1815"/>
      <c r="Y24" s="324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47"/>
      <c r="Q25" s="1797">
        <f t="shared" si="11"/>
        <v>111</v>
      </c>
      <c r="R25" s="769" t="s">
        <v>17</v>
      </c>
      <c r="S25" s="770">
        <f>F25</f>
        <v>100</v>
      </c>
      <c r="T25" s="769" t="s">
        <v>17</v>
      </c>
      <c r="U25" s="770">
        <f>H25</f>
        <v>100</v>
      </c>
      <c r="V25" s="769" t="s">
        <v>17</v>
      </c>
      <c r="W25" s="770">
        <f>J25</f>
        <v>100</v>
      </c>
      <c r="X25" s="771"/>
      <c r="Y25" s="3247"/>
      <c r="Z25" s="54">
        <f>Q25</f>
        <v>111</v>
      </c>
      <c r="AA25" s="1813">
        <f>D25/F25</f>
        <v>1</v>
      </c>
      <c r="AB25" s="1813">
        <f>D25/H25</f>
        <v>1</v>
      </c>
      <c r="AC25" s="1813">
        <f>D25/J25</f>
        <v>1</v>
      </c>
    </row>
    <row r="26" spans="1:29" ht="15">
      <c r="A26" s="651" t="s">
        <v>2568</v>
      </c>
      <c r="B26" s="69" t="s">
        <v>2717</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27" t="s">
        <v>2570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1" t="s">
        <v>2570</v>
      </c>
      <c r="Z26" s="1816" t="str">
        <f t="shared" ref="Z26:Z36" si="15">Q26</f>
        <v>配套类型</v>
      </c>
      <c r="AA26" s="1813">
        <f t="shared" si="3"/>
        <v>1</v>
      </c>
      <c r="AB26" s="1813">
        <f t="shared" si="4"/>
        <v>1</v>
      </c>
      <c r="AC26" s="1813">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51"/>
      <c r="Q27" s="775" t="str">
        <f t="shared" si="11"/>
        <v>项目停车位配比</v>
      </c>
      <c r="R27" s="776" t="s">
        <v>17</v>
      </c>
      <c r="S27" s="777">
        <f t="shared" si="12"/>
        <v>100</v>
      </c>
      <c r="T27" s="776" t="s">
        <v>17</v>
      </c>
      <c r="U27" s="777">
        <f t="shared" si="13"/>
        <v>100</v>
      </c>
      <c r="V27" s="776" t="s">
        <v>17</v>
      </c>
      <c r="W27" s="777">
        <f t="shared" si="14"/>
        <v>100</v>
      </c>
      <c r="X27" s="778"/>
      <c r="Y27" s="3251"/>
      <c r="Z27" s="779" t="str">
        <f t="shared" si="15"/>
        <v>项目停车位配比</v>
      </c>
      <c r="AA27" s="1813">
        <f t="shared" si="3"/>
        <v>1</v>
      </c>
      <c r="AB27" s="1813">
        <f t="shared" si="4"/>
        <v>1</v>
      </c>
      <c r="AC27" s="1813">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51"/>
      <c r="Q28" s="1812" t="str">
        <f t="shared" si="11"/>
        <v>公共部分装修</v>
      </c>
      <c r="R28" s="773" t="s">
        <v>17</v>
      </c>
      <c r="S28" s="774">
        <f t="shared" si="12"/>
        <v>100</v>
      </c>
      <c r="T28" s="773" t="s">
        <v>17</v>
      </c>
      <c r="U28" s="774">
        <f t="shared" si="13"/>
        <v>100</v>
      </c>
      <c r="V28" s="773" t="s">
        <v>17</v>
      </c>
      <c r="W28" s="774">
        <f t="shared" si="14"/>
        <v>100</v>
      </c>
      <c r="X28" s="1815"/>
      <c r="Y28" s="3251"/>
      <c r="Z28" s="1816" t="str">
        <f t="shared" si="15"/>
        <v>公共部分装修</v>
      </c>
      <c r="AA28" s="1813">
        <f t="shared" si="3"/>
        <v>1</v>
      </c>
      <c r="AB28" s="1813">
        <f t="shared" si="4"/>
        <v>1</v>
      </c>
      <c r="AC28" s="1813">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51"/>
      <c r="Q29" s="1812" t="str">
        <f t="shared" si="11"/>
        <v>成新率</v>
      </c>
      <c r="R29" s="773" t="s">
        <v>17</v>
      </c>
      <c r="S29" s="774" t="e">
        <f t="shared" si="12"/>
        <v>#N/A</v>
      </c>
      <c r="T29" s="773" t="s">
        <v>17</v>
      </c>
      <c r="U29" s="774" t="e">
        <f t="shared" si="13"/>
        <v>#N/A</v>
      </c>
      <c r="V29" s="773" t="s">
        <v>17</v>
      </c>
      <c r="W29" s="774" t="e">
        <f t="shared" si="14"/>
        <v>#N/A</v>
      </c>
      <c r="X29" s="1815"/>
      <c r="Y29" s="3251"/>
      <c r="Z29" s="1816" t="str">
        <f t="shared" si="15"/>
        <v>成新率</v>
      </c>
      <c r="AA29" s="1813" t="e">
        <f t="shared" si="3"/>
        <v>#N/A</v>
      </c>
      <c r="AB29" s="1813" t="e">
        <f t="shared" si="4"/>
        <v>#N/A</v>
      </c>
      <c r="AC29" s="1813"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51"/>
      <c r="Q30" s="1812" t="str">
        <f t="shared" si="11"/>
        <v>物业等级</v>
      </c>
      <c r="R30" s="773" t="s">
        <v>17</v>
      </c>
      <c r="S30" s="774">
        <f t="shared" si="12"/>
        <v>100</v>
      </c>
      <c r="T30" s="773" t="s">
        <v>17</v>
      </c>
      <c r="U30" s="774">
        <f t="shared" si="13"/>
        <v>100</v>
      </c>
      <c r="V30" s="773" t="s">
        <v>17</v>
      </c>
      <c r="W30" s="774">
        <f t="shared" si="14"/>
        <v>100</v>
      </c>
      <c r="X30" s="1815"/>
      <c r="Y30" s="3251"/>
      <c r="Z30" s="1816" t="str">
        <f t="shared" si="15"/>
        <v>物业等级</v>
      </c>
      <c r="AA30" s="1813">
        <f t="shared" si="3"/>
        <v>1</v>
      </c>
      <c r="AB30" s="1813">
        <f t="shared" si="4"/>
        <v>1</v>
      </c>
      <c r="AC30" s="1813">
        <f t="shared" si="5"/>
        <v>1</v>
      </c>
    </row>
    <row r="31" spans="1:29" s="116"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51"/>
      <c r="Q31" s="1797" t="str">
        <f t="shared" si="11"/>
        <v>停车位面积</v>
      </c>
      <c r="R31" s="769" t="s">
        <v>17</v>
      </c>
      <c r="S31" s="770" t="e">
        <f t="shared" si="12"/>
        <v>#N/A</v>
      </c>
      <c r="T31" s="769" t="s">
        <v>17</v>
      </c>
      <c r="U31" s="770" t="e">
        <f t="shared" si="13"/>
        <v>#N/A</v>
      </c>
      <c r="V31" s="769" t="s">
        <v>17</v>
      </c>
      <c r="W31" s="770" t="e">
        <f t="shared" si="14"/>
        <v>#N/A</v>
      </c>
      <c r="X31" s="771"/>
      <c r="Y31" s="3251"/>
      <c r="Z31" s="54"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51" t="s">
        <v>2570</v>
      </c>
      <c r="Q32" s="1812" t="str">
        <f t="shared" si="11"/>
        <v>车位类型</v>
      </c>
      <c r="R32" s="773" t="s">
        <v>17</v>
      </c>
      <c r="S32" s="774">
        <f t="shared" si="12"/>
        <v>100</v>
      </c>
      <c r="T32" s="773" t="s">
        <v>17</v>
      </c>
      <c r="U32" s="774">
        <f t="shared" si="13"/>
        <v>100</v>
      </c>
      <c r="V32" s="773" t="s">
        <v>17</v>
      </c>
      <c r="W32" s="774">
        <f t="shared" si="14"/>
        <v>100</v>
      </c>
      <c r="X32" s="1815"/>
      <c r="Y32" s="3251" t="s">
        <v>2570</v>
      </c>
      <c r="Z32" s="1816" t="str">
        <f t="shared" si="15"/>
        <v>车位类型</v>
      </c>
      <c r="AA32" s="1813">
        <f t="shared" si="3"/>
        <v>1</v>
      </c>
      <c r="AB32" s="1813">
        <f t="shared" si="4"/>
        <v>1</v>
      </c>
      <c r="AC32" s="1813">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51"/>
      <c r="Q33" s="1812" t="str">
        <f t="shared" si="11"/>
        <v>是否直接入户</v>
      </c>
      <c r="R33" s="773" t="s">
        <v>17</v>
      </c>
      <c r="S33" s="774">
        <f t="shared" si="12"/>
        <v>100</v>
      </c>
      <c r="T33" s="773" t="s">
        <v>17</v>
      </c>
      <c r="U33" s="774">
        <f t="shared" si="13"/>
        <v>100</v>
      </c>
      <c r="V33" s="773" t="s">
        <v>17</v>
      </c>
      <c r="W33" s="774">
        <f t="shared" si="14"/>
        <v>100</v>
      </c>
      <c r="X33" s="1815"/>
      <c r="Y33" s="325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51"/>
      <c r="Q34" s="1812">
        <f t="shared" si="11"/>
        <v>111</v>
      </c>
      <c r="R34" s="773" t="s">
        <v>17</v>
      </c>
      <c r="S34" s="774">
        <f t="shared" si="12"/>
        <v>100</v>
      </c>
      <c r="T34" s="773" t="s">
        <v>17</v>
      </c>
      <c r="U34" s="774">
        <f t="shared" si="13"/>
        <v>100</v>
      </c>
      <c r="V34" s="773" t="s">
        <v>17</v>
      </c>
      <c r="W34" s="774">
        <f t="shared" si="14"/>
        <v>100</v>
      </c>
      <c r="X34" s="1815"/>
      <c r="Y34" s="325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51"/>
      <c r="Q35" s="775">
        <f t="shared" si="11"/>
        <v>111</v>
      </c>
      <c r="R35" s="776" t="s">
        <v>17</v>
      </c>
      <c r="S35" s="777">
        <f t="shared" si="12"/>
        <v>100</v>
      </c>
      <c r="T35" s="776" t="s">
        <v>17</v>
      </c>
      <c r="U35" s="777">
        <f t="shared" si="13"/>
        <v>100</v>
      </c>
      <c r="V35" s="776" t="s">
        <v>17</v>
      </c>
      <c r="W35" s="777">
        <f t="shared" si="14"/>
        <v>100</v>
      </c>
      <c r="X35" s="778"/>
      <c r="Y35" s="325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51"/>
      <c r="Q36" s="1812">
        <f t="shared" si="11"/>
        <v>111</v>
      </c>
      <c r="R36" s="773" t="s">
        <v>17</v>
      </c>
      <c r="S36" s="774">
        <f t="shared" si="12"/>
        <v>100</v>
      </c>
      <c r="T36" s="773" t="s">
        <v>17</v>
      </c>
      <c r="U36" s="774">
        <f t="shared" si="13"/>
        <v>100</v>
      </c>
      <c r="V36" s="773" t="s">
        <v>17</v>
      </c>
      <c r="W36" s="774">
        <f t="shared" si="14"/>
        <v>100</v>
      </c>
      <c r="X36" s="1815"/>
      <c r="Y36" s="3251"/>
      <c r="Z36" s="1816">
        <f t="shared" si="15"/>
        <v>111</v>
      </c>
      <c r="AA36" s="1813">
        <f t="shared" si="3"/>
        <v>1</v>
      </c>
      <c r="AB36" s="1813">
        <f t="shared" si="4"/>
        <v>1</v>
      </c>
      <c r="AC36" s="1813">
        <f t="shared" si="5"/>
        <v>1</v>
      </c>
    </row>
    <row r="37" spans="1:29" ht="15">
      <c r="A37" s="478" t="s">
        <v>2725</v>
      </c>
      <c r="B37" s="2699" t="s">
        <v>2726</v>
      </c>
      <c r="C37" s="1409" t="s">
        <v>1</v>
      </c>
      <c r="D37" s="1410"/>
      <c r="E37" s="1411"/>
      <c r="F37" s="1412"/>
      <c r="G37" s="1413"/>
      <c r="H37" s="1414"/>
      <c r="I37" s="1411"/>
      <c r="J37" s="1414"/>
      <c r="K37" s="618"/>
      <c r="L37" s="1145"/>
      <c r="M37" s="1146"/>
      <c r="N37" s="1133"/>
      <c r="O37" s="1146"/>
      <c r="P37" s="3239" t="str">
        <f>A37</f>
        <v>成交单价</v>
      </c>
      <c r="Q37" s="3239"/>
      <c r="R37" s="3240">
        <f>E37</f>
        <v>0</v>
      </c>
      <c r="S37" s="3240"/>
      <c r="T37" s="3240">
        <f>G37</f>
        <v>0</v>
      </c>
      <c r="U37" s="3240"/>
      <c r="V37" s="3240">
        <f>I37</f>
        <v>0</v>
      </c>
      <c r="W37" s="3240"/>
      <c r="X37" s="758"/>
      <c r="Y37" s="780"/>
      <c r="Z37" s="758"/>
      <c r="AA37" s="758"/>
      <c r="AB37" s="758"/>
      <c r="AC37" s="758"/>
    </row>
    <row r="38" spans="1:29" ht="15.75" thickBot="1">
      <c r="A38" s="485" t="s">
        <v>2727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8"/>
      <c r="Y38" s="758"/>
      <c r="Z38" s="758"/>
      <c r="AA38" s="758"/>
      <c r="AB38" s="758"/>
      <c r="AC38" s="758"/>
    </row>
    <row r="39" spans="1:29" ht="15.75" thickBot="1">
      <c r="A39" s="491" t="s">
        <v>2728</v>
      </c>
      <c r="B39" s="492"/>
      <c r="C39" s="1419" t="e">
        <f>R39</f>
        <v>#DIV/0!</v>
      </c>
      <c r="D39" s="1419"/>
      <c r="E39" s="1419"/>
      <c r="F39" s="1419"/>
      <c r="G39" s="1419"/>
      <c r="H39" s="1419"/>
      <c r="I39" s="1419"/>
      <c r="J39" s="1419"/>
      <c r="K39" s="620"/>
      <c r="L39" s="1145"/>
      <c r="M39" s="1146"/>
      <c r="N39" s="1146"/>
      <c r="O39" s="1146"/>
      <c r="P39" s="3313" t="str">
        <f>A39</f>
        <v>估价对象XX用房的比较价值（楼面单价，元/平方米）</v>
      </c>
      <c r="Q39" s="3314"/>
      <c r="R39" s="3315" t="e">
        <f>IF(F1="售价",ROUND(AVERAGE(R38:V38),0),ROUND(AVERAGE(R38:V38),1))</f>
        <v>#DIV/0!</v>
      </c>
      <c r="S39" s="3315"/>
      <c r="T39" s="3315"/>
      <c r="U39" s="3315"/>
      <c r="V39" s="3315"/>
      <c r="W39" s="331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2733</v>
      </c>
      <c r="B48" s="505"/>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2590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2555</v>
      </c>
      <c r="B51" s="509"/>
      <c r="C51" s="521" t="s">
        <v>2657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2593</v>
      </c>
      <c r="B53" s="527" t="s">
        <v>2559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2608</v>
      </c>
      <c r="C65" s="577" t="s">
        <v>2602</v>
      </c>
      <c r="D65" s="577" t="s">
        <v>2603</v>
      </c>
      <c r="E65" s="577" t="s">
        <v>2604</v>
      </c>
      <c r="F65" s="577" t="s">
        <v>2605</v>
      </c>
      <c r="G65" s="577" t="s">
        <v>2606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2694</v>
      </c>
      <c r="C67" s="659" t="s">
        <v>2680</v>
      </c>
      <c r="D67" s="659" t="s">
        <v>2681</v>
      </c>
      <c r="E67" s="659" t="s">
        <v>2682</v>
      </c>
      <c r="F67" s="659" t="s">
        <v>2683</v>
      </c>
      <c r="G67" s="659" t="s">
        <v>2684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2614</v>
      </c>
      <c r="C69" s="577" t="s">
        <v>2602</v>
      </c>
      <c r="D69" s="577" t="s">
        <v>2603</v>
      </c>
      <c r="E69" s="577" t="s">
        <v>2604</v>
      </c>
      <c r="F69" s="577" t="s">
        <v>2605</v>
      </c>
      <c r="G69" s="577" t="s">
        <v>2606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2568</v>
      </c>
      <c r="B79" s="527" t="s">
        <v>2735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2740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32"/>
      <c r="F1" s="2589"/>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20" t="e">
        <f ca="1">IF(C2="——",ROUND(C37*D3/10000,0),ROUND(C37*D3/10000,0)-D2)</f>
        <v>#DIV/0!</v>
      </c>
      <c r="C2" s="2591"/>
      <c r="D2" s="1126" t="e">
        <f ca="1">SUMIF(INDIRECT("'"&amp;F2&amp;"'"&amp;"!A:A"),"承租人权益价值",INDIRECT("'"&amp;F2&amp;"'"&amp;"!c:c"))</f>
        <v>#REF!</v>
      </c>
      <c r="E2" s="2592" t="s">
        <v>2333</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87" t="s">
        <v>2653</v>
      </c>
      <c r="AC4" s="3316" t="s">
        <v>2654</v>
      </c>
    </row>
    <row r="5" spans="1:29"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2551</v>
      </c>
      <c r="D6" s="3285"/>
      <c r="E6" s="3323" t="s">
        <v>2551</v>
      </c>
      <c r="F6" s="3324"/>
      <c r="G6" s="3284" t="s">
        <v>2551</v>
      </c>
      <c r="H6" s="3285"/>
      <c r="I6" s="3284" t="s">
        <v>2551</v>
      </c>
      <c r="J6" s="3285"/>
      <c r="K6" s="609" t="s">
        <v>2552</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2553</v>
      </c>
      <c r="B7" s="408"/>
      <c r="C7" s="409">
        <f>'数据-取费表'!B2</f>
        <v>43214</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80" t="s">
        <v>2554</v>
      </c>
      <c r="Q7" s="3281"/>
      <c r="R7" s="769" t="s">
        <v>17</v>
      </c>
      <c r="S7" s="770">
        <f t="shared" ref="S7:S14" si="0">F7</f>
        <v>0</v>
      </c>
      <c r="T7" s="769" t="s">
        <v>17</v>
      </c>
      <c r="U7" s="770">
        <f t="shared" ref="U7:U14" si="1">H7</f>
        <v>0</v>
      </c>
      <c r="V7" s="769" t="s">
        <v>17</v>
      </c>
      <c r="W7" s="770">
        <f t="shared" ref="W7:W14" si="2">J7</f>
        <v>0</v>
      </c>
      <c r="X7" s="771"/>
      <c r="Y7" s="3280" t="s">
        <v>2554</v>
      </c>
      <c r="Z7" s="3279"/>
      <c r="AA7" s="772" t="e">
        <f>D7/F7</f>
        <v>#DIV/0!</v>
      </c>
      <c r="AB7" s="772" t="e">
        <f>D7/H7</f>
        <v>#DIV/0!</v>
      </c>
      <c r="AC7" s="772"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34" si="3">D8/F8</f>
        <v>#DIV/0!</v>
      </c>
      <c r="AB8" s="772" t="e">
        <f t="shared" ref="AB8:AB34" si="4">D8/H8</f>
        <v>#DIV/0!</v>
      </c>
      <c r="AC8" s="772"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9" t="s">
        <v>2560</v>
      </c>
      <c r="Q9" s="1797" t="str">
        <f t="shared" ref="Q9:Q14" si="6">B9</f>
        <v>用途</v>
      </c>
      <c r="R9" s="769" t="s">
        <v>17</v>
      </c>
      <c r="S9" s="770">
        <f t="shared" si="0"/>
        <v>100</v>
      </c>
      <c r="T9" s="769" t="s">
        <v>17</v>
      </c>
      <c r="U9" s="770">
        <f t="shared" si="1"/>
        <v>100</v>
      </c>
      <c r="V9" s="769" t="s">
        <v>17</v>
      </c>
      <c r="W9" s="770">
        <f t="shared" si="2"/>
        <v>100</v>
      </c>
      <c r="X9" s="771"/>
      <c r="Y9" s="3064" t="s">
        <v>2561</v>
      </c>
      <c r="Z9" s="54"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9"/>
      <c r="Q11" s="1797">
        <f t="shared" si="6"/>
        <v>111</v>
      </c>
      <c r="R11" s="769" t="s">
        <v>17</v>
      </c>
      <c r="S11" s="770">
        <f t="shared" si="0"/>
        <v>100</v>
      </c>
      <c r="T11" s="769" t="s">
        <v>17</v>
      </c>
      <c r="U11" s="770">
        <f t="shared" si="1"/>
        <v>100</v>
      </c>
      <c r="V11" s="769" t="s">
        <v>17</v>
      </c>
      <c r="W11" s="770">
        <f t="shared" si="2"/>
        <v>100</v>
      </c>
      <c r="X11" s="771"/>
      <c r="Y11" s="3064"/>
      <c r="Z11" s="54">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85.5">
      <c r="A14" s="439" t="s">
        <v>2564</v>
      </c>
      <c r="B14" s="68" t="s">
        <v>2714</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46" t="s">
        <v>2565</v>
      </c>
      <c r="Q14" s="1812" t="str">
        <f t="shared" si="6"/>
        <v>交通便捷度</v>
      </c>
      <c r="R14" s="773" t="s">
        <v>17</v>
      </c>
      <c r="S14" s="774">
        <f t="shared" si="0"/>
        <v>100</v>
      </c>
      <c r="T14" s="773" t="s">
        <v>17</v>
      </c>
      <c r="U14" s="774">
        <f t="shared" si="1"/>
        <v>100</v>
      </c>
      <c r="V14" s="773" t="s">
        <v>17</v>
      </c>
      <c r="W14" s="774">
        <f t="shared" si="2"/>
        <v>100</v>
      </c>
      <c r="X14" s="1815"/>
      <c r="Y14" s="3246" t="s">
        <v>2565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47"/>
      <c r="Q15" s="1812"/>
      <c r="R15" s="773"/>
      <c r="S15" s="774"/>
      <c r="T15" s="773"/>
      <c r="U15" s="774"/>
      <c r="V15" s="773"/>
      <c r="W15" s="774"/>
      <c r="X15" s="1815"/>
      <c r="Y15" s="3247"/>
      <c r="Z15" s="1816"/>
      <c r="AA15" s="1813">
        <v>1</v>
      </c>
      <c r="AB15" s="1813">
        <v>1</v>
      </c>
      <c r="AC15" s="1813">
        <v>1</v>
      </c>
    </row>
    <row r="16" spans="1:29" ht="42.75">
      <c r="A16" s="427"/>
      <c r="B16" s="450" t="s">
        <v>2693</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47"/>
      <c r="Q16" s="1812" t="str">
        <f>B16</f>
        <v>公共配套设施</v>
      </c>
      <c r="R16" s="773" t="s">
        <v>17</v>
      </c>
      <c r="S16" s="774">
        <f>F16</f>
        <v>100</v>
      </c>
      <c r="T16" s="773" t="s">
        <v>17</v>
      </c>
      <c r="U16" s="774">
        <f>H16</f>
        <v>100</v>
      </c>
      <c r="V16" s="773" t="s">
        <v>17</v>
      </c>
      <c r="W16" s="774">
        <f>J16</f>
        <v>100</v>
      </c>
      <c r="X16" s="1815"/>
      <c r="Y16" s="3247"/>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247"/>
      <c r="Q17" s="1812"/>
      <c r="R17" s="773"/>
      <c r="S17" s="774"/>
      <c r="T17" s="773"/>
      <c r="U17" s="774"/>
      <c r="V17" s="773"/>
      <c r="W17" s="774"/>
      <c r="X17" s="1815"/>
      <c r="Y17" s="3247"/>
      <c r="Z17" s="1816"/>
      <c r="AA17" s="1813">
        <v>1</v>
      </c>
      <c r="AB17" s="1813">
        <v>1</v>
      </c>
      <c r="AC17" s="1813">
        <v>1</v>
      </c>
    </row>
    <row r="18" spans="1:29" ht="28.5">
      <c r="A18" s="427"/>
      <c r="B18" s="1386" t="s">
        <v>2694</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47"/>
      <c r="Q18" s="1812" t="str">
        <f>B18</f>
        <v>基础设施水平</v>
      </c>
      <c r="R18" s="773" t="s">
        <v>17</v>
      </c>
      <c r="S18" s="774">
        <f>F18</f>
        <v>100</v>
      </c>
      <c r="T18" s="773" t="s">
        <v>17</v>
      </c>
      <c r="U18" s="774">
        <f>H18</f>
        <v>100</v>
      </c>
      <c r="V18" s="773" t="s">
        <v>17</v>
      </c>
      <c r="W18" s="774">
        <f>J18</f>
        <v>100</v>
      </c>
      <c r="X18" s="1815"/>
      <c r="Y18" s="3247"/>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247"/>
      <c r="Q19" s="1812"/>
      <c r="R19" s="773"/>
      <c r="S19" s="774"/>
      <c r="T19" s="773"/>
      <c r="U19" s="774"/>
      <c r="V19" s="773"/>
      <c r="W19" s="774"/>
      <c r="X19" s="1815"/>
      <c r="Y19" s="3247"/>
      <c r="Z19" s="1816"/>
      <c r="AA19" s="1813">
        <v>1</v>
      </c>
      <c r="AB19" s="1813">
        <v>1</v>
      </c>
      <c r="AC19" s="1813">
        <v>1</v>
      </c>
    </row>
    <row r="20" spans="1:29" ht="57">
      <c r="A20" s="427"/>
      <c r="B20" s="450" t="s">
        <v>2715</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47"/>
      <c r="Q20" s="1812" t="str">
        <f>B20</f>
        <v>自然及人文环境</v>
      </c>
      <c r="R20" s="773" t="s">
        <v>17</v>
      </c>
      <c r="S20" s="774">
        <f>F20</f>
        <v>100</v>
      </c>
      <c r="T20" s="773" t="s">
        <v>17</v>
      </c>
      <c r="U20" s="774">
        <f>H20</f>
        <v>100</v>
      </c>
      <c r="V20" s="773" t="s">
        <v>17</v>
      </c>
      <c r="W20" s="774">
        <f>J20</f>
        <v>100</v>
      </c>
      <c r="X20" s="1815"/>
      <c r="Y20" s="324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47"/>
      <c r="Q21" s="1812"/>
      <c r="R21" s="773"/>
      <c r="S21" s="774"/>
      <c r="T21" s="773"/>
      <c r="U21" s="774"/>
      <c r="V21" s="773"/>
      <c r="W21" s="774"/>
      <c r="X21" s="1815"/>
      <c r="Y21" s="3247"/>
      <c r="Z21" s="1816"/>
      <c r="AA21" s="1813">
        <v>1</v>
      </c>
      <c r="AB21" s="1813">
        <v>1</v>
      </c>
      <c r="AC21" s="1813">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47"/>
      <c r="Q22" s="1812" t="str">
        <f>B22</f>
        <v>楼层</v>
      </c>
      <c r="R22" s="773" t="s">
        <v>17</v>
      </c>
      <c r="S22" s="774">
        <f>F22</f>
        <v>100</v>
      </c>
      <c r="T22" s="773" t="s">
        <v>17</v>
      </c>
      <c r="U22" s="774">
        <f>H22</f>
        <v>100</v>
      </c>
      <c r="V22" s="773" t="s">
        <v>17</v>
      </c>
      <c r="W22" s="774">
        <f>J22</f>
        <v>100</v>
      </c>
      <c r="X22" s="1815"/>
      <c r="Y22" s="3247"/>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47"/>
      <c r="Q23" s="1812">
        <f>B23</f>
        <v>111</v>
      </c>
      <c r="R23" s="773" t="s">
        <v>17</v>
      </c>
      <c r="S23" s="774">
        <f>F23</f>
        <v>100</v>
      </c>
      <c r="T23" s="773" t="s">
        <v>17</v>
      </c>
      <c r="U23" s="774">
        <f>H23</f>
        <v>100</v>
      </c>
      <c r="V23" s="773" t="s">
        <v>17</v>
      </c>
      <c r="W23" s="774">
        <f>J23</f>
        <v>100</v>
      </c>
      <c r="X23" s="1815"/>
      <c r="Y23" s="3247"/>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47"/>
      <c r="Q24" s="1812">
        <f t="shared" ref="Q24:Q34" si="11">B24</f>
        <v>111</v>
      </c>
      <c r="R24" s="773" t="s">
        <v>17</v>
      </c>
      <c r="S24" s="774">
        <f>F24</f>
        <v>100</v>
      </c>
      <c r="T24" s="773" t="s">
        <v>17</v>
      </c>
      <c r="U24" s="774">
        <f>H24</f>
        <v>100</v>
      </c>
      <c r="V24" s="773" t="s">
        <v>17</v>
      </c>
      <c r="W24" s="774">
        <f>J24</f>
        <v>100</v>
      </c>
      <c r="X24" s="1815"/>
      <c r="Y24" s="3247"/>
      <c r="Z24" s="1816">
        <f>Q24</f>
        <v>111</v>
      </c>
      <c r="AA24" s="1813">
        <f t="shared" si="3"/>
        <v>1</v>
      </c>
      <c r="AB24" s="1813">
        <f t="shared" si="4"/>
        <v>1</v>
      </c>
      <c r="AC24" s="1813">
        <f t="shared" si="5"/>
        <v>1</v>
      </c>
    </row>
    <row r="25" spans="1:29" s="116" customFormat="1" ht="15.75" thickBot="1">
      <c r="A25" s="430"/>
      <c r="B25" s="2605">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47"/>
      <c r="Q25" s="1797">
        <f t="shared" si="11"/>
        <v>111</v>
      </c>
      <c r="R25" s="769" t="s">
        <v>17</v>
      </c>
      <c r="S25" s="770">
        <f>F25</f>
        <v>100</v>
      </c>
      <c r="T25" s="769" t="s">
        <v>17</v>
      </c>
      <c r="U25" s="770">
        <f>H25</f>
        <v>100</v>
      </c>
      <c r="V25" s="769" t="s">
        <v>17</v>
      </c>
      <c r="W25" s="770">
        <f>J25</f>
        <v>100</v>
      </c>
      <c r="X25" s="771"/>
      <c r="Y25" s="3247"/>
      <c r="Z25" s="54">
        <f>Q25</f>
        <v>111</v>
      </c>
      <c r="AA25" s="1813">
        <f>D25/F25</f>
        <v>1</v>
      </c>
      <c r="AB25" s="1813">
        <f>D25/H25</f>
        <v>1</v>
      </c>
      <c r="AC25" s="1813">
        <f>D25/J25</f>
        <v>1</v>
      </c>
    </row>
    <row r="26" spans="1:29" ht="15">
      <c r="A26" s="465" t="s">
        <v>2568</v>
      </c>
      <c r="B26" s="70" t="s">
        <v>2719</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327" t="s">
        <v>2570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1" t="s">
        <v>2570</v>
      </c>
      <c r="Z26" s="1816" t="str">
        <f t="shared" ref="Z26:Z34" si="15">Q26</f>
        <v>公共部分装修</v>
      </c>
      <c r="AA26" s="1813">
        <f t="shared" si="3"/>
        <v>1</v>
      </c>
      <c r="AB26" s="1813">
        <f t="shared" si="4"/>
        <v>1</v>
      </c>
      <c r="AC26" s="1813">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51"/>
      <c r="Q27" s="775" t="str">
        <f t="shared" si="11"/>
        <v>成新率</v>
      </c>
      <c r="R27" s="776" t="s">
        <v>17</v>
      </c>
      <c r="S27" s="777" t="e">
        <f t="shared" si="12"/>
        <v>#N/A</v>
      </c>
      <c r="T27" s="776" t="s">
        <v>17</v>
      </c>
      <c r="U27" s="777" t="e">
        <f t="shared" si="13"/>
        <v>#N/A</v>
      </c>
      <c r="V27" s="776" t="s">
        <v>17</v>
      </c>
      <c r="W27" s="777" t="e">
        <f t="shared" si="14"/>
        <v>#N/A</v>
      </c>
      <c r="X27" s="778"/>
      <c r="Y27" s="3251"/>
      <c r="Z27" s="779" t="str">
        <f t="shared" si="15"/>
        <v>成新率</v>
      </c>
      <c r="AA27" s="1813" t="e">
        <f t="shared" si="3"/>
        <v>#N/A</v>
      </c>
      <c r="AB27" s="1813" t="e">
        <f t="shared" si="4"/>
        <v>#N/A</v>
      </c>
      <c r="AC27" s="1813"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51"/>
      <c r="Q28" s="1812" t="str">
        <f t="shared" si="11"/>
        <v>物业等级</v>
      </c>
      <c r="R28" s="773" t="s">
        <v>17</v>
      </c>
      <c r="S28" s="774">
        <f t="shared" si="12"/>
        <v>100</v>
      </c>
      <c r="T28" s="773" t="s">
        <v>17</v>
      </c>
      <c r="U28" s="774">
        <f t="shared" si="13"/>
        <v>100</v>
      </c>
      <c r="V28" s="773" t="s">
        <v>17</v>
      </c>
      <c r="W28" s="774">
        <f t="shared" si="14"/>
        <v>100</v>
      </c>
      <c r="X28" s="1815"/>
      <c r="Y28" s="3251"/>
      <c r="Z28" s="1816" t="str">
        <f t="shared" si="15"/>
        <v>物业等级</v>
      </c>
      <c r="AA28" s="1813">
        <f t="shared" si="3"/>
        <v>1</v>
      </c>
      <c r="AB28" s="1813">
        <f t="shared" si="4"/>
        <v>1</v>
      </c>
      <c r="AC28" s="1813">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51"/>
      <c r="Q29" s="1812" t="str">
        <f t="shared" si="11"/>
        <v>有无电梯</v>
      </c>
      <c r="R29" s="773" t="s">
        <v>17</v>
      </c>
      <c r="S29" s="774">
        <f t="shared" si="12"/>
        <v>100</v>
      </c>
      <c r="T29" s="773" t="s">
        <v>17</v>
      </c>
      <c r="U29" s="774">
        <f t="shared" si="13"/>
        <v>100</v>
      </c>
      <c r="V29" s="773" t="s">
        <v>17</v>
      </c>
      <c r="W29" s="774">
        <f t="shared" si="14"/>
        <v>100</v>
      </c>
      <c r="X29" s="1815"/>
      <c r="Y29" s="3251"/>
      <c r="Z29" s="1816" t="str">
        <f t="shared" si="15"/>
        <v>有无电梯</v>
      </c>
      <c r="AA29" s="1813">
        <f t="shared" si="3"/>
        <v>1</v>
      </c>
      <c r="AB29" s="1813">
        <f t="shared" si="4"/>
        <v>1</v>
      </c>
      <c r="AC29" s="1813">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51"/>
      <c r="Q30" s="1812" t="str">
        <f t="shared" si="11"/>
        <v>建筑面积</v>
      </c>
      <c r="R30" s="773" t="s">
        <v>17</v>
      </c>
      <c r="S30" s="774" t="e">
        <f t="shared" si="12"/>
        <v>#N/A</v>
      </c>
      <c r="T30" s="773" t="s">
        <v>17</v>
      </c>
      <c r="U30" s="774" t="e">
        <f t="shared" si="13"/>
        <v>#N/A</v>
      </c>
      <c r="V30" s="773" t="s">
        <v>17</v>
      </c>
      <c r="W30" s="774" t="e">
        <f t="shared" si="14"/>
        <v>#N/A</v>
      </c>
      <c r="X30" s="1815"/>
      <c r="Y30" s="3251"/>
      <c r="Z30" s="1816" t="str">
        <f t="shared" si="15"/>
        <v>建筑面积</v>
      </c>
      <c r="AA30" s="1813" t="e">
        <f t="shared" si="3"/>
        <v>#N/A</v>
      </c>
      <c r="AB30" s="1813" t="e">
        <f t="shared" si="4"/>
        <v>#N/A</v>
      </c>
      <c r="AC30" s="1813"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51"/>
      <c r="Q31" s="1797" t="str">
        <f t="shared" si="11"/>
        <v>是否封闭</v>
      </c>
      <c r="R31" s="769" t="s">
        <v>17</v>
      </c>
      <c r="S31" s="770">
        <f t="shared" si="12"/>
        <v>100</v>
      </c>
      <c r="T31" s="769" t="s">
        <v>17</v>
      </c>
      <c r="U31" s="770">
        <f t="shared" si="13"/>
        <v>100</v>
      </c>
      <c r="V31" s="769" t="s">
        <v>17</v>
      </c>
      <c r="W31" s="770">
        <f t="shared" si="14"/>
        <v>100</v>
      </c>
      <c r="X31" s="771"/>
      <c r="Y31" s="3251"/>
      <c r="Z31" s="54"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51" t="s">
        <v>2570</v>
      </c>
      <c r="Q32" s="1812">
        <f t="shared" si="11"/>
        <v>111</v>
      </c>
      <c r="R32" s="773" t="s">
        <v>17</v>
      </c>
      <c r="S32" s="774">
        <f t="shared" si="12"/>
        <v>100</v>
      </c>
      <c r="T32" s="773" t="s">
        <v>17</v>
      </c>
      <c r="U32" s="774">
        <f t="shared" si="13"/>
        <v>100</v>
      </c>
      <c r="V32" s="773" t="s">
        <v>17</v>
      </c>
      <c r="W32" s="774">
        <f t="shared" si="14"/>
        <v>100</v>
      </c>
      <c r="X32" s="1815"/>
      <c r="Y32" s="3251" t="s">
        <v>2570</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51"/>
      <c r="Q33" s="1812">
        <f t="shared" si="11"/>
        <v>111</v>
      </c>
      <c r="R33" s="773" t="s">
        <v>17</v>
      </c>
      <c r="S33" s="774">
        <f t="shared" si="12"/>
        <v>100</v>
      </c>
      <c r="T33" s="773" t="s">
        <v>17</v>
      </c>
      <c r="U33" s="774">
        <f t="shared" si="13"/>
        <v>100</v>
      </c>
      <c r="V33" s="773" t="s">
        <v>17</v>
      </c>
      <c r="W33" s="774">
        <f t="shared" si="14"/>
        <v>100</v>
      </c>
      <c r="X33" s="1815"/>
      <c r="Y33" s="3251"/>
      <c r="Z33" s="1816">
        <f t="shared" si="15"/>
        <v>111</v>
      </c>
      <c r="AA33" s="1813">
        <f t="shared" si="3"/>
        <v>1</v>
      </c>
      <c r="AB33" s="1813">
        <f t="shared" si="4"/>
        <v>1</v>
      </c>
      <c r="AC33" s="1813">
        <f t="shared" si="5"/>
        <v>1</v>
      </c>
    </row>
    <row r="34" spans="1:29" ht="15.75" thickBot="1">
      <c r="A34" s="477"/>
      <c r="B34" s="2607">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51"/>
      <c r="Q34" s="1812">
        <f t="shared" si="11"/>
        <v>111</v>
      </c>
      <c r="R34" s="773" t="s">
        <v>17</v>
      </c>
      <c r="S34" s="774">
        <f t="shared" si="12"/>
        <v>100</v>
      </c>
      <c r="T34" s="773" t="s">
        <v>17</v>
      </c>
      <c r="U34" s="774">
        <f t="shared" si="13"/>
        <v>100</v>
      </c>
      <c r="V34" s="773" t="s">
        <v>17</v>
      </c>
      <c r="W34" s="774">
        <f t="shared" si="14"/>
        <v>100</v>
      </c>
      <c r="X34" s="1815"/>
      <c r="Y34" s="3251"/>
      <c r="Z34" s="1816">
        <f t="shared" si="15"/>
        <v>111</v>
      </c>
      <c r="AA34" s="1813">
        <f t="shared" si="3"/>
        <v>1</v>
      </c>
      <c r="AB34" s="1813">
        <f t="shared" si="4"/>
        <v>1</v>
      </c>
      <c r="AC34" s="1813">
        <f t="shared" si="5"/>
        <v>1</v>
      </c>
    </row>
    <row r="35" spans="1:29" ht="15">
      <c r="A35" s="478" t="s">
        <v>2582</v>
      </c>
      <c r="B35" s="479"/>
      <c r="C35" s="1409" t="s">
        <v>1</v>
      </c>
      <c r="D35" s="1410"/>
      <c r="E35" s="1411"/>
      <c r="F35" s="1412"/>
      <c r="G35" s="1413"/>
      <c r="H35" s="1414"/>
      <c r="I35" s="1411"/>
      <c r="J35" s="1414"/>
      <c r="K35" s="782"/>
      <c r="L35" s="1145"/>
      <c r="M35" s="1146"/>
      <c r="N35" s="1133"/>
      <c r="O35" s="1146"/>
      <c r="P35" s="3239" t="str">
        <f>A35</f>
        <v>成交单价（元/平方米）</v>
      </c>
      <c r="Q35" s="3239"/>
      <c r="R35" s="3240">
        <f>E35</f>
        <v>0</v>
      </c>
      <c r="S35" s="3240"/>
      <c r="T35" s="3240">
        <f>G35</f>
        <v>0</v>
      </c>
      <c r="U35" s="3240"/>
      <c r="V35" s="3240">
        <f>I35</f>
        <v>0</v>
      </c>
      <c r="W35" s="3240"/>
      <c r="X35" s="758"/>
      <c r="Y35" s="780"/>
      <c r="Z35" s="758"/>
      <c r="AA35" s="758"/>
      <c r="AB35" s="758"/>
      <c r="AC35" s="758"/>
    </row>
    <row r="36" spans="1:29" ht="15.75" thickBot="1">
      <c r="A36" s="485" t="s">
        <v>2674</v>
      </c>
      <c r="B36" s="486"/>
      <c r="C36" s="1415" t="e">
        <f>R37</f>
        <v>#DIV/0!</v>
      </c>
      <c r="D36" s="1416"/>
      <c r="E36" s="1417" t="e">
        <f>R36</f>
        <v>#DIV/0!</v>
      </c>
      <c r="F36" s="1417"/>
      <c r="G36" s="1415" t="e">
        <f>T36</f>
        <v>#DIV/0!</v>
      </c>
      <c r="H36" s="1416"/>
      <c r="I36" s="1417" t="e">
        <f>V36</f>
        <v>#DIV/0!</v>
      </c>
      <c r="J36" s="1416"/>
      <c r="K36" s="783"/>
      <c r="L36" s="1145"/>
      <c r="M36" s="1146"/>
      <c r="N36" s="1133"/>
      <c r="O36" s="1146"/>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8"/>
      <c r="Y36" s="758"/>
      <c r="Z36" s="758"/>
      <c r="AA36" s="758"/>
      <c r="AB36" s="758"/>
      <c r="AC36" s="758"/>
    </row>
    <row r="37" spans="1:29" ht="15.75" thickBot="1">
      <c r="A37" s="491" t="s">
        <v>2675</v>
      </c>
      <c r="B37" s="492"/>
      <c r="C37" s="1419" t="e">
        <f>R37</f>
        <v>#DIV/0!</v>
      </c>
      <c r="D37" s="1419"/>
      <c r="E37" s="1419"/>
      <c r="F37" s="1419"/>
      <c r="G37" s="1419"/>
      <c r="H37" s="1419"/>
      <c r="I37" s="1419"/>
      <c r="J37" s="1419"/>
      <c r="K37" s="784"/>
      <c r="L37" s="1145"/>
      <c r="M37" s="1146"/>
      <c r="N37" s="1146"/>
      <c r="O37" s="1146"/>
      <c r="P37" s="3313" t="str">
        <f>A37</f>
        <v>估价对象XX用房的比较价值（楼面单价，元/平方米）</v>
      </c>
      <c r="Q37" s="3314"/>
      <c r="R37" s="3315" t="e">
        <f>IF(F1="售价",ROUND(AVERAGE(R36:V36),0),ROUND(AVERAGE(R36:V36),1))</f>
        <v>#DIV/0!</v>
      </c>
      <c r="S37" s="3315"/>
      <c r="T37" s="3315"/>
      <c r="U37" s="3315"/>
      <c r="V37" s="3315"/>
      <c r="W37" s="331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2593</v>
      </c>
      <c r="B51" s="527" t="s">
        <v>2559</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2694</v>
      </c>
      <c r="C65" s="659" t="s">
        <v>2680</v>
      </c>
      <c r="D65" s="659" t="s">
        <v>2681</v>
      </c>
      <c r="E65" s="659" t="s">
        <v>2682</v>
      </c>
      <c r="F65" s="659" t="s">
        <v>2683</v>
      </c>
      <c r="G65" s="659" t="s">
        <v>2684</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2734</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2568</v>
      </c>
      <c r="B77" s="527" t="s">
        <v>2621</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2738</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2746</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87" t="s">
        <v>2653</v>
      </c>
      <c r="AC4" s="3316" t="s">
        <v>2654</v>
      </c>
    </row>
    <row r="5" spans="1:30"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87"/>
      <c r="AC5" s="3287"/>
    </row>
    <row r="6" spans="1:30" ht="15.75" thickBot="1">
      <c r="A6" s="405"/>
      <c r="B6" s="406"/>
      <c r="C6" s="3284" t="s">
        <v>2551</v>
      </c>
      <c r="D6" s="3285"/>
      <c r="E6" s="3323" t="s">
        <v>2551</v>
      </c>
      <c r="F6" s="3324"/>
      <c r="G6" s="3284" t="s">
        <v>2551</v>
      </c>
      <c r="H6" s="3285"/>
      <c r="I6" s="3284" t="s">
        <v>2551</v>
      </c>
      <c r="J6" s="3285"/>
      <c r="K6" s="609" t="s">
        <v>2552</v>
      </c>
      <c r="L6" s="1132"/>
      <c r="M6" s="1133"/>
      <c r="N6" s="1133"/>
      <c r="O6" s="1133"/>
      <c r="P6" s="3320"/>
      <c r="Q6" s="3265"/>
      <c r="R6" s="3268"/>
      <c r="S6" s="3269"/>
      <c r="T6" s="3270"/>
      <c r="U6" s="3271"/>
      <c r="V6" s="3273"/>
      <c r="W6" s="3273"/>
      <c r="X6" s="1815"/>
      <c r="Y6" s="3270"/>
      <c r="Z6" s="3271"/>
      <c r="AA6" s="3288"/>
      <c r="AB6" s="3288"/>
      <c r="AC6" s="3288"/>
    </row>
    <row r="7" spans="1:30" s="116" customFormat="1" ht="15.75" thickBot="1">
      <c r="A7" s="407" t="s">
        <v>2553</v>
      </c>
      <c r="B7" s="408"/>
      <c r="C7" s="409">
        <f>'数据-取费表'!B2</f>
        <v>43214</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80" t="s">
        <v>2554</v>
      </c>
      <c r="Q7" s="3281"/>
      <c r="R7" s="769" t="s">
        <v>17</v>
      </c>
      <c r="S7" s="770">
        <f t="shared" ref="S7:S15" si="0">F7</f>
        <v>0</v>
      </c>
      <c r="T7" s="769" t="s">
        <v>17</v>
      </c>
      <c r="U7" s="770">
        <f t="shared" ref="U7:U15" si="1">H7</f>
        <v>0</v>
      </c>
      <c r="V7" s="769" t="s">
        <v>17</v>
      </c>
      <c r="W7" s="770">
        <f t="shared" ref="W7:W15" si="2">J7</f>
        <v>0</v>
      </c>
      <c r="X7" s="771"/>
      <c r="Y7" s="3280" t="s">
        <v>2554</v>
      </c>
      <c r="Z7" s="3279"/>
      <c r="AA7" s="772" t="e">
        <f>D7/F7</f>
        <v>#DIV/0!</v>
      </c>
      <c r="AB7" s="772" t="e">
        <f>D7/H7</f>
        <v>#DIV/0!</v>
      </c>
      <c r="AC7" s="772"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45" si="3">D8/F8</f>
        <v>#DIV/0!</v>
      </c>
      <c r="AB8" s="772" t="e">
        <f t="shared" ref="AB8:AB45" si="4">D8/H8</f>
        <v>#DIV/0!</v>
      </c>
      <c r="AC8" s="772" t="e">
        <f t="shared" ref="AC8:AC45" si="5">D8/J8</f>
        <v>#DIV/0!</v>
      </c>
    </row>
    <row r="9" spans="1:30" s="116" customFormat="1">
      <c r="A9" s="414" t="s">
        <v>2558</v>
      </c>
      <c r="B9" s="70" t="s">
        <v>2559</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239"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39"/>
      <c r="Q10" s="1797" t="str">
        <f t="shared" si="6"/>
        <v>土地使用年限（年）</v>
      </c>
      <c r="R10" s="769" t="s">
        <v>17</v>
      </c>
      <c r="S10" s="770">
        <f t="shared" si="0"/>
        <v>106</v>
      </c>
      <c r="T10" s="769" t="s">
        <v>17</v>
      </c>
      <c r="U10" s="770">
        <f t="shared" si="1"/>
        <v>106</v>
      </c>
      <c r="V10" s="769" t="s">
        <v>17</v>
      </c>
      <c r="W10" s="770">
        <f t="shared" si="2"/>
        <v>106</v>
      </c>
      <c r="X10" s="771"/>
      <c r="Y10" s="3064"/>
      <c r="Z10" s="54" t="str">
        <f t="shared" si="7"/>
        <v>土地使用年限（年）</v>
      </c>
      <c r="AA10" s="772">
        <f t="shared" si="3"/>
        <v>0.94339622641509435</v>
      </c>
      <c r="AB10" s="772">
        <f t="shared" si="4"/>
        <v>0.94339622641509435</v>
      </c>
      <c r="AC10" s="772">
        <f t="shared" si="5"/>
        <v>0.94339622641509435</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30" s="116" customFormat="1" ht="15">
      <c r="A12" s="430"/>
      <c r="B12" s="2605" t="s">
        <v>2752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9"/>
      <c r="Q12" s="1797" t="str">
        <f t="shared" si="6"/>
        <v>配建</v>
      </c>
      <c r="R12" s="769" t="s">
        <v>17</v>
      </c>
      <c r="S12" s="770">
        <f t="shared" si="0"/>
        <v>100</v>
      </c>
      <c r="T12" s="769" t="s">
        <v>17</v>
      </c>
      <c r="U12" s="770">
        <f t="shared" si="1"/>
        <v>100</v>
      </c>
      <c r="V12" s="769" t="s">
        <v>17</v>
      </c>
      <c r="W12" s="770">
        <f t="shared" si="2"/>
        <v>100</v>
      </c>
      <c r="X12" s="771"/>
      <c r="Y12" s="3064"/>
      <c r="Z12" s="54"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D14/F14</f>
        <v>1</v>
      </c>
      <c r="AB14" s="772">
        <f>D14/H14</f>
        <v>1</v>
      </c>
      <c r="AC14" s="772">
        <f>D14/J14</f>
        <v>1</v>
      </c>
    </row>
    <row r="15" spans="1:30" ht="99.75">
      <c r="A15" s="439" t="s">
        <v>2564</v>
      </c>
      <c r="B15" s="68"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46" t="s">
        <v>2565</v>
      </c>
      <c r="Q15" s="1812" t="str">
        <f t="shared" si="6"/>
        <v>居住社区成熟度</v>
      </c>
      <c r="R15" s="773" t="s">
        <v>17</v>
      </c>
      <c r="S15" s="774">
        <f t="shared" si="0"/>
        <v>100</v>
      </c>
      <c r="T15" s="773" t="s">
        <v>17</v>
      </c>
      <c r="U15" s="774">
        <f t="shared" si="1"/>
        <v>100</v>
      </c>
      <c r="V15" s="773" t="s">
        <v>17</v>
      </c>
      <c r="W15" s="774">
        <f t="shared" si="2"/>
        <v>100</v>
      </c>
      <c r="X15" s="1815"/>
      <c r="Y15" s="3246" t="s">
        <v>2565</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247"/>
      <c r="Q16" s="1812"/>
      <c r="R16" s="773"/>
      <c r="S16" s="774"/>
      <c r="T16" s="773"/>
      <c r="U16" s="774"/>
      <c r="V16" s="773"/>
      <c r="W16" s="774"/>
      <c r="X16" s="1815"/>
      <c r="Y16" s="3247"/>
      <c r="Z16" s="1816"/>
      <c r="AA16" s="1813">
        <v>1</v>
      </c>
      <c r="AB16" s="1813">
        <v>1</v>
      </c>
      <c r="AC16" s="1813">
        <v>1</v>
      </c>
    </row>
    <row r="17" spans="1:29" ht="71.25">
      <c r="A17" s="427"/>
      <c r="B17" s="450" t="s">
        <v>2658</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47"/>
      <c r="Q17" s="1812" t="str">
        <f>B17</f>
        <v>商业繁华度</v>
      </c>
      <c r="R17" s="773" t="s">
        <v>17</v>
      </c>
      <c r="S17" s="774">
        <f>F17</f>
        <v>100</v>
      </c>
      <c r="T17" s="773" t="s">
        <v>17</v>
      </c>
      <c r="U17" s="774">
        <f>H17</f>
        <v>100</v>
      </c>
      <c r="V17" s="773" t="s">
        <v>17</v>
      </c>
      <c r="W17" s="774">
        <f>J17</f>
        <v>100</v>
      </c>
      <c r="X17" s="1815"/>
      <c r="Y17" s="3247"/>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247"/>
      <c r="Q18" s="1812"/>
      <c r="R18" s="773"/>
      <c r="S18" s="774"/>
      <c r="T18" s="773"/>
      <c r="U18" s="774"/>
      <c r="V18" s="773"/>
      <c r="W18" s="774"/>
      <c r="X18" s="1815"/>
      <c r="Y18" s="3247"/>
      <c r="Z18" s="1816"/>
      <c r="AA18" s="1813">
        <v>1</v>
      </c>
      <c r="AB18" s="1813">
        <v>1</v>
      </c>
      <c r="AC18" s="1813">
        <v>1</v>
      </c>
    </row>
    <row r="19" spans="1:29" ht="71.25">
      <c r="A19" s="427"/>
      <c r="B19" s="450" t="s">
        <v>2692</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47"/>
      <c r="Q19" s="1812" t="str">
        <f>B19</f>
        <v>办公集聚程度</v>
      </c>
      <c r="R19" s="773" t="s">
        <v>17</v>
      </c>
      <c r="S19" s="774">
        <f>F19</f>
        <v>100</v>
      </c>
      <c r="T19" s="773" t="s">
        <v>17</v>
      </c>
      <c r="U19" s="774">
        <f>H19</f>
        <v>100</v>
      </c>
      <c r="V19" s="773" t="s">
        <v>17</v>
      </c>
      <c r="W19" s="774">
        <f>J19</f>
        <v>100</v>
      </c>
      <c r="X19" s="1815"/>
      <c r="Y19" s="3247"/>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247"/>
      <c r="Q20" s="1812"/>
      <c r="R20" s="773"/>
      <c r="S20" s="774"/>
      <c r="T20" s="773"/>
      <c r="U20" s="774"/>
      <c r="V20" s="773"/>
      <c r="W20" s="774"/>
      <c r="X20" s="1815"/>
      <c r="Y20" s="3247"/>
      <c r="Z20" s="1816"/>
      <c r="AA20" s="1813">
        <v>1</v>
      </c>
      <c r="AB20" s="1813">
        <v>1</v>
      </c>
      <c r="AC20" s="1813">
        <v>1</v>
      </c>
    </row>
    <row r="21" spans="1:29" ht="85.5">
      <c r="A21" s="427"/>
      <c r="B21" s="450" t="s">
        <v>2714</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47"/>
      <c r="Q21" s="1812" t="str">
        <f>B21</f>
        <v>交通便捷度</v>
      </c>
      <c r="R21" s="773" t="s">
        <v>17</v>
      </c>
      <c r="S21" s="774">
        <f>F21</f>
        <v>100</v>
      </c>
      <c r="T21" s="773" t="s">
        <v>17</v>
      </c>
      <c r="U21" s="774">
        <f>H21</f>
        <v>100</v>
      </c>
      <c r="V21" s="773" t="s">
        <v>17</v>
      </c>
      <c r="W21" s="774">
        <f>J21</f>
        <v>100</v>
      </c>
      <c r="X21" s="1815"/>
      <c r="Y21" s="3247"/>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247"/>
      <c r="Q22" s="1812"/>
      <c r="R22" s="773"/>
      <c r="S22" s="774"/>
      <c r="T22" s="773"/>
      <c r="U22" s="774"/>
      <c r="V22" s="773"/>
      <c r="W22" s="774"/>
      <c r="X22" s="1815"/>
      <c r="Y22" s="3247"/>
      <c r="Z22" s="1816"/>
      <c r="AA22" s="1813">
        <v>1</v>
      </c>
      <c r="AB22" s="1813">
        <v>1</v>
      </c>
      <c r="AC22" s="1813">
        <v>1</v>
      </c>
    </row>
    <row r="23" spans="1:29" ht="15">
      <c r="A23" s="403"/>
      <c r="B23" s="450" t="s">
        <v>2753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47"/>
      <c r="Q23" s="1812" t="str">
        <f t="shared" ref="Q23:Q37" si="8">B23</f>
        <v>区域土地利用方向</v>
      </c>
      <c r="R23" s="773" t="s">
        <v>17</v>
      </c>
      <c r="S23" s="774">
        <f>F23</f>
        <v>100</v>
      </c>
      <c r="T23" s="773" t="s">
        <v>17</v>
      </c>
      <c r="U23" s="774">
        <f>H23</f>
        <v>100</v>
      </c>
      <c r="V23" s="773" t="s">
        <v>17</v>
      </c>
      <c r="W23" s="774">
        <f>J23</f>
        <v>100</v>
      </c>
      <c r="X23" s="1815"/>
      <c r="Y23" s="3247"/>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247"/>
      <c r="Q24" s="1812"/>
      <c r="R24" s="773"/>
      <c r="S24" s="774"/>
      <c r="T24" s="773"/>
      <c r="U24" s="774"/>
      <c r="V24" s="773"/>
      <c r="W24" s="774"/>
      <c r="X24" s="1815"/>
      <c r="Y24" s="3247"/>
      <c r="Z24" s="1816"/>
      <c r="AA24" s="1813"/>
      <c r="AB24" s="1813"/>
      <c r="AC24" s="1813"/>
    </row>
    <row r="25" spans="1:29" ht="57">
      <c r="A25" s="403"/>
      <c r="B25" s="1386" t="s">
        <v>2754</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47"/>
      <c r="Q25" s="1812" t="str">
        <f t="shared" si="8"/>
        <v>自然及人文环境状况</v>
      </c>
      <c r="R25" s="773" t="s">
        <v>17</v>
      </c>
      <c r="S25" s="774">
        <f>F25</f>
        <v>100</v>
      </c>
      <c r="T25" s="773" t="s">
        <v>17</v>
      </c>
      <c r="U25" s="774">
        <f>H25</f>
        <v>100</v>
      </c>
      <c r="V25" s="773" t="s">
        <v>17</v>
      </c>
      <c r="W25" s="774">
        <f>J25</f>
        <v>100</v>
      </c>
      <c r="X25" s="1815"/>
      <c r="Y25" s="3247"/>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247"/>
      <c r="Q26" s="1812"/>
      <c r="R26" s="773"/>
      <c r="S26" s="774"/>
      <c r="T26" s="773"/>
      <c r="U26" s="774"/>
      <c r="V26" s="773"/>
      <c r="W26" s="774"/>
      <c r="X26" s="1815"/>
      <c r="Y26" s="3247"/>
      <c r="Z26" s="1816"/>
      <c r="AA26" s="1813">
        <v>1</v>
      </c>
      <c r="AB26" s="1813">
        <v>1</v>
      </c>
      <c r="AC26" s="1813">
        <v>1</v>
      </c>
    </row>
    <row r="27" spans="1:29" s="116" customFormat="1" ht="42.75">
      <c r="A27" s="648"/>
      <c r="B27" s="1386" t="s">
        <v>2659</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47"/>
      <c r="Q27" s="1797" t="str">
        <f t="shared" si="8"/>
        <v>公共配套设施</v>
      </c>
      <c r="R27" s="769" t="s">
        <v>17</v>
      </c>
      <c r="S27" s="770">
        <f>F27</f>
        <v>100</v>
      </c>
      <c r="T27" s="769" t="s">
        <v>17</v>
      </c>
      <c r="U27" s="770">
        <f>H27</f>
        <v>100</v>
      </c>
      <c r="V27" s="769" t="s">
        <v>17</v>
      </c>
      <c r="W27" s="770">
        <f>J27</f>
        <v>100</v>
      </c>
      <c r="X27" s="771"/>
      <c r="Y27" s="3247"/>
      <c r="Z27" s="54" t="str">
        <f>Q27</f>
        <v>公共配套设施</v>
      </c>
      <c r="AA27" s="1813">
        <f>D27/F27</f>
        <v>1</v>
      </c>
      <c r="AB27" s="1813">
        <f>D27/H27</f>
        <v>1</v>
      </c>
      <c r="AC27" s="1813">
        <f>D27/J27</f>
        <v>1</v>
      </c>
    </row>
    <row r="28" spans="1:29" s="116" customFormat="1" ht="15">
      <c r="A28" s="648"/>
      <c r="B28" s="455"/>
      <c r="C28" s="2704"/>
      <c r="D28" s="447"/>
      <c r="E28" s="2616"/>
      <c r="F28" s="447"/>
      <c r="G28" s="2616"/>
      <c r="H28" s="447"/>
      <c r="I28" s="446"/>
      <c r="J28" s="447"/>
      <c r="K28" s="671"/>
      <c r="L28" s="1134"/>
      <c r="M28" s="1135"/>
      <c r="N28" s="1135"/>
      <c r="O28" s="1136"/>
      <c r="P28" s="3247"/>
      <c r="Q28" s="1797"/>
      <c r="R28" s="769"/>
      <c r="S28" s="770"/>
      <c r="T28" s="769"/>
      <c r="U28" s="770"/>
      <c r="V28" s="769"/>
      <c r="W28" s="770"/>
      <c r="X28" s="771"/>
      <c r="Y28" s="3247"/>
      <c r="Z28" s="54"/>
      <c r="AA28" s="1813">
        <v>1</v>
      </c>
      <c r="AB28" s="1813">
        <v>1</v>
      </c>
      <c r="AC28" s="1813">
        <v>1</v>
      </c>
    </row>
    <row r="29" spans="1:29" s="116" customFormat="1" ht="28.5">
      <c r="A29" s="648"/>
      <c r="B29" s="1386" t="s">
        <v>2660</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47"/>
      <c r="Q29" s="1797" t="str">
        <f t="shared" ref="Q29" si="9">B29</f>
        <v>基础设施水平</v>
      </c>
      <c r="R29" s="769" t="s">
        <v>17</v>
      </c>
      <c r="S29" s="770">
        <f>F29</f>
        <v>100</v>
      </c>
      <c r="T29" s="769" t="s">
        <v>17</v>
      </c>
      <c r="U29" s="770">
        <f>H29</f>
        <v>100</v>
      </c>
      <c r="V29" s="769" t="s">
        <v>17</v>
      </c>
      <c r="W29" s="770">
        <f>J29</f>
        <v>100</v>
      </c>
      <c r="X29" s="771"/>
      <c r="Y29" s="3247"/>
      <c r="Z29" s="54" t="str">
        <f>Q29</f>
        <v>基础设施水平</v>
      </c>
      <c r="AA29" s="1813">
        <f>D29/F29</f>
        <v>1</v>
      </c>
      <c r="AB29" s="1813">
        <f>D29/H29</f>
        <v>1</v>
      </c>
      <c r="AC29" s="1813">
        <f>D29/J29</f>
        <v>1</v>
      </c>
    </row>
    <row r="30" spans="1:29" s="116" customFormat="1" ht="15">
      <c r="A30" s="648"/>
      <c r="B30" s="455"/>
      <c r="C30" s="2704"/>
      <c r="D30" s="447"/>
      <c r="E30" s="2705"/>
      <c r="F30" s="447"/>
      <c r="G30" s="2705"/>
      <c r="H30" s="447"/>
      <c r="I30" s="2705"/>
      <c r="J30" s="447"/>
      <c r="K30" s="671"/>
      <c r="L30" s="1134"/>
      <c r="M30" s="1135"/>
      <c r="N30" s="1135"/>
      <c r="O30" s="1136"/>
      <c r="P30" s="3247"/>
      <c r="Q30" s="1797"/>
      <c r="R30" s="769"/>
      <c r="S30" s="770"/>
      <c r="T30" s="769"/>
      <c r="U30" s="770"/>
      <c r="V30" s="769"/>
      <c r="W30" s="770"/>
      <c r="X30" s="771"/>
      <c r="Y30" s="3247"/>
      <c r="Z30" s="54"/>
      <c r="AA30" s="1813">
        <v>1</v>
      </c>
      <c r="AB30" s="1813">
        <v>1</v>
      </c>
      <c r="AC30" s="1813">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4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7"/>
      <c r="Z31" s="1816" t="str">
        <f t="shared" ref="Z31:Z45" si="13">Q31</f>
        <v>临街状况</v>
      </c>
      <c r="AA31" s="1813">
        <f t="shared" si="3"/>
        <v>1</v>
      </c>
      <c r="AB31" s="1813">
        <f t="shared" si="4"/>
        <v>1</v>
      </c>
      <c r="AC31" s="1813">
        <f t="shared" si="5"/>
        <v>1</v>
      </c>
    </row>
    <row r="32" spans="1:29" ht="27">
      <c r="A32" s="427"/>
      <c r="B32" s="1386"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47"/>
      <c r="Q32" s="1812" t="str">
        <f t="shared" si="8"/>
        <v>毗邻道路的类型与等级</v>
      </c>
      <c r="R32" s="773" t="s">
        <v>17</v>
      </c>
      <c r="S32" s="774">
        <f t="shared" si="10"/>
        <v>100</v>
      </c>
      <c r="T32" s="773" t="s">
        <v>17</v>
      </c>
      <c r="U32" s="774">
        <f t="shared" si="11"/>
        <v>100</v>
      </c>
      <c r="V32" s="773" t="s">
        <v>17</v>
      </c>
      <c r="W32" s="774">
        <f t="shared" si="12"/>
        <v>100</v>
      </c>
      <c r="X32" s="1815"/>
      <c r="Y32" s="3247"/>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247"/>
      <c r="Q33" s="1812"/>
      <c r="R33" s="773"/>
      <c r="S33" s="774"/>
      <c r="T33" s="773"/>
      <c r="U33" s="774"/>
      <c r="V33" s="773"/>
      <c r="W33" s="774"/>
      <c r="X33" s="1815"/>
      <c r="Y33" s="3247"/>
      <c r="Z33" s="1816"/>
      <c r="AA33" s="1813">
        <v>1</v>
      </c>
      <c r="AB33" s="1813">
        <v>1</v>
      </c>
      <c r="AC33" s="1813">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47"/>
      <c r="Q34" s="1812" t="str">
        <f t="shared" si="8"/>
        <v>土地级别</v>
      </c>
      <c r="R34" s="773" t="s">
        <v>17</v>
      </c>
      <c r="S34" s="774">
        <f t="shared" si="10"/>
        <v>100</v>
      </c>
      <c r="T34" s="773" t="s">
        <v>17</v>
      </c>
      <c r="U34" s="774">
        <f t="shared" si="11"/>
        <v>100</v>
      </c>
      <c r="V34" s="773" t="s">
        <v>17</v>
      </c>
      <c r="W34" s="774">
        <f t="shared" si="12"/>
        <v>100</v>
      </c>
      <c r="X34" s="1815"/>
      <c r="Y34" s="324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47"/>
      <c r="Q35" s="1812">
        <f t="shared" si="8"/>
        <v>111</v>
      </c>
      <c r="R35" s="773" t="s">
        <v>17</v>
      </c>
      <c r="S35" s="774">
        <f t="shared" si="10"/>
        <v>100</v>
      </c>
      <c r="T35" s="773" t="s">
        <v>17</v>
      </c>
      <c r="U35" s="774">
        <f t="shared" si="11"/>
        <v>100</v>
      </c>
      <c r="V35" s="773" t="s">
        <v>17</v>
      </c>
      <c r="W35" s="774">
        <f t="shared" si="12"/>
        <v>100</v>
      </c>
      <c r="X35" s="1815"/>
      <c r="Y35" s="324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27" t="s">
        <v>2570</v>
      </c>
      <c r="Q36" s="1812">
        <f t="shared" si="8"/>
        <v>111</v>
      </c>
      <c r="R36" s="773" t="s">
        <v>17</v>
      </c>
      <c r="S36" s="774">
        <f t="shared" si="10"/>
        <v>100</v>
      </c>
      <c r="T36" s="773" t="s">
        <v>17</v>
      </c>
      <c r="U36" s="774">
        <f t="shared" si="11"/>
        <v>100</v>
      </c>
      <c r="V36" s="773" t="s">
        <v>17</v>
      </c>
      <c r="W36" s="774">
        <f t="shared" si="12"/>
        <v>100</v>
      </c>
      <c r="X36" s="1815"/>
      <c r="Y36" s="3251" t="s">
        <v>2570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51"/>
      <c r="Q37" s="1812">
        <f t="shared" si="8"/>
        <v>111</v>
      </c>
      <c r="R37" s="776" t="s">
        <v>17</v>
      </c>
      <c r="S37" s="777">
        <f t="shared" si="10"/>
        <v>100</v>
      </c>
      <c r="T37" s="776" t="s">
        <v>17</v>
      </c>
      <c r="U37" s="777">
        <f t="shared" si="11"/>
        <v>100</v>
      </c>
      <c r="V37" s="776" t="s">
        <v>17</v>
      </c>
      <c r="W37" s="777">
        <f t="shared" si="12"/>
        <v>100</v>
      </c>
      <c r="X37" s="778"/>
      <c r="Y37" s="3251"/>
      <c r="Z37" s="779">
        <f t="shared" si="13"/>
        <v>111</v>
      </c>
      <c r="AA37" s="1813">
        <f t="shared" si="3"/>
        <v>1</v>
      </c>
      <c r="AB37" s="1813">
        <f t="shared" si="4"/>
        <v>1</v>
      </c>
      <c r="AC37" s="1813">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51"/>
      <c r="Q38" s="1812" t="str">
        <f>B38</f>
        <v>宗地面积</v>
      </c>
      <c r="R38" s="773" t="s">
        <v>17</v>
      </c>
      <c r="S38" s="774" t="e">
        <f t="shared" si="10"/>
        <v>#N/A</v>
      </c>
      <c r="T38" s="773" t="s">
        <v>17</v>
      </c>
      <c r="U38" s="774" t="e">
        <f t="shared" si="11"/>
        <v>#N/A</v>
      </c>
      <c r="V38" s="773" t="s">
        <v>17</v>
      </c>
      <c r="W38" s="774" t="e">
        <f t="shared" si="12"/>
        <v>#N/A</v>
      </c>
      <c r="X38" s="1815"/>
      <c r="Y38" s="3251"/>
      <c r="Z38" s="1816" t="str">
        <f t="shared" si="13"/>
        <v>宗地面积</v>
      </c>
      <c r="AA38" s="1813" t="e">
        <f t="shared" si="3"/>
        <v>#N/A</v>
      </c>
      <c r="AB38" s="1813" t="e">
        <f t="shared" si="4"/>
        <v>#N/A</v>
      </c>
      <c r="AC38" s="1813" t="e">
        <f t="shared" si="5"/>
        <v>#N/A</v>
      </c>
    </row>
    <row r="39" spans="1:29" ht="15">
      <c r="A39" s="471"/>
      <c r="B39" s="421" t="s">
        <v>2757</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251"/>
      <c r="Q39" s="1812" t="str">
        <f t="shared" ref="Q39:Q45" si="14">B39</f>
        <v>宗地形状</v>
      </c>
      <c r="R39" s="773" t="s">
        <v>17</v>
      </c>
      <c r="S39" s="774">
        <f t="shared" si="10"/>
        <v>100</v>
      </c>
      <c r="T39" s="773" t="s">
        <v>17</v>
      </c>
      <c r="U39" s="774">
        <f t="shared" si="11"/>
        <v>100</v>
      </c>
      <c r="V39" s="773" t="s">
        <v>17</v>
      </c>
      <c r="W39" s="774">
        <f t="shared" si="12"/>
        <v>100</v>
      </c>
      <c r="X39" s="1815"/>
      <c r="Y39" s="3251"/>
      <c r="Z39" s="1816" t="str">
        <f t="shared" si="13"/>
        <v>宗地形状</v>
      </c>
      <c r="AA39" s="1813">
        <f t="shared" si="3"/>
        <v>1</v>
      </c>
      <c r="AB39" s="1813">
        <f t="shared" si="4"/>
        <v>1</v>
      </c>
      <c r="AC39" s="1813">
        <f t="shared" si="5"/>
        <v>1</v>
      </c>
    </row>
    <row r="40" spans="1:29" ht="15">
      <c r="A40" s="471"/>
      <c r="B40" s="421" t="s">
        <v>2758</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51"/>
      <c r="Q40" s="1812" t="str">
        <f t="shared" si="14"/>
        <v>临街宽度及深度</v>
      </c>
      <c r="R40" s="773" t="s">
        <v>17</v>
      </c>
      <c r="S40" s="774">
        <f t="shared" si="10"/>
        <v>100</v>
      </c>
      <c r="T40" s="773" t="s">
        <v>17</v>
      </c>
      <c r="U40" s="774">
        <f t="shared" si="11"/>
        <v>100</v>
      </c>
      <c r="V40" s="773" t="s">
        <v>17</v>
      </c>
      <c r="W40" s="774">
        <f t="shared" si="12"/>
        <v>100</v>
      </c>
      <c r="X40" s="1815"/>
      <c r="Y40" s="3251"/>
      <c r="Z40" s="1816" t="str">
        <f t="shared" si="13"/>
        <v>临街宽度及深度</v>
      </c>
      <c r="AA40" s="1813">
        <f t="shared" si="3"/>
        <v>1</v>
      </c>
      <c r="AB40" s="1813">
        <f t="shared" si="4"/>
        <v>1</v>
      </c>
      <c r="AC40" s="1813">
        <f t="shared" si="5"/>
        <v>1</v>
      </c>
    </row>
    <row r="41" spans="1:29" s="116" customFormat="1" ht="15">
      <c r="A41" s="472"/>
      <c r="B41" s="421" t="s">
        <v>2759</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51"/>
      <c r="Q41" s="1812" t="str">
        <f t="shared" si="14"/>
        <v>宗地开发程度</v>
      </c>
      <c r="R41" s="769" t="s">
        <v>17</v>
      </c>
      <c r="S41" s="770">
        <f t="shared" si="10"/>
        <v>100</v>
      </c>
      <c r="T41" s="769" t="s">
        <v>17</v>
      </c>
      <c r="U41" s="770">
        <f t="shared" si="11"/>
        <v>100</v>
      </c>
      <c r="V41" s="769" t="s">
        <v>17</v>
      </c>
      <c r="W41" s="770">
        <f t="shared" si="12"/>
        <v>100</v>
      </c>
      <c r="X41" s="771"/>
      <c r="Y41" s="3251"/>
      <c r="Z41" s="54" t="str">
        <f t="shared" si="13"/>
        <v>宗地开发程度</v>
      </c>
      <c r="AA41" s="772">
        <f t="shared" si="3"/>
        <v>1</v>
      </c>
      <c r="AB41" s="772">
        <f t="shared" si="4"/>
        <v>1</v>
      </c>
      <c r="AC41" s="772">
        <f t="shared" si="5"/>
        <v>1</v>
      </c>
    </row>
    <row r="42" spans="1:29" ht="15">
      <c r="A42" s="471"/>
      <c r="B42" s="421" t="s">
        <v>2760</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51" t="s">
        <v>2570</v>
      </c>
      <c r="Q42" s="1812" t="str">
        <f t="shared" si="14"/>
        <v>工程地质条件</v>
      </c>
      <c r="R42" s="773" t="s">
        <v>17</v>
      </c>
      <c r="S42" s="774">
        <f t="shared" si="10"/>
        <v>100</v>
      </c>
      <c r="T42" s="773" t="s">
        <v>17</v>
      </c>
      <c r="U42" s="774">
        <f t="shared" si="11"/>
        <v>100</v>
      </c>
      <c r="V42" s="773" t="s">
        <v>17</v>
      </c>
      <c r="W42" s="774">
        <f t="shared" si="12"/>
        <v>100</v>
      </c>
      <c r="X42" s="1815"/>
      <c r="Y42" s="3251" t="s">
        <v>2570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51"/>
      <c r="Q43" s="1812">
        <f t="shared" si="14"/>
        <v>111</v>
      </c>
      <c r="R43" s="773" t="s">
        <v>17</v>
      </c>
      <c r="S43" s="774">
        <f t="shared" si="10"/>
        <v>100</v>
      </c>
      <c r="T43" s="773" t="s">
        <v>17</v>
      </c>
      <c r="U43" s="774">
        <f t="shared" si="11"/>
        <v>100</v>
      </c>
      <c r="V43" s="773" t="s">
        <v>17</v>
      </c>
      <c r="W43" s="774">
        <f t="shared" si="12"/>
        <v>100</v>
      </c>
      <c r="X43" s="1815"/>
      <c r="Y43" s="325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51"/>
      <c r="Q44" s="1812">
        <f t="shared" si="14"/>
        <v>111</v>
      </c>
      <c r="R44" s="773" t="s">
        <v>17</v>
      </c>
      <c r="S44" s="774">
        <f t="shared" si="10"/>
        <v>100</v>
      </c>
      <c r="T44" s="773" t="s">
        <v>17</v>
      </c>
      <c r="U44" s="774">
        <f t="shared" si="11"/>
        <v>100</v>
      </c>
      <c r="V44" s="773" t="s">
        <v>17</v>
      </c>
      <c r="W44" s="774">
        <f t="shared" si="12"/>
        <v>100</v>
      </c>
      <c r="X44" s="1815"/>
      <c r="Y44" s="3251"/>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51"/>
      <c r="Q45" s="1812">
        <f t="shared" si="14"/>
        <v>111</v>
      </c>
      <c r="R45" s="776" t="s">
        <v>17</v>
      </c>
      <c r="S45" s="777">
        <f t="shared" si="10"/>
        <v>100</v>
      </c>
      <c r="T45" s="776" t="s">
        <v>17</v>
      </c>
      <c r="U45" s="777">
        <f t="shared" si="11"/>
        <v>100</v>
      </c>
      <c r="V45" s="776" t="s">
        <v>17</v>
      </c>
      <c r="W45" s="777">
        <f t="shared" si="12"/>
        <v>100</v>
      </c>
      <c r="X45" s="778"/>
      <c r="Y45" s="3251"/>
      <c r="Z45" s="779">
        <f t="shared" si="13"/>
        <v>111</v>
      </c>
      <c r="AA45" s="1813">
        <f t="shared" si="3"/>
        <v>1</v>
      </c>
      <c r="AB45" s="1813">
        <f t="shared" si="4"/>
        <v>1</v>
      </c>
      <c r="AC45" s="1813">
        <f t="shared" si="5"/>
        <v>1</v>
      </c>
    </row>
    <row r="46" spans="1:29" ht="15">
      <c r="A46" s="478" t="s">
        <v>2725</v>
      </c>
      <c r="B46" s="2708" t="s">
        <v>2761</v>
      </c>
      <c r="C46" s="681" t="s">
        <v>1</v>
      </c>
      <c r="D46" s="480"/>
      <c r="E46" s="481"/>
      <c r="F46" s="482"/>
      <c r="G46" s="483"/>
      <c r="H46" s="484"/>
      <c r="I46" s="481"/>
      <c r="J46" s="484"/>
      <c r="K46" s="782"/>
      <c r="L46" s="1145"/>
      <c r="M46" s="1146"/>
      <c r="N46" s="1133"/>
      <c r="O46" s="1146"/>
      <c r="P46" s="3239" t="str">
        <f>A46</f>
        <v>成交单价</v>
      </c>
      <c r="Q46" s="3239"/>
      <c r="R46" s="3273">
        <f>E46</f>
        <v>0</v>
      </c>
      <c r="S46" s="3273"/>
      <c r="T46" s="3273">
        <f>G46</f>
        <v>0</v>
      </c>
      <c r="U46" s="3273"/>
      <c r="V46" s="3273">
        <f>I46</f>
        <v>0</v>
      </c>
      <c r="W46" s="3273"/>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5"/>
      <c r="M47" s="1146"/>
      <c r="N47" s="1146"/>
      <c r="O47" s="1146"/>
      <c r="P47" s="3239" t="str">
        <f>A47</f>
        <v>比较价值（元/平方米）</v>
      </c>
      <c r="Q47" s="3239"/>
      <c r="R47" s="3328" t="e">
        <f>ROUND(PRODUCT(R46,AA7:AA45),0)</f>
        <v>#DIV/0!</v>
      </c>
      <c r="S47" s="3328"/>
      <c r="T47" s="3328" t="e">
        <f>ROUND(PRODUCT(T46,AB7:AB45),0)</f>
        <v>#DIV/0!</v>
      </c>
      <c r="U47" s="3328"/>
      <c r="V47" s="3328" t="e">
        <f>ROUND(PRODUCT(V46,AC7:AC45),0)</f>
        <v>#DIV/0!</v>
      </c>
      <c r="W47" s="3328"/>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5"/>
      <c r="M48" s="1146"/>
      <c r="N48" s="1146"/>
      <c r="O48" s="1146"/>
      <c r="P48" s="3313" t="str">
        <f>A48</f>
        <v>估价对象XX用房的比较价值（楼面单价，元/平方米）</v>
      </c>
      <c r="Q48" s="3314"/>
      <c r="R48" s="3329" t="e">
        <f>ROUND(AVERAGE(R47:V47),0)</f>
        <v>#DIV/0!</v>
      </c>
      <c r="S48" s="3329"/>
      <c r="T48" s="3329"/>
      <c r="U48" s="3329"/>
      <c r="V48" s="3329"/>
      <c r="W48" s="332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2763</v>
      </c>
      <c r="B55" s="684" t="s">
        <v>2764</v>
      </c>
      <c r="C55" s="2709" t="s">
        <v>2765</v>
      </c>
      <c r="D55" s="2710" t="s">
        <v>2766</v>
      </c>
      <c r="E55" s="685" t="s">
        <v>2767</v>
      </c>
      <c r="F55" s="1109" t="s">
        <v>2768</v>
      </c>
      <c r="G55" s="3256" t="s">
        <v>2769</v>
      </c>
      <c r="H55" s="3330"/>
      <c r="I55" s="143" t="s">
        <v>2770</v>
      </c>
      <c r="J55" s="2711">
        <f>项目基本情况!F35</f>
        <v>0</v>
      </c>
      <c r="K55" s="2712" t="s">
        <v>2771</v>
      </c>
      <c r="L55" s="1108"/>
      <c r="M55" s="1146"/>
      <c r="N55" s="1146"/>
      <c r="O55" s="1146"/>
    </row>
    <row r="56" spans="1:15" s="691" customFormat="1">
      <c r="A56" s="687" t="s">
        <v>2772</v>
      </c>
      <c r="B56" s="688" t="e">
        <f>C48</f>
        <v>#DIV/0!</v>
      </c>
      <c r="C56" s="689">
        <v>1</v>
      </c>
      <c r="D56" s="1165">
        <v>1</v>
      </c>
      <c r="E56" s="689">
        <f>'数据-汇总表'!E8+'数据-汇总表'!E9</f>
        <v>16960.349999999999</v>
      </c>
      <c r="F56" s="1105" t="e">
        <f t="shared" ref="F56:F65" si="15">ROUND(B56*E56/10000,0)</f>
        <v>#DIV/0!</v>
      </c>
      <c r="G56" s="3238"/>
      <c r="H56" s="3239"/>
      <c r="I56" s="1110">
        <v>1</v>
      </c>
      <c r="J56" s="1113">
        <v>1</v>
      </c>
      <c r="K56" s="1147"/>
      <c r="L56" s="943"/>
      <c r="M56" s="943"/>
      <c r="N56" s="943"/>
      <c r="O56" s="943"/>
    </row>
    <row r="57" spans="1:15" s="691" customFormat="1">
      <c r="A57" s="692" t="s">
        <v>2773</v>
      </c>
      <c r="B57" s="261" t="e">
        <f>ROUND($C$48*C57*D57,0)</f>
        <v>#DIV/0!</v>
      </c>
      <c r="C57" s="199">
        <f t="shared" ref="C57:C65" si="16">IF($C$55="北京市系数",I57,J57)</f>
        <v>0</v>
      </c>
      <c r="D57" s="1166">
        <v>0.25</v>
      </c>
      <c r="E57" s="693"/>
      <c r="F57" s="1105" t="e">
        <f t="shared" si="15"/>
        <v>#DIV/0!</v>
      </c>
      <c r="G57" s="3331" t="s">
        <v>2774</v>
      </c>
      <c r="H57" s="1106">
        <f>项目基本情况!B37</f>
        <v>0</v>
      </c>
      <c r="I57" s="1110">
        <f>SUMIF(修正!A45:A56,H57,修正!B45:B56)</f>
        <v>0</v>
      </c>
      <c r="J57" s="1114"/>
      <c r="K57" s="1146"/>
      <c r="L57" s="943"/>
      <c r="M57" s="943"/>
      <c r="N57" s="943"/>
      <c r="O57" s="943"/>
    </row>
    <row r="58" spans="1:15" s="691" customFormat="1">
      <c r="A58" s="692" t="s">
        <v>2775</v>
      </c>
      <c r="B58" s="261" t="e">
        <f t="shared" ref="B58:B65" si="17">ROUND($C$48*C58*D58,0)</f>
        <v>#DIV/0!</v>
      </c>
      <c r="C58" s="199">
        <f t="shared" si="16"/>
        <v>0</v>
      </c>
      <c r="D58" s="1166">
        <v>0.25</v>
      </c>
      <c r="E58" s="693"/>
      <c r="F58" s="1105" t="e">
        <f t="shared" si="15"/>
        <v>#DIV/0!</v>
      </c>
      <c r="G58" s="3331"/>
      <c r="H58" s="1106">
        <f>项目基本情况!B37</f>
        <v>0</v>
      </c>
      <c r="I58" s="1110">
        <f>SUMIF(修正!A45:A56,H58,修正!C45:C56)</f>
        <v>0</v>
      </c>
      <c r="J58" s="1114"/>
      <c r="K58" s="1147"/>
      <c r="L58" s="943"/>
      <c r="M58" s="943"/>
      <c r="N58" s="943"/>
      <c r="O58" s="943"/>
    </row>
    <row r="59" spans="1:15" s="691" customFormat="1">
      <c r="A59" s="692" t="s">
        <v>2776</v>
      </c>
      <c r="B59" s="261" t="e">
        <f t="shared" si="17"/>
        <v>#DIV/0!</v>
      </c>
      <c r="C59" s="199">
        <f t="shared" si="16"/>
        <v>0</v>
      </c>
      <c r="D59" s="1166">
        <v>0.25</v>
      </c>
      <c r="E59" s="693"/>
      <c r="F59" s="1105" t="e">
        <f t="shared" si="15"/>
        <v>#DIV/0!</v>
      </c>
      <c r="G59" s="3331"/>
      <c r="H59" s="1106">
        <f>项目基本情况!B37</f>
        <v>0</v>
      </c>
      <c r="I59" s="1110">
        <f>SUMIF(修正!A45:A56,H59,修正!D45:D56)</f>
        <v>0</v>
      </c>
      <c r="J59" s="1114"/>
      <c r="K59" s="1146"/>
      <c r="L59" s="943"/>
      <c r="M59" s="943"/>
      <c r="N59" s="943"/>
      <c r="O59" s="943"/>
    </row>
    <row r="60" spans="1:15" s="691" customFormat="1">
      <c r="A60" s="692" t="s">
        <v>2777</v>
      </c>
      <c r="B60" s="261" t="e">
        <f t="shared" si="17"/>
        <v>#DIV/0!</v>
      </c>
      <c r="C60" s="199">
        <f t="shared" si="16"/>
        <v>0</v>
      </c>
      <c r="D60" s="1166">
        <v>0.25</v>
      </c>
      <c r="E60" s="693"/>
      <c r="F60" s="1105" t="e">
        <f t="shared" si="15"/>
        <v>#DIV/0!</v>
      </c>
      <c r="G60" s="3331"/>
      <c r="H60" s="1106">
        <f>项目基本情况!B37</f>
        <v>0</v>
      </c>
      <c r="I60" s="1110">
        <f>SUMIF(修正!A45:A56,H60,修正!E45:E56)</f>
        <v>0</v>
      </c>
      <c r="J60" s="1114"/>
      <c r="K60" s="1147"/>
      <c r="L60" s="943"/>
      <c r="M60" s="943"/>
      <c r="N60" s="943"/>
      <c r="O60" s="943"/>
    </row>
    <row r="61" spans="1:15" s="691" customFormat="1">
      <c r="A61" s="692" t="s">
        <v>2778</v>
      </c>
      <c r="B61" s="261" t="e">
        <f t="shared" si="17"/>
        <v>#DIV/0!</v>
      </c>
      <c r="C61" s="199">
        <f t="shared" si="16"/>
        <v>0</v>
      </c>
      <c r="D61" s="1166">
        <v>0.25</v>
      </c>
      <c r="E61" s="260">
        <f>'数据-汇总表'!E11</f>
        <v>0</v>
      </c>
      <c r="F61" s="1105" t="e">
        <f t="shared" si="15"/>
        <v>#DIV/0!</v>
      </c>
      <c r="G61" s="2713" t="s">
        <v>2779</v>
      </c>
      <c r="H61" s="1106">
        <f>项目基本情况!C37</f>
        <v>0</v>
      </c>
      <c r="I61" s="1110">
        <f>SUMIF(修正!A45:A56,H61,修正!F45:F56)</f>
        <v>0</v>
      </c>
      <c r="J61" s="1114"/>
      <c r="K61" s="1146"/>
      <c r="L61" s="943"/>
      <c r="M61" s="943"/>
      <c r="N61" s="943"/>
      <c r="O61" s="943"/>
    </row>
    <row r="62" spans="1:15" s="691" customFormat="1">
      <c r="A62" s="692" t="s">
        <v>2780</v>
      </c>
      <c r="B62" s="261" t="e">
        <f t="shared" si="17"/>
        <v>#DIV/0!</v>
      </c>
      <c r="C62" s="199">
        <f t="shared" si="16"/>
        <v>0</v>
      </c>
      <c r="D62" s="1166">
        <v>0.25</v>
      </c>
      <c r="E62" s="260">
        <f>'数据-汇总表'!E12</f>
        <v>0</v>
      </c>
      <c r="F62" s="1105" t="e">
        <f t="shared" si="15"/>
        <v>#DIV/0!</v>
      </c>
      <c r="G62" s="1111" t="s">
        <v>2781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2782</v>
      </c>
      <c r="B63" s="261" t="e">
        <f t="shared" si="17"/>
        <v>#DIV/0!</v>
      </c>
      <c r="C63" s="199">
        <f t="shared" si="16"/>
        <v>0</v>
      </c>
      <c r="D63" s="1166">
        <v>0.25</v>
      </c>
      <c r="E63" s="260">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2784</v>
      </c>
      <c r="B64" s="261" t="e">
        <f t="shared" si="17"/>
        <v>#DIV/0!</v>
      </c>
      <c r="C64" s="199">
        <f t="shared" si="16"/>
        <v>0</v>
      </c>
      <c r="D64" s="1166">
        <v>0.25</v>
      </c>
      <c r="E64" s="260">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1" customFormat="1" ht="15" thickBot="1">
      <c r="A65" s="692" t="s">
        <v>2785</v>
      </c>
      <c r="B65" s="261" t="e">
        <f t="shared" si="17"/>
        <v>#DIV/0!</v>
      </c>
      <c r="C65" s="199">
        <f t="shared" si="16"/>
        <v>0</v>
      </c>
      <c r="D65" s="1166">
        <v>0.25</v>
      </c>
      <c r="E65" s="260">
        <f>'数据-汇总表'!E15</f>
        <v>0</v>
      </c>
      <c r="F65" s="1105" t="e">
        <f t="shared" si="15"/>
        <v>#DIV/0!</v>
      </c>
      <c r="G65" s="2714" t="s">
        <v>2779</v>
      </c>
      <c r="H65" s="1116">
        <f>项目基本情况!C37</f>
        <v>0</v>
      </c>
      <c r="I65" s="1112">
        <f>SUMIF(修正!A45:A56,H65,修正!H45:H56)</f>
        <v>0</v>
      </c>
      <c r="J65" s="1115"/>
      <c r="K65" s="1146"/>
      <c r="L65" s="943"/>
      <c r="M65" s="943"/>
      <c r="N65" s="943"/>
      <c r="O65" s="943"/>
    </row>
    <row r="66" spans="1:17" s="691" customFormat="1" ht="13.5" thickBot="1">
      <c r="A66" s="694" t="s">
        <v>2786</v>
      </c>
      <c r="B66" s="695" t="s">
        <v>28</v>
      </c>
      <c r="C66" s="695" t="s">
        <v>29</v>
      </c>
      <c r="D66" s="695" t="s">
        <v>1029</v>
      </c>
      <c r="E66" s="695">
        <f>IF(B46="楼面地价",SUM(E56:E65),'数据-汇总表'!D3)</f>
        <v>16960.349999999999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2679</v>
      </c>
      <c r="B69" s="758"/>
      <c r="C69" s="763"/>
      <c r="D69" s="763"/>
      <c r="E69" s="763"/>
      <c r="F69" s="764"/>
      <c r="G69" s="764"/>
      <c r="H69" s="763"/>
      <c r="I69" s="763"/>
      <c r="J69" s="1161"/>
      <c r="K69" s="1162"/>
      <c r="L69" s="1163"/>
      <c r="M69" s="1161"/>
      <c r="N69" s="1161"/>
      <c r="O69" s="1161"/>
      <c r="P69" s="502"/>
      <c r="Q69" s="503"/>
    </row>
    <row r="70" spans="1:17" s="507" customFormat="1" ht="15">
      <c r="A70" s="2715" t="s">
        <v>2787</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6" customFormat="1" ht="30" customHeight="1">
      <c r="A71" s="2716"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2590</v>
      </c>
      <c r="B72" s="515"/>
      <c r="C72" s="516"/>
      <c r="D72" s="517"/>
      <c r="E72" s="517"/>
      <c r="F72" s="517"/>
      <c r="G72" s="517"/>
      <c r="H72" s="517"/>
      <c r="I72" s="517"/>
      <c r="J72" s="517"/>
      <c r="K72" s="517"/>
      <c r="L72" s="517"/>
      <c r="M72" s="518"/>
      <c r="N72" s="517"/>
      <c r="O72" s="1164"/>
      <c r="P72" s="503"/>
      <c r="Q72" s="503"/>
    </row>
    <row r="73" spans="1:17" s="116" customFormat="1" ht="15">
      <c r="A73" s="520" t="s">
        <v>2555</v>
      </c>
      <c r="B73" s="509"/>
      <c r="C73" s="521" t="s">
        <v>2657</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2593</v>
      </c>
      <c r="B75" s="527" t="s">
        <v>2559</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2562</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2696</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2755</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2797</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2798</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2800</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2650</v>
      </c>
      <c r="B4" s="401"/>
      <c r="C4" s="3256" t="s">
        <v>2651</v>
      </c>
      <c r="D4" s="3257"/>
      <c r="E4" s="3258" t="s">
        <v>2652</v>
      </c>
      <c r="F4" s="3259"/>
      <c r="G4" s="3256" t="s">
        <v>2653</v>
      </c>
      <c r="H4" s="3257"/>
      <c r="I4" s="3256" t="s">
        <v>2654</v>
      </c>
      <c r="J4" s="3257"/>
      <c r="K4" s="609" t="s">
        <v>2655</v>
      </c>
      <c r="L4" s="1132"/>
      <c r="M4" s="1133"/>
      <c r="N4" s="1133"/>
      <c r="O4" s="1133"/>
      <c r="P4" s="3317" t="s">
        <v>2656</v>
      </c>
      <c r="Q4" s="3318"/>
      <c r="R4" s="3321" t="s">
        <v>2652</v>
      </c>
      <c r="S4" s="3322"/>
      <c r="T4" s="3321" t="s">
        <v>2653</v>
      </c>
      <c r="U4" s="3322"/>
      <c r="V4" s="3273" t="s">
        <v>2654</v>
      </c>
      <c r="W4" s="3273"/>
      <c r="X4" s="1815"/>
      <c r="Y4" s="3321" t="s">
        <v>2656</v>
      </c>
      <c r="Z4" s="3322"/>
      <c r="AA4" s="3316" t="s">
        <v>2652</v>
      </c>
      <c r="AB4" s="3287" t="s">
        <v>2653</v>
      </c>
      <c r="AC4" s="3316" t="s">
        <v>2654</v>
      </c>
    </row>
    <row r="5" spans="1:29" ht="15">
      <c r="A5" s="403"/>
      <c r="B5" s="404"/>
      <c r="C5" s="3282" t="s">
        <v>2547</v>
      </c>
      <c r="D5" s="3283"/>
      <c r="E5" s="3325" t="s">
        <v>2548</v>
      </c>
      <c r="F5" s="3326"/>
      <c r="G5" s="3282" t="s">
        <v>2549</v>
      </c>
      <c r="H5" s="3283"/>
      <c r="I5" s="3282" t="s">
        <v>2550</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332" t="s">
        <v>2802</v>
      </c>
      <c r="D6" s="3333"/>
      <c r="E6" s="3334" t="s">
        <v>2802</v>
      </c>
      <c r="F6" s="3335"/>
      <c r="G6" s="3332" t="s">
        <v>2802</v>
      </c>
      <c r="H6" s="3333"/>
      <c r="I6" s="3332" t="s">
        <v>2802</v>
      </c>
      <c r="J6" s="3333"/>
      <c r="K6" s="609" t="s">
        <v>2552</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2553</v>
      </c>
      <c r="B7" s="408"/>
      <c r="C7" s="409">
        <f>'数据-取费表'!B2</f>
        <v>43214</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80" t="s">
        <v>2554</v>
      </c>
      <c r="Q7" s="3281"/>
      <c r="R7" s="769" t="s">
        <v>17</v>
      </c>
      <c r="S7" s="770">
        <f t="shared" ref="S7:S15" si="0">F7</f>
        <v>0</v>
      </c>
      <c r="T7" s="769" t="s">
        <v>17</v>
      </c>
      <c r="U7" s="770">
        <f t="shared" ref="U7:U15" si="1">H7</f>
        <v>0</v>
      </c>
      <c r="V7" s="769" t="s">
        <v>17</v>
      </c>
      <c r="W7" s="770">
        <f t="shared" ref="W7:W15" si="2">J7</f>
        <v>0</v>
      </c>
      <c r="X7" s="771"/>
      <c r="Y7" s="3280" t="s">
        <v>2554</v>
      </c>
      <c r="Z7" s="3279"/>
      <c r="AA7" s="772" t="e">
        <f>D7/F7</f>
        <v>#DIV/0!</v>
      </c>
      <c r="AB7" s="772" t="e">
        <f>D7/H7</f>
        <v>#DIV/0!</v>
      </c>
      <c r="AC7" s="772"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80" t="s">
        <v>2557</v>
      </c>
      <c r="Q8" s="3279"/>
      <c r="R8" s="769" t="s">
        <v>17</v>
      </c>
      <c r="S8" s="770">
        <f t="shared" si="0"/>
        <v>0</v>
      </c>
      <c r="T8" s="769" t="s">
        <v>17</v>
      </c>
      <c r="U8" s="770">
        <f t="shared" si="1"/>
        <v>0</v>
      </c>
      <c r="V8" s="769" t="s">
        <v>17</v>
      </c>
      <c r="W8" s="770">
        <f t="shared" si="2"/>
        <v>0</v>
      </c>
      <c r="X8" s="771"/>
      <c r="Y8" s="3280" t="s">
        <v>2557</v>
      </c>
      <c r="Z8" s="3279"/>
      <c r="AA8" s="772" t="e">
        <f t="shared" ref="AA8:AA40" si="3">D8/F8</f>
        <v>#DIV/0!</v>
      </c>
      <c r="AB8" s="772" t="e">
        <f t="shared" ref="AB8:AB40" si="4">D8/H8</f>
        <v>#DIV/0!</v>
      </c>
      <c r="AC8" s="772" t="e">
        <f t="shared" ref="AC8:AC40" si="5">D8/J8</f>
        <v>#DIV/0!</v>
      </c>
    </row>
    <row r="9" spans="1:29" s="116" customFormat="1">
      <c r="A9" s="414" t="s">
        <v>2558</v>
      </c>
      <c r="B9" s="70" t="s">
        <v>2559</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39" t="s">
        <v>2560</v>
      </c>
      <c r="Q9" s="1797" t="str">
        <f t="shared" ref="Q9:Q15" si="6">B9</f>
        <v>用途</v>
      </c>
      <c r="R9" s="769" t="s">
        <v>17</v>
      </c>
      <c r="S9" s="770">
        <f t="shared" si="0"/>
        <v>100</v>
      </c>
      <c r="T9" s="769" t="s">
        <v>17</v>
      </c>
      <c r="U9" s="770">
        <f t="shared" si="1"/>
        <v>100</v>
      </c>
      <c r="V9" s="769" t="s">
        <v>17</v>
      </c>
      <c r="W9" s="770">
        <f t="shared" si="2"/>
        <v>100</v>
      </c>
      <c r="X9" s="771"/>
      <c r="Y9" s="3064" t="s">
        <v>2561</v>
      </c>
      <c r="Z9" s="54"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39"/>
      <c r="Q10" s="1797" t="str">
        <f t="shared" si="6"/>
        <v>土地使用年限（年）</v>
      </c>
      <c r="R10" s="769" t="s">
        <v>17</v>
      </c>
      <c r="S10" s="770">
        <f t="shared" si="0"/>
        <v>106</v>
      </c>
      <c r="T10" s="769" t="s">
        <v>17</v>
      </c>
      <c r="U10" s="770">
        <f t="shared" si="1"/>
        <v>106</v>
      </c>
      <c r="V10" s="769" t="s">
        <v>17</v>
      </c>
      <c r="W10" s="770">
        <f t="shared" si="2"/>
        <v>106</v>
      </c>
      <c r="X10" s="771"/>
      <c r="Y10" s="3064"/>
      <c r="Z10" s="54" t="str">
        <f t="shared" si="7"/>
        <v>土地使用年限（年）</v>
      </c>
      <c r="AA10" s="772">
        <f t="shared" si="3"/>
        <v>0.94339622641509435</v>
      </c>
      <c r="AB10" s="772">
        <f t="shared" si="4"/>
        <v>0.94339622641509435</v>
      </c>
      <c r="AC10" s="772">
        <f t="shared" si="5"/>
        <v>0.94339622641509435</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57">
      <c r="A15" s="439" t="s">
        <v>2564</v>
      </c>
      <c r="B15" s="628" t="s">
        <v>2803</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46" t="s">
        <v>2565</v>
      </c>
      <c r="Q15" s="1812" t="str">
        <f t="shared" si="6"/>
        <v>产业集聚程度</v>
      </c>
      <c r="R15" s="773" t="s">
        <v>17</v>
      </c>
      <c r="S15" s="774">
        <f t="shared" si="0"/>
        <v>100</v>
      </c>
      <c r="T15" s="773" t="s">
        <v>17</v>
      </c>
      <c r="U15" s="774">
        <f t="shared" si="1"/>
        <v>100</v>
      </c>
      <c r="V15" s="773" t="s">
        <v>17</v>
      </c>
      <c r="W15" s="774">
        <f t="shared" si="2"/>
        <v>100</v>
      </c>
      <c r="X15" s="1815"/>
      <c r="Y15" s="3246" t="s">
        <v>2565</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247"/>
      <c r="Q16" s="1812"/>
      <c r="R16" s="773"/>
      <c r="S16" s="774"/>
      <c r="T16" s="773"/>
      <c r="U16" s="774"/>
      <c r="V16" s="773"/>
      <c r="W16" s="774"/>
      <c r="X16" s="1815"/>
      <c r="Y16" s="3247"/>
      <c r="Z16" s="1816"/>
      <c r="AA16" s="1813">
        <v>1</v>
      </c>
      <c r="AB16" s="1813">
        <v>1</v>
      </c>
      <c r="AC16" s="1813">
        <v>1</v>
      </c>
    </row>
    <row r="17" spans="1:29" ht="85.5">
      <c r="A17" s="427"/>
      <c r="B17" s="630" t="s">
        <v>2714</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47"/>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247"/>
      <c r="Q18" s="1812"/>
      <c r="R18" s="773"/>
      <c r="S18" s="774"/>
      <c r="T18" s="773"/>
      <c r="U18" s="774"/>
      <c r="V18" s="773"/>
      <c r="W18" s="774"/>
      <c r="X18" s="1815"/>
      <c r="Y18" s="3247"/>
      <c r="Z18" s="1816"/>
      <c r="AA18" s="1813">
        <v>1</v>
      </c>
      <c r="AB18" s="1813">
        <v>1</v>
      </c>
      <c r="AC18" s="1813">
        <v>1</v>
      </c>
    </row>
    <row r="19" spans="1:29" ht="15">
      <c r="A19" s="427"/>
      <c r="B19" s="630" t="s">
        <v>2753</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47"/>
      <c r="Q19" s="1812" t="str">
        <f t="shared" ref="Q19:Q33" si="8">B19</f>
        <v>区域土地利用方向</v>
      </c>
      <c r="R19" s="773" t="s">
        <v>17</v>
      </c>
      <c r="S19" s="774">
        <f>F19</f>
        <v>100</v>
      </c>
      <c r="T19" s="773" t="s">
        <v>17</v>
      </c>
      <c r="U19" s="774">
        <f>H19</f>
        <v>100</v>
      </c>
      <c r="V19" s="773" t="s">
        <v>17</v>
      </c>
      <c r="W19" s="774">
        <f>J19</f>
        <v>100</v>
      </c>
      <c r="X19" s="1815"/>
      <c r="Y19" s="3247"/>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247"/>
      <c r="Q20" s="1812"/>
      <c r="R20" s="773"/>
      <c r="S20" s="774"/>
      <c r="T20" s="773"/>
      <c r="U20" s="774"/>
      <c r="V20" s="773"/>
      <c r="W20" s="774"/>
      <c r="X20" s="1815"/>
      <c r="Y20" s="3247"/>
      <c r="Z20" s="1816"/>
      <c r="AA20" s="1813"/>
      <c r="AB20" s="1813"/>
      <c r="AC20" s="1813"/>
    </row>
    <row r="21" spans="1:29" ht="71.25">
      <c r="A21" s="403"/>
      <c r="B21" s="630" t="s">
        <v>2804</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47"/>
      <c r="Q21" s="1812" t="str">
        <f t="shared" si="8"/>
        <v>环境状况</v>
      </c>
      <c r="R21" s="773" t="s">
        <v>17</v>
      </c>
      <c r="S21" s="774">
        <f>F21</f>
        <v>100</v>
      </c>
      <c r="T21" s="773" t="s">
        <v>17</v>
      </c>
      <c r="U21" s="774">
        <f>H21</f>
        <v>100</v>
      </c>
      <c r="V21" s="773" t="s">
        <v>17</v>
      </c>
      <c r="W21" s="774">
        <f>J21</f>
        <v>100</v>
      </c>
      <c r="X21" s="1815"/>
      <c r="Y21" s="3247"/>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247"/>
      <c r="Q22" s="1812"/>
      <c r="R22" s="773"/>
      <c r="S22" s="774"/>
      <c r="T22" s="773"/>
      <c r="U22" s="774"/>
      <c r="V22" s="773"/>
      <c r="W22" s="774"/>
      <c r="X22" s="1815"/>
      <c r="Y22" s="3247"/>
      <c r="Z22" s="1816"/>
      <c r="AA22" s="1813">
        <v>1</v>
      </c>
      <c r="AB22" s="1813">
        <v>1</v>
      </c>
      <c r="AC22" s="1813">
        <v>1</v>
      </c>
    </row>
    <row r="23" spans="1:29" s="116" customFormat="1" ht="42.75">
      <c r="A23" s="648"/>
      <c r="B23" s="632" t="s">
        <v>2659</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47"/>
      <c r="Q23" s="1797" t="str">
        <f t="shared" si="8"/>
        <v>公共配套设施</v>
      </c>
      <c r="R23" s="769" t="s">
        <v>17</v>
      </c>
      <c r="S23" s="770">
        <f>F23</f>
        <v>100</v>
      </c>
      <c r="T23" s="769" t="s">
        <v>17</v>
      </c>
      <c r="U23" s="770">
        <f>H23</f>
        <v>100</v>
      </c>
      <c r="V23" s="769" t="s">
        <v>17</v>
      </c>
      <c r="W23" s="770">
        <f>J23</f>
        <v>100</v>
      </c>
      <c r="X23" s="771"/>
      <c r="Y23" s="3247"/>
      <c r="Z23" s="54" t="str">
        <f>Q23</f>
        <v>公共配套设施</v>
      </c>
      <c r="AA23" s="1813">
        <f>D23/F23</f>
        <v>1</v>
      </c>
      <c r="AB23" s="1813">
        <f>D23/H23</f>
        <v>1</v>
      </c>
      <c r="AC23" s="1813">
        <f>D23/J23</f>
        <v>1</v>
      </c>
    </row>
    <row r="24" spans="1:29" s="116" customFormat="1" ht="15">
      <c r="A24" s="648"/>
      <c r="B24" s="631"/>
      <c r="C24" s="2704"/>
      <c r="D24" s="447"/>
      <c r="E24" s="2616"/>
      <c r="F24" s="447"/>
      <c r="G24" s="2616"/>
      <c r="H24" s="447"/>
      <c r="I24" s="446"/>
      <c r="J24" s="447"/>
      <c r="K24" s="671"/>
      <c r="L24" s="1134"/>
      <c r="M24" s="1135"/>
      <c r="N24" s="1135"/>
      <c r="O24" s="1136"/>
      <c r="P24" s="3247"/>
      <c r="Q24" s="1797"/>
      <c r="R24" s="769"/>
      <c r="S24" s="770"/>
      <c r="T24" s="769"/>
      <c r="U24" s="770"/>
      <c r="V24" s="769"/>
      <c r="W24" s="770"/>
      <c r="X24" s="771"/>
      <c r="Y24" s="3247"/>
      <c r="Z24" s="54"/>
      <c r="AA24" s="772">
        <v>1</v>
      </c>
      <c r="AB24" s="772">
        <v>1</v>
      </c>
      <c r="AC24" s="772">
        <v>1</v>
      </c>
    </row>
    <row r="25" spans="1:29" s="116" customFormat="1" ht="28.5">
      <c r="A25" s="648"/>
      <c r="B25" s="632" t="s">
        <v>2660</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47"/>
      <c r="Q25" s="1797" t="str">
        <f t="shared" ref="Q25" si="9">B25</f>
        <v>基础设施水平</v>
      </c>
      <c r="R25" s="769" t="s">
        <v>17</v>
      </c>
      <c r="S25" s="770">
        <f>F25</f>
        <v>100</v>
      </c>
      <c r="T25" s="769" t="s">
        <v>17</v>
      </c>
      <c r="U25" s="770">
        <f>H25</f>
        <v>100</v>
      </c>
      <c r="V25" s="769" t="s">
        <v>17</v>
      </c>
      <c r="W25" s="770">
        <f>J25</f>
        <v>100</v>
      </c>
      <c r="X25" s="771"/>
      <c r="Y25" s="3247"/>
      <c r="Z25" s="54" t="str">
        <f>Q25</f>
        <v>基础设施水平</v>
      </c>
      <c r="AA25" s="1813">
        <f>D25/F25</f>
        <v>1</v>
      </c>
      <c r="AB25" s="1813">
        <f>D25/H25</f>
        <v>1</v>
      </c>
      <c r="AC25" s="1813">
        <f>D25/J25</f>
        <v>1</v>
      </c>
    </row>
    <row r="26" spans="1:29" s="116" customFormat="1" ht="15">
      <c r="A26" s="648"/>
      <c r="B26" s="631"/>
      <c r="C26" s="2704"/>
      <c r="D26" s="447"/>
      <c r="E26" s="2705"/>
      <c r="F26" s="447"/>
      <c r="G26" s="2705"/>
      <c r="H26" s="447"/>
      <c r="I26" s="2705"/>
      <c r="J26" s="447"/>
      <c r="K26" s="671"/>
      <c r="L26" s="1134"/>
      <c r="M26" s="1135"/>
      <c r="N26" s="1135"/>
      <c r="O26" s="1136"/>
      <c r="P26" s="3247"/>
      <c r="Q26" s="1797"/>
      <c r="R26" s="769"/>
      <c r="S26" s="770"/>
      <c r="T26" s="769"/>
      <c r="U26" s="770"/>
      <c r="V26" s="769"/>
      <c r="W26" s="770"/>
      <c r="X26" s="771"/>
      <c r="Y26" s="3247"/>
      <c r="Z26" s="54"/>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4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7"/>
      <c r="Z27" s="1816" t="str">
        <f t="shared" ref="Z27:Z40" si="13">Q27</f>
        <v>临街状况</v>
      </c>
      <c r="AA27" s="1813">
        <f t="shared" si="3"/>
        <v>1</v>
      </c>
      <c r="AB27" s="1813">
        <f t="shared" si="4"/>
        <v>1</v>
      </c>
      <c r="AC27" s="1813">
        <f t="shared" si="5"/>
        <v>1</v>
      </c>
    </row>
    <row r="28" spans="1:29" ht="27">
      <c r="A28" s="427"/>
      <c r="B28" s="632" t="s">
        <v>2696</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47"/>
      <c r="Q28" s="1812" t="str">
        <f t="shared" si="8"/>
        <v>毗邻道路的类型与等级</v>
      </c>
      <c r="R28" s="773" t="s">
        <v>17</v>
      </c>
      <c r="S28" s="774">
        <f t="shared" si="10"/>
        <v>100</v>
      </c>
      <c r="T28" s="773" t="s">
        <v>17</v>
      </c>
      <c r="U28" s="774">
        <f t="shared" si="11"/>
        <v>100</v>
      </c>
      <c r="V28" s="773" t="s">
        <v>17</v>
      </c>
      <c r="W28" s="774">
        <f t="shared" si="12"/>
        <v>100</v>
      </c>
      <c r="X28" s="1815"/>
      <c r="Y28" s="3247"/>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247"/>
      <c r="Q29" s="1812"/>
      <c r="R29" s="773"/>
      <c r="S29" s="774"/>
      <c r="T29" s="773"/>
      <c r="U29" s="774"/>
      <c r="V29" s="773"/>
      <c r="W29" s="774"/>
      <c r="X29" s="1815"/>
      <c r="Y29" s="3247"/>
      <c r="Z29" s="1816"/>
      <c r="AA29" s="1813">
        <v>1</v>
      </c>
      <c r="AB29" s="1813">
        <v>1</v>
      </c>
      <c r="AC29" s="1813">
        <v>1</v>
      </c>
    </row>
    <row r="30" spans="1:29" ht="15">
      <c r="A30" s="427"/>
      <c r="B30" s="653" t="s">
        <v>2755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47"/>
      <c r="Q30" s="1812" t="str">
        <f t="shared" si="8"/>
        <v>土地级别</v>
      </c>
      <c r="R30" s="773" t="s">
        <v>17</v>
      </c>
      <c r="S30" s="774">
        <f t="shared" si="10"/>
        <v>100</v>
      </c>
      <c r="T30" s="773" t="s">
        <v>17</v>
      </c>
      <c r="U30" s="774">
        <f t="shared" si="11"/>
        <v>100</v>
      </c>
      <c r="V30" s="773" t="s">
        <v>17</v>
      </c>
      <c r="W30" s="774">
        <f t="shared" si="12"/>
        <v>100</v>
      </c>
      <c r="X30" s="1815"/>
      <c r="Y30" s="3247"/>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47"/>
      <c r="Q31" s="1812">
        <f t="shared" si="8"/>
        <v>111</v>
      </c>
      <c r="R31" s="773" t="s">
        <v>17</v>
      </c>
      <c r="S31" s="774">
        <f t="shared" si="10"/>
        <v>100</v>
      </c>
      <c r="T31" s="773" t="s">
        <v>17</v>
      </c>
      <c r="U31" s="774">
        <f t="shared" si="11"/>
        <v>100</v>
      </c>
      <c r="V31" s="773" t="s">
        <v>17</v>
      </c>
      <c r="W31" s="774">
        <f t="shared" si="12"/>
        <v>100</v>
      </c>
      <c r="X31" s="1815"/>
      <c r="Y31" s="3247"/>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27" t="s">
        <v>2570</v>
      </c>
      <c r="Q32" s="1812">
        <f t="shared" si="8"/>
        <v>111</v>
      </c>
      <c r="R32" s="773" t="s">
        <v>17</v>
      </c>
      <c r="S32" s="774">
        <f t="shared" si="10"/>
        <v>100</v>
      </c>
      <c r="T32" s="773" t="s">
        <v>17</v>
      </c>
      <c r="U32" s="774">
        <f t="shared" si="11"/>
        <v>100</v>
      </c>
      <c r="V32" s="773" t="s">
        <v>17</v>
      </c>
      <c r="W32" s="774">
        <f t="shared" si="12"/>
        <v>100</v>
      </c>
      <c r="X32" s="1815"/>
      <c r="Y32" s="3251" t="s">
        <v>2570</v>
      </c>
      <c r="Z32" s="1816">
        <f t="shared" si="13"/>
        <v>111</v>
      </c>
      <c r="AA32" s="1813">
        <f t="shared" si="3"/>
        <v>1</v>
      </c>
      <c r="AB32" s="1813">
        <f t="shared" si="4"/>
        <v>1</v>
      </c>
      <c r="AC32" s="1813">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51"/>
      <c r="Q33" s="1812">
        <f t="shared" si="8"/>
        <v>111</v>
      </c>
      <c r="R33" s="776" t="s">
        <v>17</v>
      </c>
      <c r="S33" s="777">
        <f t="shared" si="10"/>
        <v>100</v>
      </c>
      <c r="T33" s="776" t="s">
        <v>17</v>
      </c>
      <c r="U33" s="777">
        <f t="shared" si="11"/>
        <v>100</v>
      </c>
      <c r="V33" s="776" t="s">
        <v>17</v>
      </c>
      <c r="W33" s="777">
        <f t="shared" si="12"/>
        <v>100</v>
      </c>
      <c r="X33" s="778"/>
      <c r="Y33" s="3251"/>
      <c r="Z33" s="779">
        <f t="shared" si="13"/>
        <v>111</v>
      </c>
      <c r="AA33" s="1813">
        <f t="shared" si="3"/>
        <v>1</v>
      </c>
      <c r="AB33" s="1813">
        <f t="shared" si="4"/>
        <v>1</v>
      </c>
      <c r="AC33" s="1813">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51"/>
      <c r="Q34" s="1812" t="str">
        <f>B34</f>
        <v>宗地面积</v>
      </c>
      <c r="R34" s="773" t="s">
        <v>17</v>
      </c>
      <c r="S34" s="774" t="e">
        <f t="shared" si="10"/>
        <v>#N/A</v>
      </c>
      <c r="T34" s="773" t="s">
        <v>17</v>
      </c>
      <c r="U34" s="774" t="e">
        <f t="shared" si="11"/>
        <v>#N/A</v>
      </c>
      <c r="V34" s="773" t="s">
        <v>17</v>
      </c>
      <c r="W34" s="774" t="e">
        <f t="shared" si="12"/>
        <v>#N/A</v>
      </c>
      <c r="X34" s="1815"/>
      <c r="Y34" s="3251"/>
      <c r="Z34" s="1816" t="str">
        <f t="shared" si="13"/>
        <v>宗地面积</v>
      </c>
      <c r="AA34" s="1813" t="e">
        <f t="shared" si="3"/>
        <v>#N/A</v>
      </c>
      <c r="AB34" s="1813" t="e">
        <f t="shared" si="4"/>
        <v>#N/A</v>
      </c>
      <c r="AC34" s="1813" t="e">
        <f t="shared" si="5"/>
        <v>#N/A</v>
      </c>
    </row>
    <row r="35" spans="1:29" ht="15">
      <c r="A35" s="471"/>
      <c r="B35" s="421" t="s">
        <v>2757</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51"/>
      <c r="Q35" s="1812" t="str">
        <f t="shared" ref="Q35:Q40" si="14">B35</f>
        <v>宗地形状</v>
      </c>
      <c r="R35" s="773" t="s">
        <v>17</v>
      </c>
      <c r="S35" s="774">
        <f t="shared" si="10"/>
        <v>100</v>
      </c>
      <c r="T35" s="773" t="s">
        <v>17</v>
      </c>
      <c r="U35" s="774">
        <f t="shared" si="11"/>
        <v>100</v>
      </c>
      <c r="V35" s="773" t="s">
        <v>17</v>
      </c>
      <c r="W35" s="774">
        <f t="shared" si="12"/>
        <v>100</v>
      </c>
      <c r="X35" s="1815"/>
      <c r="Y35" s="3251"/>
      <c r="Z35" s="1816" t="str">
        <f t="shared" si="13"/>
        <v>宗地形状</v>
      </c>
      <c r="AA35" s="1813">
        <f t="shared" si="3"/>
        <v>1</v>
      </c>
      <c r="AB35" s="1813">
        <f t="shared" si="4"/>
        <v>1</v>
      </c>
      <c r="AC35" s="1813">
        <f t="shared" si="5"/>
        <v>1</v>
      </c>
    </row>
    <row r="36" spans="1:29" s="116" customFormat="1" ht="15">
      <c r="A36" s="472"/>
      <c r="B36" s="421" t="s">
        <v>2759</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51"/>
      <c r="Q36" s="1812" t="str">
        <f t="shared" si="14"/>
        <v>宗地开发程度</v>
      </c>
      <c r="R36" s="769" t="s">
        <v>17</v>
      </c>
      <c r="S36" s="770">
        <f t="shared" si="10"/>
        <v>100</v>
      </c>
      <c r="T36" s="769" t="s">
        <v>17</v>
      </c>
      <c r="U36" s="770">
        <f t="shared" si="11"/>
        <v>100</v>
      </c>
      <c r="V36" s="769" t="s">
        <v>17</v>
      </c>
      <c r="W36" s="770">
        <f t="shared" si="12"/>
        <v>100</v>
      </c>
      <c r="X36" s="771"/>
      <c r="Y36" s="3251"/>
      <c r="Z36" s="54" t="str">
        <f t="shared" si="13"/>
        <v>宗地开发程度</v>
      </c>
      <c r="AA36" s="772">
        <f t="shared" si="3"/>
        <v>1</v>
      </c>
      <c r="AB36" s="772">
        <f t="shared" si="4"/>
        <v>1</v>
      </c>
      <c r="AC36" s="772">
        <f t="shared" si="5"/>
        <v>1</v>
      </c>
    </row>
    <row r="37" spans="1:29" ht="15">
      <c r="A37" s="471"/>
      <c r="B37" s="421" t="s">
        <v>2760</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51" t="s">
        <v>2570</v>
      </c>
      <c r="Q37" s="1812" t="str">
        <f t="shared" si="14"/>
        <v>工程地质条件</v>
      </c>
      <c r="R37" s="773" t="s">
        <v>17</v>
      </c>
      <c r="S37" s="774">
        <f t="shared" si="10"/>
        <v>100</v>
      </c>
      <c r="T37" s="773" t="s">
        <v>17</v>
      </c>
      <c r="U37" s="774">
        <f t="shared" si="11"/>
        <v>100</v>
      </c>
      <c r="V37" s="773" t="s">
        <v>17</v>
      </c>
      <c r="W37" s="774">
        <f t="shared" si="12"/>
        <v>100</v>
      </c>
      <c r="X37" s="1815"/>
      <c r="Y37" s="3251" t="s">
        <v>2570</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51"/>
      <c r="Q38" s="1812">
        <f t="shared" si="14"/>
        <v>111</v>
      </c>
      <c r="R38" s="773" t="s">
        <v>17</v>
      </c>
      <c r="S38" s="774">
        <f t="shared" si="10"/>
        <v>100</v>
      </c>
      <c r="T38" s="773" t="s">
        <v>17</v>
      </c>
      <c r="U38" s="774">
        <f t="shared" si="11"/>
        <v>100</v>
      </c>
      <c r="V38" s="773" t="s">
        <v>17</v>
      </c>
      <c r="W38" s="774">
        <f t="shared" si="12"/>
        <v>100</v>
      </c>
      <c r="X38" s="1815"/>
      <c r="Y38" s="325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51"/>
      <c r="Q39" s="1812">
        <f t="shared" si="14"/>
        <v>111</v>
      </c>
      <c r="R39" s="773" t="s">
        <v>17</v>
      </c>
      <c r="S39" s="774">
        <f t="shared" si="10"/>
        <v>100</v>
      </c>
      <c r="T39" s="773" t="s">
        <v>17</v>
      </c>
      <c r="U39" s="774">
        <f t="shared" si="11"/>
        <v>100</v>
      </c>
      <c r="V39" s="773" t="s">
        <v>17</v>
      </c>
      <c r="W39" s="774">
        <f t="shared" si="12"/>
        <v>100</v>
      </c>
      <c r="X39" s="1815"/>
      <c r="Y39" s="3251"/>
      <c r="Z39" s="1816">
        <f t="shared" si="13"/>
        <v>111</v>
      </c>
      <c r="AA39" s="1813">
        <f t="shared" si="3"/>
        <v>1</v>
      </c>
      <c r="AB39" s="1813">
        <f t="shared" si="4"/>
        <v>1</v>
      </c>
      <c r="AC39" s="1813">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51"/>
      <c r="Q40" s="1812">
        <f t="shared" si="14"/>
        <v>111</v>
      </c>
      <c r="R40" s="776" t="s">
        <v>17</v>
      </c>
      <c r="S40" s="777">
        <f t="shared" si="10"/>
        <v>100</v>
      </c>
      <c r="T40" s="776" t="s">
        <v>17</v>
      </c>
      <c r="U40" s="777">
        <f t="shared" si="11"/>
        <v>100</v>
      </c>
      <c r="V40" s="776" t="s">
        <v>17</v>
      </c>
      <c r="W40" s="777">
        <f t="shared" si="12"/>
        <v>100</v>
      </c>
      <c r="X40" s="778"/>
      <c r="Y40" s="3251"/>
      <c r="Z40" s="779">
        <f t="shared" si="13"/>
        <v>111</v>
      </c>
      <c r="AA40" s="1813">
        <f t="shared" si="3"/>
        <v>1</v>
      </c>
      <c r="AB40" s="1813">
        <f t="shared" si="4"/>
        <v>1</v>
      </c>
      <c r="AC40" s="1813">
        <f t="shared" si="5"/>
        <v>1</v>
      </c>
    </row>
    <row r="41" spans="1:29" ht="15">
      <c r="A41" s="478" t="s">
        <v>2725</v>
      </c>
      <c r="B41" s="2708" t="s">
        <v>2805</v>
      </c>
      <c r="C41" s="681" t="s">
        <v>1</v>
      </c>
      <c r="D41" s="480"/>
      <c r="E41" s="481"/>
      <c r="F41" s="482"/>
      <c r="G41" s="483"/>
      <c r="H41" s="484"/>
      <c r="I41" s="481"/>
      <c r="J41" s="484"/>
      <c r="K41" s="782"/>
      <c r="L41" s="1145"/>
      <c r="M41" s="1133"/>
      <c r="N41" s="1133"/>
      <c r="O41" s="1146"/>
      <c r="P41" s="3239" t="str">
        <f>A41</f>
        <v>成交单价</v>
      </c>
      <c r="Q41" s="3239"/>
      <c r="R41" s="3273">
        <f>E41</f>
        <v>0</v>
      </c>
      <c r="S41" s="3273"/>
      <c r="T41" s="3273">
        <f>G41</f>
        <v>0</v>
      </c>
      <c r="U41" s="3273"/>
      <c r="V41" s="3273">
        <f>I41</f>
        <v>0</v>
      </c>
      <c r="W41" s="3273"/>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5"/>
      <c r="M42" s="1133"/>
      <c r="N42" s="1133"/>
      <c r="O42" s="1146"/>
      <c r="P42" s="3239" t="str">
        <f>A42</f>
        <v>比较价值（元/平方米）</v>
      </c>
      <c r="Q42" s="3239"/>
      <c r="R42" s="3328" t="e">
        <f>ROUND(PRODUCT(R41,AA7:AA40),0)</f>
        <v>#DIV/0!</v>
      </c>
      <c r="S42" s="3328"/>
      <c r="T42" s="3328" t="e">
        <f>ROUND(PRODUCT(T41,AB7:AB40),0)</f>
        <v>#DIV/0!</v>
      </c>
      <c r="U42" s="3328"/>
      <c r="V42" s="3328" t="e">
        <f>ROUND(PRODUCT(V41,AC7:AC40),0)</f>
        <v>#DIV/0!</v>
      </c>
      <c r="W42" s="3328"/>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5"/>
      <c r="M43" s="1133"/>
      <c r="N43" s="1133"/>
      <c r="O43" s="1146"/>
      <c r="P43" s="3313" t="str">
        <f>A43</f>
        <v>估价对象XX用房的比较价值（楼面单价，元/平方米）</v>
      </c>
      <c r="Q43" s="3314"/>
      <c r="R43" s="3329" t="e">
        <f>ROUND(AVERAGE(R42:V42),0)</f>
        <v>#DIV/0!</v>
      </c>
      <c r="S43" s="3329"/>
      <c r="T43" s="3329"/>
      <c r="U43" s="3329"/>
      <c r="V43" s="3329"/>
      <c r="W43" s="332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2763</v>
      </c>
      <c r="B50" s="684" t="s">
        <v>2764</v>
      </c>
      <c r="C50" s="2709" t="s">
        <v>2765</v>
      </c>
      <c r="D50" s="2710" t="s">
        <v>2766</v>
      </c>
      <c r="E50" s="685" t="s">
        <v>2767</v>
      </c>
      <c r="F50" s="686" t="s">
        <v>2768</v>
      </c>
      <c r="G50" s="3256" t="s">
        <v>2769</v>
      </c>
      <c r="H50" s="3330"/>
      <c r="I50" s="1816" t="s">
        <v>2806</v>
      </c>
      <c r="J50" s="1816">
        <f>项目基本情况!F35</f>
        <v>0</v>
      </c>
      <c r="K50" s="2712" t="s">
        <v>2771</v>
      </c>
      <c r="L50" s="1108"/>
      <c r="M50" s="1146"/>
      <c r="N50" s="1146"/>
      <c r="O50" s="1146"/>
    </row>
    <row r="51" spans="1:17" s="691" customFormat="1">
      <c r="A51" s="687" t="s">
        <v>2772</v>
      </c>
      <c r="B51" s="688" t="e">
        <f>C43</f>
        <v>#DIV/0!</v>
      </c>
      <c r="C51" s="689">
        <v>1</v>
      </c>
      <c r="D51" s="1165">
        <v>1</v>
      </c>
      <c r="E51" s="689">
        <f>'数据-汇总表'!E8+'数据-汇总表'!E9</f>
        <v>16960.349999999999</v>
      </c>
      <c r="F51" s="690" t="e">
        <f t="shared" ref="F51:F60" si="15">ROUND(B51*E51/10000,0)</f>
        <v>#DIV/0!</v>
      </c>
      <c r="G51" s="3238"/>
      <c r="H51" s="3239"/>
      <c r="I51" s="944">
        <v>1</v>
      </c>
      <c r="J51" s="944">
        <v>1</v>
      </c>
      <c r="K51" s="1147"/>
      <c r="L51" s="943"/>
      <c r="M51" s="943"/>
      <c r="N51" s="943"/>
      <c r="O51" s="943"/>
    </row>
    <row r="52" spans="1:17" s="691" customFormat="1">
      <c r="A52" s="692" t="s">
        <v>2773</v>
      </c>
      <c r="B52" s="261" t="e">
        <f>ROUND($C$43*C52*D52,0)</f>
        <v>#DIV/0!</v>
      </c>
      <c r="C52" s="199">
        <f t="shared" ref="C52:C60" si="16">IF($C$50="北京市系数",I52,J52)</f>
        <v>0</v>
      </c>
      <c r="D52" s="1166">
        <v>0.25</v>
      </c>
      <c r="E52" s="693"/>
      <c r="F52" s="690" t="e">
        <f t="shared" si="15"/>
        <v>#DIV/0!</v>
      </c>
      <c r="G52" s="3331" t="s">
        <v>2774</v>
      </c>
      <c r="H52" s="1106">
        <f>项目基本情况!B37</f>
        <v>0</v>
      </c>
      <c r="I52" s="944">
        <f>SUMIF(修正!A45:A56,H52,修正!B45:B56)</f>
        <v>0</v>
      </c>
      <c r="J52" s="945"/>
      <c r="K52" s="1146"/>
      <c r="L52" s="943"/>
      <c r="M52" s="943"/>
      <c r="N52" s="943"/>
      <c r="O52" s="943"/>
    </row>
    <row r="53" spans="1:17" s="691" customFormat="1">
      <c r="A53" s="692" t="s">
        <v>2775</v>
      </c>
      <c r="B53" s="261" t="e">
        <f t="shared" ref="B53:B60" si="17">ROUND($C$43*C53*D53,0)</f>
        <v>#DIV/0!</v>
      </c>
      <c r="C53" s="199">
        <f t="shared" si="16"/>
        <v>0</v>
      </c>
      <c r="D53" s="1166">
        <v>0.25</v>
      </c>
      <c r="E53" s="693"/>
      <c r="F53" s="690" t="e">
        <f t="shared" si="15"/>
        <v>#DIV/0!</v>
      </c>
      <c r="G53" s="3331"/>
      <c r="H53" s="1106">
        <f>项目基本情况!B37</f>
        <v>0</v>
      </c>
      <c r="I53" s="944">
        <f>SUMIF(修正!A45:A56,H53,修正!C45:C56)</f>
        <v>0</v>
      </c>
      <c r="J53" s="945"/>
      <c r="K53" s="1147"/>
      <c r="L53" s="943"/>
      <c r="M53" s="943"/>
      <c r="N53" s="943"/>
      <c r="O53" s="943"/>
    </row>
    <row r="54" spans="1:17" s="691" customFormat="1">
      <c r="A54" s="692" t="s">
        <v>2776</v>
      </c>
      <c r="B54" s="261" t="e">
        <f t="shared" si="17"/>
        <v>#DIV/0!</v>
      </c>
      <c r="C54" s="199">
        <f t="shared" si="16"/>
        <v>0</v>
      </c>
      <c r="D54" s="1166">
        <v>0.25</v>
      </c>
      <c r="E54" s="693"/>
      <c r="F54" s="690" t="e">
        <f t="shared" si="15"/>
        <v>#DIV/0!</v>
      </c>
      <c r="G54" s="3331"/>
      <c r="H54" s="1106">
        <f>项目基本情况!B37</f>
        <v>0</v>
      </c>
      <c r="I54" s="944">
        <f>SUMIF(修正!A45:A56,H54,修正!D45:D56)</f>
        <v>0</v>
      </c>
      <c r="J54" s="945"/>
      <c r="K54" s="1146"/>
      <c r="L54" s="943"/>
      <c r="M54" s="943"/>
      <c r="N54" s="943"/>
      <c r="O54" s="943"/>
    </row>
    <row r="55" spans="1:17" s="691" customFormat="1">
      <c r="A55" s="692" t="s">
        <v>2777</v>
      </c>
      <c r="B55" s="261" t="e">
        <f t="shared" si="17"/>
        <v>#DIV/0!</v>
      </c>
      <c r="C55" s="199">
        <f t="shared" si="16"/>
        <v>0</v>
      </c>
      <c r="D55" s="1166">
        <v>0.25</v>
      </c>
      <c r="E55" s="693"/>
      <c r="F55" s="690" t="e">
        <f t="shared" si="15"/>
        <v>#DIV/0!</v>
      </c>
      <c r="G55" s="3331"/>
      <c r="H55" s="1106">
        <f>项目基本情况!B37</f>
        <v>0</v>
      </c>
      <c r="I55" s="944">
        <f>SUMIF(修正!A45:A56,H55,修正!E45:E56)</f>
        <v>0</v>
      </c>
      <c r="J55" s="945"/>
      <c r="K55" s="1147"/>
      <c r="L55" s="943"/>
      <c r="M55" s="943"/>
      <c r="N55" s="943"/>
      <c r="O55" s="943"/>
    </row>
    <row r="56" spans="1:17" s="691" customFormat="1">
      <c r="A56" s="692" t="s">
        <v>2778</v>
      </c>
      <c r="B56" s="261" t="e">
        <f t="shared" si="17"/>
        <v>#DIV/0!</v>
      </c>
      <c r="C56" s="199">
        <f t="shared" si="16"/>
        <v>0</v>
      </c>
      <c r="D56" s="1166">
        <v>0.25</v>
      </c>
      <c r="E56" s="260">
        <f>'数据-汇总表'!E11</f>
        <v>0</v>
      </c>
      <c r="F56" s="690" t="e">
        <f t="shared" si="15"/>
        <v>#DIV/0!</v>
      </c>
      <c r="G56" s="2713" t="s">
        <v>2779</v>
      </c>
      <c r="H56" s="1106">
        <f>项目基本情况!C37</f>
        <v>0</v>
      </c>
      <c r="I56" s="944">
        <f>SUMIF(修正!A45:A56,H56,修正!F45:F56)</f>
        <v>0</v>
      </c>
      <c r="J56" s="945"/>
      <c r="K56" s="1146"/>
      <c r="L56" s="943"/>
      <c r="M56" s="943"/>
      <c r="N56" s="943"/>
      <c r="O56" s="943"/>
    </row>
    <row r="57" spans="1:17" s="691" customFormat="1">
      <c r="A57" s="692" t="s">
        <v>2780</v>
      </c>
      <c r="B57" s="261" t="e">
        <f t="shared" si="17"/>
        <v>#DIV/0!</v>
      </c>
      <c r="C57" s="199">
        <f t="shared" si="16"/>
        <v>0</v>
      </c>
      <c r="D57" s="1166">
        <v>0.25</v>
      </c>
      <c r="E57" s="260">
        <f>'数据-汇总表'!E12</f>
        <v>0</v>
      </c>
      <c r="F57" s="690" t="e">
        <f t="shared" si="15"/>
        <v>#DIV/0!</v>
      </c>
      <c r="G57" s="1111" t="s">
        <v>2781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2782</v>
      </c>
      <c r="B58" s="261" t="e">
        <f t="shared" si="17"/>
        <v>#DIV/0!</v>
      </c>
      <c r="C58" s="199">
        <f t="shared" si="16"/>
        <v>0</v>
      </c>
      <c r="D58" s="1166">
        <v>0.25</v>
      </c>
      <c r="E58" s="260">
        <f>'数据-汇总表'!E13</f>
        <v>0</v>
      </c>
      <c r="F58" s="690"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2784</v>
      </c>
      <c r="B59" s="261" t="e">
        <f t="shared" si="17"/>
        <v>#DIV/0!</v>
      </c>
      <c r="C59" s="199">
        <f t="shared" si="16"/>
        <v>0</v>
      </c>
      <c r="D59" s="1166">
        <v>0.25</v>
      </c>
      <c r="E59" s="260">
        <f>'数据-汇总表'!E14</f>
        <v>0</v>
      </c>
      <c r="F59" s="690" t="e">
        <f t="shared" si="15"/>
        <v>#DIV/0!</v>
      </c>
      <c r="G59" s="2713" t="s">
        <v>2774</v>
      </c>
      <c r="H59" s="1106">
        <f>项目基本情况!B37</f>
        <v>0</v>
      </c>
      <c r="I59" s="944">
        <f>SUMIF(修正!A45:A56,H59,修正!H45:H56)</f>
        <v>0</v>
      </c>
      <c r="J59" s="945"/>
      <c r="K59" s="1147"/>
      <c r="L59" s="943"/>
      <c r="M59" s="943"/>
      <c r="N59" s="943"/>
      <c r="O59" s="943"/>
    </row>
    <row r="60" spans="1:17" s="691" customFormat="1" ht="15" thickBot="1">
      <c r="A60" s="692" t="s">
        <v>2785</v>
      </c>
      <c r="B60" s="261" t="e">
        <f t="shared" si="17"/>
        <v>#DIV/0!</v>
      </c>
      <c r="C60" s="199">
        <f t="shared" si="16"/>
        <v>0</v>
      </c>
      <c r="D60" s="1166">
        <v>0.25</v>
      </c>
      <c r="E60" s="260">
        <f>'数据-汇总表'!E15</f>
        <v>0</v>
      </c>
      <c r="F60" s="690" t="e">
        <f t="shared" si="15"/>
        <v>#DIV/0!</v>
      </c>
      <c r="G60" s="2714" t="s">
        <v>2779</v>
      </c>
      <c r="H60" s="1116">
        <f>项目基本情况!C37</f>
        <v>0</v>
      </c>
      <c r="I60" s="944">
        <f>SUMIF(修正!A45:A56,H60,修正!H45:H56)</f>
        <v>0</v>
      </c>
      <c r="J60" s="945"/>
      <c r="K60" s="1146"/>
      <c r="L60" s="943"/>
      <c r="M60" s="943"/>
      <c r="N60" s="943"/>
      <c r="O60" s="943"/>
    </row>
    <row r="61" spans="1:17" s="691" customFormat="1" ht="15" thickBot="1">
      <c r="A61" s="694" t="s">
        <v>2786</v>
      </c>
      <c r="B61" s="695" t="s">
        <v>28</v>
      </c>
      <c r="C61" s="695" t="s">
        <v>29</v>
      </c>
      <c r="D61" s="695" t="s">
        <v>1029</v>
      </c>
      <c r="E61" s="695">
        <f>IF(B41="楼面地价",SUM(E51:E60),'数据-汇总表'!D3)</f>
        <v>888.1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2679</v>
      </c>
      <c r="B64" s="758"/>
      <c r="C64" s="763"/>
      <c r="D64" s="763"/>
      <c r="E64" s="763"/>
      <c r="F64" s="764"/>
      <c r="G64" s="764"/>
      <c r="H64" s="763"/>
      <c r="I64" s="763"/>
      <c r="J64" s="763"/>
      <c r="K64" s="765"/>
      <c r="L64" s="766"/>
      <c r="M64" s="763"/>
      <c r="N64" s="763"/>
      <c r="O64" s="1161"/>
      <c r="P64" s="502"/>
      <c r="Q64" s="503"/>
    </row>
    <row r="65" spans="1:17" s="507" customFormat="1" ht="15">
      <c r="A65" s="2715" t="s">
        <v>2787</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6" customFormat="1" ht="30.75" customHeight="1">
      <c r="A66" s="2720" t="s">
        <v>2807</v>
      </c>
      <c r="B66" s="331" t="str">
        <f>"北京市平均增长率"&amp;TEXT(基准地价修正!P24,"0.00%")</f>
        <v>北京市平均增长率1.24%</v>
      </c>
      <c r="C66" s="602">
        <v>100</v>
      </c>
      <c r="D66" s="594"/>
      <c r="E66" s="594"/>
      <c r="F66" s="594"/>
      <c r="G66" s="594"/>
      <c r="H66" s="594"/>
      <c r="I66" s="594"/>
      <c r="J66" s="594"/>
      <c r="K66" s="594"/>
      <c r="L66" s="594"/>
      <c r="M66" s="1569"/>
      <c r="N66" s="1569"/>
      <c r="O66" s="1571"/>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2593</v>
      </c>
      <c r="B70" s="527" t="s">
        <v>2559</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2562</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2696</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2755</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2797</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2799</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2800</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2809</v>
      </c>
      <c r="B1" s="240"/>
      <c r="C1" s="244" t="s">
        <v>2810</v>
      </c>
      <c r="D1" s="387">
        <f>SUM(D29:D30,D33:D39)</f>
        <v>0</v>
      </c>
      <c r="E1" s="2721"/>
      <c r="F1" s="2721"/>
      <c r="G1" s="2721"/>
      <c r="H1" s="2721"/>
      <c r="I1" s="2721"/>
      <c r="J1" s="2721"/>
      <c r="K1" s="1372"/>
      <c r="L1" s="2722" t="s">
        <v>2811</v>
      </c>
      <c r="M1" s="1082">
        <f>SUMPRODUCT((区片价!B5:B9=I2)*(区片价!C3:F3=E2)*(区片价!C5:F9))</f>
        <v>0</v>
      </c>
      <c r="N1" s="1085">
        <f>SUMPRODUCT((因素修正幅度!B5:B9=I2)*(因素修正幅度!C3:F3=E2)*(因素修正幅度!C5:F9))</f>
        <v>0</v>
      </c>
      <c r="O1" s="2723"/>
      <c r="P1" s="2723"/>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4" t="s">
        <v>2817</v>
      </c>
      <c r="B2" s="247" t="e">
        <f>C26</f>
        <v>#DIV/0!</v>
      </c>
      <c r="C2" s="2725" t="s">
        <v>2818</v>
      </c>
      <c r="D2" s="2726" t="s">
        <v>2819</v>
      </c>
      <c r="E2" s="2727"/>
      <c r="F2" s="2726" t="s">
        <v>2820</v>
      </c>
      <c r="G2" s="2728">
        <f>IF(E2="商业",项目基本情况!B37,IF(E2="办公",项目基本情况!C37,IF(E2="住宅",项目基本情况!D37,项目基本情况!E37)))</f>
        <v>0</v>
      </c>
      <c r="H2" s="2726" t="s">
        <v>2821</v>
      </c>
      <c r="I2" s="2728">
        <f>IF(E2="商业",项目基本情况!B38,IF(E2="办公",项目基本情况!C38,IF(E2="住宅",项目基本情况!D38,项目基本情况!E38)))</f>
        <v>0</v>
      </c>
      <c r="J2" s="2729"/>
      <c r="K2" s="1372"/>
      <c r="L2" s="2730" t="s">
        <v>2822</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2823</v>
      </c>
      <c r="B3" s="247" t="e">
        <f>ROUND(B2*10000/D1,0)</f>
        <v>#DIV/0!</v>
      </c>
      <c r="C3" s="2725" t="s">
        <v>2824</v>
      </c>
      <c r="D3" s="2726" t="s">
        <v>2825</v>
      </c>
      <c r="E3" s="2731"/>
      <c r="F3" s="2732" t="s">
        <v>2826</v>
      </c>
      <c r="G3" s="915">
        <f>IF(F3="宗地容积率",'数据-汇总表'!I4,IF(F3="估价对象容积率",'数据-汇总表'!I6,'数据-汇总表'!I7))</f>
        <v>19.100000000000001</v>
      </c>
      <c r="H3" s="197" t="s">
        <v>2827</v>
      </c>
      <c r="I3" s="946"/>
      <c r="J3" s="2729" t="s">
        <v>2828</v>
      </c>
      <c r="K3" s="1372"/>
      <c r="L3" s="2730" t="s">
        <v>2829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9"/>
      <c r="B4" s="3340"/>
      <c r="C4" s="3340"/>
      <c r="D4" s="3341"/>
      <c r="E4" s="3341"/>
      <c r="F4" s="3341"/>
      <c r="G4" s="3341"/>
      <c r="H4" s="3341"/>
      <c r="I4" s="3341"/>
      <c r="J4" s="3342"/>
      <c r="K4" s="1372"/>
      <c r="L4" s="2730" t="s">
        <v>2830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2831</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2832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2833</v>
      </c>
      <c r="B6" s="2744" t="s">
        <v>2834</v>
      </c>
      <c r="C6" s="917">
        <f>SUMIF(L1:L12,G2,M1:M12)</f>
        <v>0</v>
      </c>
      <c r="D6" s="2745" t="s">
        <v>2835</v>
      </c>
      <c r="E6" s="2746"/>
      <c r="F6" s="2746"/>
      <c r="G6" s="2747"/>
      <c r="H6" s="2747"/>
      <c r="I6" s="2747"/>
      <c r="J6" s="2748"/>
      <c r="K6" s="1844"/>
      <c r="L6" s="2730" t="s">
        <v>2836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343" t="str">
        <f>IF(E2="商业",IF(C8="不临58条商业街","",2),"")</f>
        <v/>
      </c>
      <c r="B7" s="2749" t="s">
        <v>2837</v>
      </c>
      <c r="C7" s="918" t="e">
        <f>IF(C8="不临58条商业街",1,ROUND(1+(1.6*E8+1.2*E9+0.8*E10+0.4*E11)*C9,4))</f>
        <v>#DIV/0!</v>
      </c>
      <c r="D7" s="2750" t="s">
        <v>2838</v>
      </c>
      <c r="E7" s="947"/>
      <c r="F7" s="2751"/>
      <c r="G7" s="2752"/>
      <c r="H7" s="2752"/>
      <c r="I7" s="2752"/>
      <c r="J7" s="2753"/>
      <c r="K7" s="1844"/>
      <c r="L7" s="2730" t="s">
        <v>2839</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2840</v>
      </c>
      <c r="X7" s="1606">
        <f>G2</f>
        <v>0</v>
      </c>
      <c r="Y7" s="1606" t="s">
        <v>2841</v>
      </c>
      <c r="Z7" s="1607">
        <f>G3</f>
        <v>19.100000000000001</v>
      </c>
      <c r="AA7" s="1608"/>
      <c r="AB7" s="1608"/>
      <c r="AC7" s="1609"/>
      <c r="AD7" s="1610"/>
      <c r="AE7" s="1610"/>
      <c r="AF7" s="1610"/>
      <c r="AG7" s="1610"/>
      <c r="AH7" s="1610"/>
      <c r="AI7" s="1610"/>
      <c r="AJ7" s="1611"/>
    </row>
    <row r="8" spans="1:36" ht="15">
      <c r="A8" s="3344"/>
      <c r="B8" s="197" t="s">
        <v>2842</v>
      </c>
      <c r="C8" s="2754"/>
      <c r="D8" s="919" t="s">
        <v>139</v>
      </c>
      <c r="E8" s="920" t="e">
        <f>ROUND(C11/E7,4)</f>
        <v>#DIV/0!</v>
      </c>
      <c r="F8" s="2755" t="s">
        <v>2843</v>
      </c>
      <c r="G8" s="2756"/>
      <c r="H8" s="2756"/>
      <c r="I8" s="2756"/>
      <c r="J8" s="2757"/>
      <c r="K8" s="1372"/>
      <c r="L8" s="2730" t="s">
        <v>2844</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6" t="s">
        <v>2845</v>
      </c>
      <c r="X8" s="3337"/>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344"/>
      <c r="B9" s="197" t="s">
        <v>2858</v>
      </c>
      <c r="C9" s="921">
        <f>SUMIF(修正!C59:C119,C8,修正!E59:E119)</f>
        <v>0</v>
      </c>
      <c r="D9" s="199" t="s">
        <v>140</v>
      </c>
      <c r="E9" s="199" t="e">
        <f>ROUND(C11/E7,4)</f>
        <v>#DIV/0!</v>
      </c>
      <c r="F9" s="2755" t="s">
        <v>2859</v>
      </c>
      <c r="G9" s="2756"/>
      <c r="H9" s="2756"/>
      <c r="I9" s="2756"/>
      <c r="J9" s="2757"/>
      <c r="K9" s="1372"/>
      <c r="L9" s="2730" t="s">
        <v>2860</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8"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44"/>
      <c r="B10" s="197" t="s">
        <v>2863</v>
      </c>
      <c r="C10" s="199">
        <f>SUMIF(修正!C59:C119,C8,修正!F59:F119)</f>
        <v>0</v>
      </c>
      <c r="D10" s="199" t="s">
        <v>141</v>
      </c>
      <c r="E10" s="199" t="e">
        <f>ROUND(C11/E7,4)</f>
        <v>#DIV/0!</v>
      </c>
      <c r="F10" s="2755" t="s">
        <v>2864</v>
      </c>
      <c r="G10" s="2756"/>
      <c r="H10" s="2756"/>
      <c r="I10" s="2756"/>
      <c r="J10" s="2757"/>
      <c r="K10" s="1372"/>
      <c r="L10" s="2730" t="s">
        <v>2865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44"/>
      <c r="B11" s="2758" t="s">
        <v>2866</v>
      </c>
      <c r="C11" s="922">
        <f>C10/4</f>
        <v>0</v>
      </c>
      <c r="D11" s="922" t="s">
        <v>142</v>
      </c>
      <c r="E11" s="922" t="e">
        <f>ROUND(C11/E7,4)</f>
        <v>#DIV/0!</v>
      </c>
      <c r="F11" s="2759" t="s">
        <v>2867</v>
      </c>
      <c r="G11" s="2760"/>
      <c r="H11" s="2760"/>
      <c r="I11" s="2760"/>
      <c r="J11" s="2761"/>
      <c r="K11" s="1372"/>
      <c r="L11" s="2730" t="s">
        <v>2868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8" t="s">
        <v>2869</v>
      </c>
      <c r="X11" s="1616" t="s">
        <v>2870</v>
      </c>
      <c r="Y11" s="1617">
        <f>$G$3</f>
        <v>19.100000000000001</v>
      </c>
      <c r="Z11" s="1617">
        <f t="shared" ref="Z11:AJ11" si="3">$G$3</f>
        <v>19.100000000000001</v>
      </c>
      <c r="AA11" s="1617">
        <f t="shared" si="3"/>
        <v>19.100000000000001</v>
      </c>
      <c r="AB11" s="1617">
        <f t="shared" si="3"/>
        <v>19.100000000000001</v>
      </c>
      <c r="AC11" s="1617">
        <f t="shared" si="3"/>
        <v>19.100000000000001</v>
      </c>
      <c r="AD11" s="1617">
        <f t="shared" si="3"/>
        <v>19.100000000000001</v>
      </c>
      <c r="AE11" s="1617">
        <f t="shared" si="3"/>
        <v>19.100000000000001</v>
      </c>
      <c r="AF11" s="1617">
        <f t="shared" si="3"/>
        <v>19.100000000000001</v>
      </c>
      <c r="AG11" s="1617">
        <f t="shared" si="3"/>
        <v>19.100000000000001</v>
      </c>
      <c r="AH11" s="1617">
        <f t="shared" si="3"/>
        <v>19.100000000000001</v>
      </c>
      <c r="AI11" s="1617">
        <f t="shared" si="3"/>
        <v>19.100000000000001</v>
      </c>
      <c r="AJ11" s="1617">
        <f t="shared" si="3"/>
        <v>19.100000000000001</v>
      </c>
    </row>
    <row r="12" spans="1:36" ht="25.5" thickBot="1">
      <c r="A12" s="3343" t="s">
        <v>2871</v>
      </c>
      <c r="B12" s="2762" t="s">
        <v>2872</v>
      </c>
      <c r="C12" s="918">
        <f>ROUND(C15*D15*E15*F15*G15*H15*I15*J15,4)</f>
        <v>1</v>
      </c>
      <c r="D12" s="2763" t="s">
        <v>2873</v>
      </c>
      <c r="E12" s="2764"/>
      <c r="F12" s="2764"/>
      <c r="G12" s="2765"/>
      <c r="H12" s="2765"/>
      <c r="I12" s="2765"/>
      <c r="J12" s="2766"/>
      <c r="K12" s="1372"/>
      <c r="L12" s="2767" t="s">
        <v>2874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8"/>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45"/>
      <c r="B13" s="2768" t="s">
        <v>2876</v>
      </c>
      <c r="C13" s="2769" t="s">
        <v>2877</v>
      </c>
      <c r="D13" s="1810" t="s">
        <v>2878</v>
      </c>
      <c r="E13" s="1810" t="s">
        <v>2879</v>
      </c>
      <c r="F13" s="29" t="s">
        <v>2880</v>
      </c>
      <c r="G13" s="2770" t="s">
        <v>2881</v>
      </c>
      <c r="H13" s="2770" t="s">
        <v>2881</v>
      </c>
      <c r="I13" s="2770" t="s">
        <v>2881</v>
      </c>
      <c r="J13" s="2771" t="s">
        <v>2881</v>
      </c>
      <c r="K13" s="1372"/>
      <c r="L13" s="1372"/>
      <c r="M13" s="1372"/>
      <c r="N13" s="1372"/>
      <c r="O13" s="1372"/>
      <c r="P13" s="1372"/>
      <c r="Q13" s="1372"/>
      <c r="R13" s="1604">
        <v>12</v>
      </c>
      <c r="S13" s="1605"/>
      <c r="T13" s="1604" t="e">
        <f t="shared" si="0"/>
        <v>#DIV/0!</v>
      </c>
      <c r="U13" s="1605"/>
      <c r="V13" s="1604" t="e">
        <f t="shared" si="1"/>
        <v>#DIV/0!</v>
      </c>
      <c r="W13" s="3338"/>
      <c r="X13" s="1618"/>
      <c r="Y13" s="1615">
        <f>(-0.163*(Y12^2)-0.59*Y12+7617)*(10^(-4))/Y11</f>
        <v>3.9879581151832461E-2</v>
      </c>
      <c r="Z13" s="1615">
        <f t="shared" ref="Z13:AJ13" si="5">(-0.163*(Z12^2)-0.59*Z12+7617)*(10^(-4))/Z11</f>
        <v>3.9879581151832461E-2</v>
      </c>
      <c r="AA13" s="1615">
        <f t="shared" si="5"/>
        <v>3.9879581151832461E-2</v>
      </c>
      <c r="AB13" s="1615">
        <f t="shared" si="5"/>
        <v>3.9879581151832461E-2</v>
      </c>
      <c r="AC13" s="1615">
        <f t="shared" si="5"/>
        <v>3.9879581151832461E-2</v>
      </c>
      <c r="AD13" s="1615">
        <f t="shared" si="5"/>
        <v>3.9879581151832461E-2</v>
      </c>
      <c r="AE13" s="1615">
        <f t="shared" si="5"/>
        <v>3.9879581151832461E-2</v>
      </c>
      <c r="AF13" s="1615">
        <f t="shared" si="5"/>
        <v>3.9879581151832461E-2</v>
      </c>
      <c r="AG13" s="1615">
        <f t="shared" si="5"/>
        <v>3.9879581151832461E-2</v>
      </c>
      <c r="AH13" s="1615">
        <f t="shared" si="5"/>
        <v>3.9879581151832461E-2</v>
      </c>
      <c r="AI13" s="1615">
        <f t="shared" si="5"/>
        <v>3.9879581151832461E-2</v>
      </c>
      <c r="AJ13" s="1615">
        <f t="shared" si="5"/>
        <v>3.9879581151832461E-2</v>
      </c>
    </row>
    <row r="14" spans="1:36" ht="15">
      <c r="A14" s="3345"/>
      <c r="B14" s="2772"/>
      <c r="C14" s="2773"/>
      <c r="D14" s="2774"/>
      <c r="E14" s="2774"/>
      <c r="F14" s="2775"/>
      <c r="G14" s="2776" t="s">
        <v>2882</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46"/>
      <c r="B15" s="2780" t="s">
        <v>2883</v>
      </c>
      <c r="C15" s="228">
        <f>IF(C14="有",1.1,1)</f>
        <v>1</v>
      </c>
      <c r="D15" s="228">
        <f>IF(D14="有",1.1,1)</f>
        <v>1</v>
      </c>
      <c r="E15" s="228">
        <f>IF(E14="有",1.1,1)</f>
        <v>1</v>
      </c>
      <c r="F15" s="228">
        <f>IF(F14="500米范围内",1.2,IF(F14="500-1000米",1.1,1))</f>
        <v>1</v>
      </c>
      <c r="G15" s="948">
        <v>1</v>
      </c>
      <c r="H15" s="948">
        <v>1</v>
      </c>
      <c r="I15" s="948">
        <v>1</v>
      </c>
      <c r="J15" s="949">
        <v>1</v>
      </c>
      <c r="K15" s="1372"/>
      <c r="L15" s="2781" t="s">
        <v>2819</v>
      </c>
      <c r="M15" s="919" t="s">
        <v>2884</v>
      </c>
      <c r="N15" s="919" t="s">
        <v>2885</v>
      </c>
      <c r="O15" s="919" t="s">
        <v>2886</v>
      </c>
      <c r="P15" s="2782" t="s">
        <v>2887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43" t="s">
        <v>2888</v>
      </c>
      <c r="B16" s="2749" t="s">
        <v>2889</v>
      </c>
      <c r="C16" s="1803" t="e">
        <f>ROUND(SUM(G17:J17)/C17,0)</f>
        <v>#DIV/0!</v>
      </c>
      <c r="D16" s="2783" t="s">
        <v>2890</v>
      </c>
      <c r="E16" s="2784"/>
      <c r="F16" s="2785"/>
      <c r="G16" s="2786"/>
      <c r="H16" s="2786"/>
      <c r="I16" s="2786"/>
      <c r="J16" s="2787"/>
      <c r="K16" s="1372"/>
      <c r="L16" s="2788" t="s">
        <v>2891</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44"/>
      <c r="B17" s="2789" t="s">
        <v>2892</v>
      </c>
      <c r="C17" s="923">
        <f>SUMPRODUCT((修正!A2:A5=E2)*(修正!B1:M1=G2)*(修正!B2:M5))</f>
        <v>0</v>
      </c>
      <c r="D17" s="2790"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2895</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2896</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2897</v>
      </c>
      <c r="C19" s="926" t="e">
        <f>ROUND(IF(H19="按公示增长率计算",SUMPRODUCT((地价!A3:A22=YEAR(G19)&amp;"-"&amp;ROUNDUP(MONTH(G19)/3,0))*(地价!X2:AB2=E2)*(地价!X3:AB22)),IF(H19="地价指数",M20/M19,(1+I19)^O19)),4)</f>
        <v>#DIV/0!</v>
      </c>
      <c r="D19" s="2801" t="s">
        <v>2898</v>
      </c>
      <c r="E19" s="927">
        <v>41640</v>
      </c>
      <c r="F19" s="2801" t="s">
        <v>2899</v>
      </c>
      <c r="G19" s="928">
        <f>'数据-取费表'!B2</f>
        <v>43214</v>
      </c>
      <c r="H19" s="2802" t="s">
        <v>2900</v>
      </c>
      <c r="I19" s="929" t="str">
        <f>IF(H19="季度增幅（自定义）",SUMIF(N21:N24,E2,O21:O24),"")</f>
        <v/>
      </c>
      <c r="J19" s="2799"/>
      <c r="K19" s="1379"/>
      <c r="L19" s="2803" t="s">
        <v>2901</v>
      </c>
      <c r="M19" s="1736">
        <f>ROUND(SUMIF(地价!B2:F2,E2,地价!B22:F22),0)</f>
        <v>0</v>
      </c>
      <c r="N19" s="2804" t="s">
        <v>2902</v>
      </c>
      <c r="O19" s="930">
        <f>ROUNDDOWN(DATEDIF(E19,G19,"M")/3,0)</f>
        <v>17</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2903</v>
      </c>
      <c r="C20" s="931" t="e">
        <f>ROUND(POWER(1+G20,J20-I20)*(POWER(1+G20,I20)-1)/(POWER(1+G20,J20)-1),4)</f>
        <v>#DIV/0!</v>
      </c>
      <c r="D20" s="2810" t="s">
        <v>2904</v>
      </c>
      <c r="E20" s="1770">
        <f ca="1">存贷款利率!D4/100</f>
        <v>4.3499999999999997E-2</v>
      </c>
      <c r="F20" s="2810" t="s">
        <v>2895</v>
      </c>
      <c r="G20" s="936">
        <f>SUMIF(M15:P15,E2,M17:P17)</f>
        <v>0</v>
      </c>
      <c r="H20" s="2810" t="s">
        <v>2905</v>
      </c>
      <c r="I20" s="937" t="e">
        <f>SUMIF('数据-取费表'!C6:C15,E2,'数据-取费表'!F6:F15)/COUNTIF('数据-取费表'!C6:C15,E2)</f>
        <v>#DIV/0!</v>
      </c>
      <c r="J20" s="938">
        <f>IF(E2="住宅",70,IF(E2="商业",40,50))</f>
        <v>50</v>
      </c>
      <c r="K20" s="1379"/>
      <c r="L20" s="2811" t="s">
        <v>2906</v>
      </c>
      <c r="M20" s="1737">
        <f>ROUND(SUMPRODUCT((地价!A4:A22=YEAR(G19)&amp;"-"&amp;ROUNDUP(MONTH(G19)/3,0))*(地价!B2:F2=E2)*(地价!B4:F22)),0)</f>
        <v>0</v>
      </c>
      <c r="N20" s="2812" t="s">
        <v>2907</v>
      </c>
      <c r="O20" s="2813" t="s">
        <v>2908</v>
      </c>
      <c r="P20" s="2814" t="s">
        <v>2909</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2910</v>
      </c>
      <c r="C21" s="939">
        <f>IF(B21="容积率修正",IF(G3&lt;=10,D22,J22),C23)</f>
        <v>0</v>
      </c>
      <c r="D21" s="2817"/>
      <c r="E21" s="2817"/>
      <c r="F21" s="2817"/>
      <c r="G21" s="2817"/>
      <c r="H21" s="2817"/>
      <c r="I21" s="2817"/>
      <c r="J21" s="2818"/>
      <c r="K21" s="1379"/>
      <c r="N21" s="2819" t="s">
        <v>2911</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42" customFormat="1" ht="14.25">
      <c r="A22" s="2669" t="s">
        <v>2912</v>
      </c>
      <c r="B22" s="2820" t="s">
        <v>2913</v>
      </c>
      <c r="C22" s="1812" t="s">
        <v>2914</v>
      </c>
      <c r="D22" s="1812" t="str">
        <f>IF(E22=G22,F22,IF(G3&lt;=10,ROUND(F22+(H22-F22)*(G3-E22)/(G22-E22),4),"——"))</f>
        <v>——</v>
      </c>
      <c r="E22" s="915">
        <f>ROUNDDOWN(G3,1)</f>
        <v>19.100000000000001</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19.100000000000001</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v>
      </c>
      <c r="K22" s="1379"/>
      <c r="N22" s="2819" t="s">
        <v>2915</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9" t="s">
        <v>2916</v>
      </c>
      <c r="B23" s="2821" t="s">
        <v>2917</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2918</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2919</v>
      </c>
      <c r="C24" s="926">
        <f>SUMIF(A45:A88,E2,B45:B88)</f>
        <v>0</v>
      </c>
      <c r="D24" s="2797"/>
      <c r="E24" s="2827"/>
      <c r="F24" s="2827"/>
      <c r="G24" s="2827"/>
      <c r="H24" s="2827"/>
      <c r="I24" s="2827"/>
      <c r="J24" s="2828"/>
      <c r="K24" s="1379"/>
      <c r="N24" s="2829" t="s">
        <v>2920</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2921</v>
      </c>
      <c r="C25" s="932"/>
      <c r="D25" s="2752"/>
      <c r="E25" s="2752"/>
      <c r="F25" s="2831"/>
      <c r="G25" s="2752"/>
      <c r="H25" s="2752"/>
      <c r="I25" s="2752"/>
      <c r="J25" s="2753"/>
      <c r="K25" s="1372"/>
      <c r="N25" s="2832" t="s">
        <v>2922</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33"/>
      <c r="B26" s="2820" t="s">
        <v>2923</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2924</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2925</v>
      </c>
      <c r="C28" s="2844" t="s">
        <v>2926</v>
      </c>
      <c r="D28" s="2844" t="s">
        <v>2927</v>
      </c>
      <c r="E28" s="2845" t="s">
        <v>2928</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2929</v>
      </c>
      <c r="C29" s="205" t="e">
        <f>ROUND(C5*C18*C19*C20*C21*C24,0)</f>
        <v>#DIV/0!</v>
      </c>
      <c r="D29" s="2849"/>
      <c r="E29" s="944" t="e">
        <f>ROUND(C29*D29/10000,0)</f>
        <v>#DIV/0!</v>
      </c>
      <c r="F29" s="2850" t="s">
        <v>2930</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2931</v>
      </c>
      <c r="C30" s="228" t="e">
        <f>ROUND(IF(E2="工业",C29*M39,C29*M38),0)</f>
        <v>#DIV/0!</v>
      </c>
      <c r="D30" s="2855"/>
      <c r="E30" s="944" t="e">
        <f>ROUND(C30*D30/10000,0)</f>
        <v>#DIV/0!</v>
      </c>
      <c r="F30" s="2856" t="s">
        <v>2932</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2933</v>
      </c>
      <c r="C31" s="2861" t="s">
        <v>2934</v>
      </c>
      <c r="D31" s="2765"/>
      <c r="E31" s="2861"/>
      <c r="F31" s="2861"/>
      <c r="G31" s="2763" t="s">
        <v>2935</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2926</v>
      </c>
      <c r="D32" s="497" t="s">
        <v>2927</v>
      </c>
      <c r="E32" s="497" t="s">
        <v>2928</v>
      </c>
      <c r="F32" s="387" t="s">
        <v>2936</v>
      </c>
      <c r="G32" s="2864" t="s">
        <v>2926</v>
      </c>
      <c r="H32" s="2864" t="s">
        <v>2927</v>
      </c>
      <c r="I32" s="2864" t="s">
        <v>2928</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353" t="s">
        <v>2937</v>
      </c>
      <c r="B33" s="2865" t="s">
        <v>2938</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54"/>
      <c r="B34" s="2769" t="s">
        <v>2939</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54"/>
      <c r="B35" s="2769" t="s">
        <v>2940</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355"/>
      <c r="B36" s="2769" t="s">
        <v>2941</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2942</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2"/>
      <c r="L37" s="2868" t="s">
        <v>2943</v>
      </c>
      <c r="M37" s="2869"/>
      <c r="N37" s="1372"/>
      <c r="O37" s="1372"/>
      <c r="P37" s="1372"/>
      <c r="Q37" s="1372"/>
      <c r="R37" s="1372"/>
      <c r="S37" s="1372"/>
      <c r="T37" s="1372"/>
      <c r="U37" s="1372"/>
      <c r="V37" s="1372"/>
      <c r="W37" s="1372"/>
      <c r="X37" s="1372"/>
      <c r="Y37" s="1372"/>
      <c r="Z37" s="1373"/>
    </row>
    <row r="38" spans="1:37">
      <c r="A38" s="2867"/>
      <c r="B38" s="2769" t="s">
        <v>2944</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2"/>
      <c r="L38" s="1889" t="s">
        <v>2945</v>
      </c>
      <c r="M38" s="2870">
        <v>0.25</v>
      </c>
      <c r="N38" s="1372"/>
      <c r="O38" s="1372"/>
      <c r="P38" s="1372"/>
      <c r="Q38" s="1372"/>
      <c r="R38" s="1372"/>
      <c r="S38" s="1372"/>
      <c r="T38" s="1372"/>
      <c r="U38" s="1372"/>
      <c r="V38" s="1372"/>
      <c r="W38" s="1372"/>
      <c r="X38" s="1372"/>
      <c r="Y38" s="1372"/>
      <c r="Z38" s="1373"/>
    </row>
    <row r="39" spans="1:37" ht="13.5" thickBot="1">
      <c r="A39" s="2853"/>
      <c r="B39" s="2871" t="s">
        <v>2946</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2"/>
      <c r="L39" s="2873" t="s">
        <v>2887</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2947</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2948</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2949</v>
      </c>
      <c r="B47" s="1811" t="s">
        <v>2950</v>
      </c>
      <c r="C47" s="1811" t="s">
        <v>2951</v>
      </c>
      <c r="D47" s="1811" t="s">
        <v>2952</v>
      </c>
      <c r="E47" s="818" t="s">
        <v>2953</v>
      </c>
      <c r="F47" s="2883" t="s">
        <v>2954</v>
      </c>
      <c r="G47" s="1811" t="s">
        <v>754</v>
      </c>
      <c r="H47" s="2884" t="s">
        <v>2955</v>
      </c>
      <c r="I47" s="1811" t="s">
        <v>2956</v>
      </c>
      <c r="J47" s="602" t="s">
        <v>2602</v>
      </c>
      <c r="K47" s="602" t="s">
        <v>2603</v>
      </c>
      <c r="L47" s="602" t="s">
        <v>2604</v>
      </c>
      <c r="M47" s="602" t="s">
        <v>2605</v>
      </c>
      <c r="N47" s="602" t="s">
        <v>2606</v>
      </c>
      <c r="AA47" s="1373"/>
      <c r="AB47" s="1373"/>
      <c r="AC47" s="1373"/>
      <c r="AD47" s="1373"/>
      <c r="AE47" s="1373"/>
      <c r="AF47" s="1373"/>
      <c r="AG47" s="1373"/>
      <c r="AH47" s="1373"/>
      <c r="AI47" s="1373"/>
      <c r="AJ47" s="1373"/>
      <c r="AK47" s="1373"/>
    </row>
    <row r="48" spans="1:37" s="1372" customFormat="1" ht="38.25">
      <c r="A48" s="2882" t="s">
        <v>2957</v>
      </c>
      <c r="B48" s="2885" t="str">
        <f>估价对象房地状况!C4</f>
        <v>估价对象位于XX商圈，周边商业氛围成熟，人流量大，商业繁华度好</v>
      </c>
      <c r="C48" s="2774"/>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2958</v>
      </c>
      <c r="B49" s="2886" t="str">
        <f>估价对象房地状况!C18</f>
        <v>估价对象周边道路状况、公共交通通达情况、停车便捷程度，综合评价交通便捷度较好</v>
      </c>
      <c r="C49" s="2774"/>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2959</v>
      </c>
      <c r="B50" s="2886">
        <f>估价对象房地状况!C19</f>
        <v>0</v>
      </c>
      <c r="C50" s="2774"/>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2960</v>
      </c>
      <c r="B51" s="2887" t="s">
        <v>2961</v>
      </c>
      <c r="C51" s="2774"/>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2962</v>
      </c>
      <c r="B52" s="2886">
        <f>估价对象房地状况!C24</f>
        <v>0</v>
      </c>
      <c r="C52" s="2774"/>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2963</v>
      </c>
      <c r="B53" s="2888" t="s">
        <v>2964</v>
      </c>
      <c r="C53" s="2774"/>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2965</v>
      </c>
      <c r="B54" s="1727" t="str">
        <f>估价对象房地状况!C21</f>
        <v>估价对象所在区域公共配套设施齐备情况</v>
      </c>
      <c r="C54" s="2774"/>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2966</v>
      </c>
      <c r="B55" s="2886" t="str">
        <f>估价对象房地状况!C22</f>
        <v>估价对象所在区域基础设施水平</v>
      </c>
      <c r="C55" s="2774"/>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2967</v>
      </c>
      <c r="B56" s="2891" t="str">
        <f>估价对象房地状况!C20</f>
        <v>区域自然环境：；人文环境；综合评价环境状况一般</v>
      </c>
      <c r="C56" s="2774"/>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2968</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2949</v>
      </c>
      <c r="B58" s="1811"/>
      <c r="C58" s="1811" t="s">
        <v>2951</v>
      </c>
      <c r="D58" s="1811" t="s">
        <v>2952</v>
      </c>
      <c r="E58" s="818" t="s">
        <v>2953</v>
      </c>
      <c r="F58" s="2883" t="s">
        <v>2969</v>
      </c>
      <c r="G58" s="1811" t="s">
        <v>754</v>
      </c>
      <c r="H58" s="2884" t="s">
        <v>2955</v>
      </c>
      <c r="I58" s="1811" t="s">
        <v>2956</v>
      </c>
      <c r="J58" s="602" t="s">
        <v>2602</v>
      </c>
      <c r="K58" s="602" t="s">
        <v>2603</v>
      </c>
      <c r="L58" s="602" t="s">
        <v>2604</v>
      </c>
      <c r="M58" s="602" t="s">
        <v>2605</v>
      </c>
      <c r="N58" s="602" t="s">
        <v>2606</v>
      </c>
      <c r="AA58" s="1373"/>
      <c r="AB58" s="1373"/>
      <c r="AC58" s="1373"/>
      <c r="AD58" s="1373"/>
      <c r="AE58" s="1373"/>
      <c r="AF58" s="1373"/>
      <c r="AG58" s="1373"/>
      <c r="AH58" s="1373"/>
      <c r="AI58" s="1373"/>
      <c r="AJ58" s="1373"/>
      <c r="AK58" s="1373"/>
    </row>
    <row r="59" spans="1:37" s="1372" customFormat="1" ht="38.25">
      <c r="A59" s="2882" t="s">
        <v>2970</v>
      </c>
      <c r="B59" s="2885" t="str">
        <f>估价对象房地状况!C17</f>
        <v>估价对象位于XX商圈，周边办公楼项目较多，入驻率高，办公集聚程度较好</v>
      </c>
      <c r="C59" s="2774"/>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2958</v>
      </c>
      <c r="B60" s="2886" t="str">
        <f>估价对象房地状况!C18</f>
        <v>估价对象周边道路状况、公共交通通达情况、停车便捷程度，综合评价交通便捷度较好</v>
      </c>
      <c r="C60" s="2774"/>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2959</v>
      </c>
      <c r="B61" s="2886">
        <f>估价对象房地状况!C19</f>
        <v>0</v>
      </c>
      <c r="C61" s="2774"/>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2960</v>
      </c>
      <c r="B62" s="2887" t="s">
        <v>2961</v>
      </c>
      <c r="C62" s="2774"/>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2962</v>
      </c>
      <c r="B63" s="2886">
        <f>估价对象房地状况!C24</f>
        <v>0</v>
      </c>
      <c r="C63" s="2774"/>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2963</v>
      </c>
      <c r="B64" s="2888" t="s">
        <v>2964</v>
      </c>
      <c r="C64" s="2774"/>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2965</v>
      </c>
      <c r="B65" s="1727" t="str">
        <f>估价对象房地状况!C21</f>
        <v>估价对象所在区域公共配套设施齐备情况</v>
      </c>
      <c r="C65" s="2774"/>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2966</v>
      </c>
      <c r="B66" s="1727" t="str">
        <f>估价对象房地状况!C22</f>
        <v>估价对象所在区域基础设施水平</v>
      </c>
      <c r="C66" s="2774"/>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2967</v>
      </c>
      <c r="B67" s="2892" t="str">
        <f>估价对象房地状况!C20</f>
        <v>区域自然环境：；人文环境；综合评价环境状况一般</v>
      </c>
      <c r="C67" s="2774"/>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2971</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2949</v>
      </c>
      <c r="B69" s="1811"/>
      <c r="C69" s="1811" t="s">
        <v>2951</v>
      </c>
      <c r="D69" s="1811" t="s">
        <v>2952</v>
      </c>
      <c r="E69" s="818" t="s">
        <v>2953</v>
      </c>
      <c r="F69" s="2883" t="s">
        <v>2969</v>
      </c>
      <c r="G69" s="1811" t="s">
        <v>754</v>
      </c>
      <c r="H69" s="2884" t="s">
        <v>2955</v>
      </c>
      <c r="I69" s="1811" t="s">
        <v>2956</v>
      </c>
      <c r="J69" s="602" t="s">
        <v>2602</v>
      </c>
      <c r="K69" s="602" t="s">
        <v>2603</v>
      </c>
      <c r="L69" s="602" t="s">
        <v>2604</v>
      </c>
      <c r="M69" s="602" t="s">
        <v>2605</v>
      </c>
      <c r="N69" s="602" t="s">
        <v>2606</v>
      </c>
      <c r="AA69" s="1373"/>
      <c r="AB69" s="1373"/>
      <c r="AC69" s="1373"/>
      <c r="AD69" s="1373"/>
      <c r="AE69" s="1373"/>
      <c r="AF69" s="1373"/>
      <c r="AG69" s="1373"/>
      <c r="AH69" s="1373"/>
      <c r="AI69" s="1373"/>
      <c r="AJ69" s="1373"/>
      <c r="AK69" s="1373"/>
    </row>
    <row r="70" spans="1:37" s="1372" customFormat="1" ht="51">
      <c r="A70" s="2882" t="s">
        <v>2972</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2958</v>
      </c>
      <c r="B71" s="2886" t="str">
        <f>估价对象房地状况!C18</f>
        <v>估价对象周边道路状况、公共交通通达情况、停车便捷程度，综合评价交通便捷度较好</v>
      </c>
      <c r="C71" s="2774"/>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2959</v>
      </c>
      <c r="B72" s="2886">
        <f>估价对象房地状况!C19</f>
        <v>0</v>
      </c>
      <c r="C72" s="2774"/>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2973</v>
      </c>
      <c r="B73" s="2886">
        <f>估价对象房地状况!C24</f>
        <v>0</v>
      </c>
      <c r="C73" s="2774"/>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2965</v>
      </c>
      <c r="B74" s="1727" t="str">
        <f>估价对象房地状况!C21</f>
        <v>估价对象所在区域公共配套设施齐备情况</v>
      </c>
      <c r="C74" s="2774"/>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2966</v>
      </c>
      <c r="B75" s="1727" t="str">
        <f>估价对象房地状况!C22</f>
        <v>估价对象所在区域基础设施水平</v>
      </c>
      <c r="C75" s="2774"/>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2963</v>
      </c>
      <c r="B76" s="2888" t="s">
        <v>2964</v>
      </c>
      <c r="C76" s="2774"/>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2967</v>
      </c>
      <c r="B77" s="2885" t="str">
        <f>估价对象房地状况!C20</f>
        <v>区域自然环境：；人文环境；综合评价环境状况一般</v>
      </c>
      <c r="C77" s="2774"/>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2974</v>
      </c>
      <c r="B78" s="2894"/>
      <c r="C78" s="2774"/>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2975</v>
      </c>
      <c r="B79" s="2879">
        <f>1+E81</f>
        <v>1</v>
      </c>
      <c r="C79" s="813"/>
      <c r="D79" s="813"/>
      <c r="E79" s="814"/>
      <c r="F79" s="2881"/>
      <c r="G79" s="6"/>
      <c r="H79" s="6"/>
      <c r="I79" s="6"/>
      <c r="J79" s="7"/>
      <c r="K79" s="7"/>
      <c r="L79" s="7"/>
      <c r="M79" s="7"/>
      <c r="N79" s="7"/>
      <c r="Z79" s="2724"/>
      <c r="AA79" s="2800"/>
      <c r="AG79" s="1374"/>
      <c r="AK79" s="2800"/>
    </row>
    <row r="80" spans="1:37" ht="24.75">
      <c r="A80" s="2882" t="s">
        <v>2949</v>
      </c>
      <c r="B80" s="1811"/>
      <c r="C80" s="1811" t="s">
        <v>2951</v>
      </c>
      <c r="D80" s="1811" t="s">
        <v>2952</v>
      </c>
      <c r="E80" s="818" t="s">
        <v>2953</v>
      </c>
      <c r="F80" s="2883" t="s">
        <v>2969</v>
      </c>
      <c r="G80" s="1811" t="s">
        <v>754</v>
      </c>
      <c r="H80" s="2884" t="s">
        <v>2955</v>
      </c>
      <c r="I80" s="1811" t="s">
        <v>2956</v>
      </c>
      <c r="J80" s="602" t="s">
        <v>2602</v>
      </c>
      <c r="K80" s="602" t="s">
        <v>2603</v>
      </c>
      <c r="L80" s="602" t="s">
        <v>2604</v>
      </c>
      <c r="M80" s="602" t="s">
        <v>2605</v>
      </c>
      <c r="N80" s="602" t="s">
        <v>2606</v>
      </c>
      <c r="Z80" s="2724"/>
      <c r="AA80" s="2800"/>
      <c r="AG80" s="1374"/>
      <c r="AK80" s="2800"/>
    </row>
    <row r="81" spans="1:37" ht="38.25">
      <c r="A81" s="2882" t="s">
        <v>2976</v>
      </c>
      <c r="B81" s="2886" t="str">
        <f>估价对象房地状况!G15</f>
        <v>估价对象位于XX开发区，园区建设成熟度XX，产业集聚程度XX</v>
      </c>
      <c r="C81" s="2774"/>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2958</v>
      </c>
      <c r="B82" s="2886" t="str">
        <f>估价对象房地状况!G16</f>
        <v>估价对象周边道路状况、公共交通通达情况、停车便捷程度，综合评价交通便捷度较好</v>
      </c>
      <c r="C82" s="2774"/>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2959</v>
      </c>
      <c r="B83" s="2886">
        <f>估价对象房地状况!G17</f>
        <v>0</v>
      </c>
      <c r="C83" s="2774"/>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2973</v>
      </c>
      <c r="B84" s="2886">
        <f>估价对象房地状况!G22</f>
        <v>0</v>
      </c>
      <c r="C84" s="2774"/>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2965</v>
      </c>
      <c r="B85" s="1727" t="str">
        <f>估价对象房地状况!G19</f>
        <v>估价对象所在区域公共配套设施齐备情况</v>
      </c>
      <c r="C85" s="2774"/>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2966</v>
      </c>
      <c r="B86" s="1727" t="str">
        <f>估价对象房地状况!G20</f>
        <v>估价对象所在区域基础设施水平</v>
      </c>
      <c r="C86" s="2774"/>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2963</v>
      </c>
      <c r="B87" s="2888" t="s">
        <v>2977</v>
      </c>
      <c r="C87" s="2774"/>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2978</v>
      </c>
      <c r="B88" s="2895" t="str">
        <f>估价对象房地状况!G18</f>
        <v>该园区内是否有污染型企业，绿化情况，卫生条件，整体环境状况判断</v>
      </c>
      <c r="C88" s="2774"/>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347" t="s">
        <v>2979</v>
      </c>
      <c r="B90" s="3347"/>
      <c r="C90" s="3347"/>
      <c r="D90" s="3347"/>
      <c r="E90" s="3347"/>
      <c r="F90" s="3347"/>
      <c r="G90" s="3347"/>
      <c r="H90" s="3347"/>
      <c r="I90" s="3347"/>
      <c r="J90" s="3347"/>
      <c r="K90" s="2896"/>
      <c r="L90" s="2896"/>
      <c r="M90" s="2896"/>
      <c r="N90" s="2896"/>
    </row>
    <row r="91" spans="1:37">
      <c r="A91" s="3349" t="s">
        <v>2980</v>
      </c>
      <c r="B91" s="3349" t="s">
        <v>2981</v>
      </c>
      <c r="C91" s="2850" t="s">
        <v>2982</v>
      </c>
      <c r="D91" s="2851"/>
      <c r="E91" s="2851"/>
      <c r="F91" s="2851"/>
      <c r="G91" s="2851"/>
      <c r="H91" s="2851"/>
      <c r="I91" s="2851"/>
      <c r="J91" s="2897"/>
      <c r="K91" s="2898"/>
      <c r="L91" s="2898"/>
      <c r="M91" s="2898"/>
      <c r="N91" s="2898"/>
    </row>
    <row r="92" spans="1:37">
      <c r="A92" s="3349"/>
      <c r="B92" s="3349"/>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350" t="s">
        <v>2983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5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5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5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5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5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51"/>
      <c r="B99" s="2899" t="s">
        <v>2862</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52"/>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50" t="s">
        <v>2984</v>
      </c>
      <c r="B101" s="2903" t="s">
        <v>2985</v>
      </c>
      <c r="C101" s="2904">
        <f>$G$3</f>
        <v>19.100000000000001</v>
      </c>
      <c r="D101" s="2904">
        <f t="shared" ref="D101:N101" si="31">$G$3</f>
        <v>19.100000000000001</v>
      </c>
      <c r="E101" s="2904">
        <f t="shared" si="31"/>
        <v>19.100000000000001</v>
      </c>
      <c r="F101" s="2904">
        <f t="shared" si="31"/>
        <v>19.100000000000001</v>
      </c>
      <c r="G101" s="2904">
        <f t="shared" si="31"/>
        <v>19.100000000000001</v>
      </c>
      <c r="H101" s="2904">
        <f t="shared" si="31"/>
        <v>19.100000000000001</v>
      </c>
      <c r="I101" s="2904">
        <f t="shared" si="31"/>
        <v>19.100000000000001</v>
      </c>
      <c r="J101" s="2904">
        <f t="shared" si="31"/>
        <v>19.100000000000001</v>
      </c>
      <c r="K101" s="2904">
        <f t="shared" si="31"/>
        <v>19.100000000000001</v>
      </c>
      <c r="L101" s="2904">
        <f t="shared" si="31"/>
        <v>19.100000000000001</v>
      </c>
      <c r="M101" s="2904">
        <f t="shared" si="31"/>
        <v>19.100000000000001</v>
      </c>
      <c r="N101" s="2904">
        <f t="shared" si="31"/>
        <v>19.100000000000001</v>
      </c>
    </row>
    <row r="102" spans="1:14">
      <c r="A102" s="3351"/>
      <c r="B102" s="2899">
        <v>1</v>
      </c>
      <c r="C102" s="2900">
        <f>1.9362/C101</f>
        <v>0.10137172774869109</v>
      </c>
      <c r="D102" s="2900">
        <f>1.9362/D101</f>
        <v>0.10137172774869109</v>
      </c>
      <c r="E102" s="2900">
        <f>1.8629/E101</f>
        <v>9.7534031413612554E-2</v>
      </c>
      <c r="F102" s="2900">
        <f>1.8629/F101</f>
        <v>9.7534031413612554E-2</v>
      </c>
      <c r="G102" s="2900">
        <f>1.8629/G101</f>
        <v>9.7534031413612554E-2</v>
      </c>
      <c r="H102" s="2900">
        <f>1.8629/H101</f>
        <v>9.7534031413612554E-2</v>
      </c>
      <c r="I102" s="2900">
        <f>1.8629/I101</f>
        <v>9.7534031413612554E-2</v>
      </c>
      <c r="J102" s="2900">
        <f>1.942/J101</f>
        <v>0.10167539267015706</v>
      </c>
      <c r="K102" s="2900">
        <f>1.942/K101</f>
        <v>0.10167539267015706</v>
      </c>
      <c r="L102" s="2900">
        <f>1.942/L101</f>
        <v>0.10167539267015706</v>
      </c>
      <c r="M102" s="2900">
        <f>1.942/M101</f>
        <v>0.10167539267015706</v>
      </c>
      <c r="N102" s="2900">
        <f>1.942/N101</f>
        <v>0.10167539267015706</v>
      </c>
    </row>
    <row r="103" spans="1:14">
      <c r="A103" s="3351"/>
      <c r="B103" s="2899">
        <v>2</v>
      </c>
      <c r="C103" s="2900">
        <f>1.4198/C101</f>
        <v>7.4335078534031401E-2</v>
      </c>
      <c r="D103" s="2900">
        <f>1.4198/D101</f>
        <v>7.4335078534031401E-2</v>
      </c>
      <c r="E103" s="2900">
        <f>1.3372/E101</f>
        <v>7.0010471204188476E-2</v>
      </c>
      <c r="F103" s="2900">
        <f>1.3372/F101</f>
        <v>7.0010471204188476E-2</v>
      </c>
      <c r="G103" s="2900">
        <f>1.3372/G101</f>
        <v>7.0010471204188476E-2</v>
      </c>
      <c r="H103" s="2900">
        <f>1.3372/H101</f>
        <v>7.0010471204188476E-2</v>
      </c>
      <c r="I103" s="2900">
        <f>1.3372/I101</f>
        <v>7.0010471204188476E-2</v>
      </c>
      <c r="J103" s="2900">
        <f>1.2799/J101</f>
        <v>6.7010471204188474E-2</v>
      </c>
      <c r="K103" s="2900">
        <f>1.2799/K101</f>
        <v>6.7010471204188474E-2</v>
      </c>
      <c r="L103" s="2900">
        <f>1.2799/L101</f>
        <v>6.7010471204188474E-2</v>
      </c>
      <c r="M103" s="2900">
        <f>1.2799/M101</f>
        <v>6.7010471204188474E-2</v>
      </c>
      <c r="N103" s="2900">
        <f>1.2799/N101</f>
        <v>6.7010471204188474E-2</v>
      </c>
    </row>
    <row r="104" spans="1:14">
      <c r="A104" s="3351"/>
      <c r="B104" s="2899">
        <v>3</v>
      </c>
      <c r="C104" s="2900">
        <f>1.1594/C101</f>
        <v>6.0701570680628265E-2</v>
      </c>
      <c r="D104" s="2900">
        <f>1.1594/D101</f>
        <v>6.0701570680628265E-2</v>
      </c>
      <c r="E104" s="2900">
        <f>1.0788/E101</f>
        <v>5.6481675392670148E-2</v>
      </c>
      <c r="F104" s="2900">
        <f>1.0788/F101</f>
        <v>5.6481675392670148E-2</v>
      </c>
      <c r="G104" s="2900">
        <f>1.0788/G101</f>
        <v>5.6481675392670148E-2</v>
      </c>
      <c r="H104" s="2900">
        <f>1.0788/H101</f>
        <v>5.6481675392670148E-2</v>
      </c>
      <c r="I104" s="2900">
        <f>1.0788/I101</f>
        <v>5.6481675392670148E-2</v>
      </c>
      <c r="J104" s="2900">
        <f>1.0072/J101</f>
        <v>5.2732984293193716E-2</v>
      </c>
      <c r="K104" s="2900">
        <f>1.0072/K101</f>
        <v>5.2732984293193716E-2</v>
      </c>
      <c r="L104" s="2900">
        <f>1.0072/L101</f>
        <v>5.2732984293193716E-2</v>
      </c>
      <c r="M104" s="2900">
        <f>1.0072/M101</f>
        <v>5.2732984293193716E-2</v>
      </c>
      <c r="N104" s="2900">
        <f>1.0072/N101</f>
        <v>5.2732984293193716E-2</v>
      </c>
    </row>
    <row r="105" spans="1:14">
      <c r="A105" s="3351"/>
      <c r="B105" s="2899">
        <v>4</v>
      </c>
      <c r="C105" s="2900">
        <f>0.9622/C101</f>
        <v>5.0376963350785342E-2</v>
      </c>
      <c r="D105" s="2900">
        <f>0.9622/D101</f>
        <v>5.0376963350785342E-2</v>
      </c>
      <c r="E105" s="2900">
        <f>0.8656/E101</f>
        <v>4.5319371727748692E-2</v>
      </c>
      <c r="F105" s="2900">
        <f>0.8656/F101</f>
        <v>4.5319371727748692E-2</v>
      </c>
      <c r="G105" s="2900">
        <f>0.8656/G101</f>
        <v>4.5319371727748692E-2</v>
      </c>
      <c r="H105" s="2900">
        <f>0.8656/H101</f>
        <v>4.5319371727748692E-2</v>
      </c>
      <c r="I105" s="2900">
        <f>0.8656/I101</f>
        <v>4.5319371727748692E-2</v>
      </c>
      <c r="J105" s="2900">
        <f>0.7525/J101</f>
        <v>3.9397905759162299E-2</v>
      </c>
      <c r="K105" s="2900">
        <f>0.7525/K101</f>
        <v>3.9397905759162299E-2</v>
      </c>
      <c r="L105" s="2900">
        <f>0.7525/L101</f>
        <v>3.9397905759162299E-2</v>
      </c>
      <c r="M105" s="2900">
        <f>0.7525/M101</f>
        <v>3.9397905759162299E-2</v>
      </c>
      <c r="N105" s="2900">
        <f>0.7525/N101</f>
        <v>3.9397905759162299E-2</v>
      </c>
    </row>
    <row r="106" spans="1:14">
      <c r="A106" s="3351"/>
      <c r="B106" s="2899">
        <v>5</v>
      </c>
      <c r="C106" s="2900">
        <f>0.8417/C101</f>
        <v>4.4068062827225127E-2</v>
      </c>
      <c r="D106" s="2900">
        <f>0.8417/D101</f>
        <v>4.4068062827225127E-2</v>
      </c>
      <c r="E106" s="2900">
        <f>0.7371/E101</f>
        <v>3.859162303664921E-2</v>
      </c>
      <c r="F106" s="2900">
        <f>0.7371/F101</f>
        <v>3.859162303664921E-2</v>
      </c>
      <c r="G106" s="2900">
        <f>0.7371/G101</f>
        <v>3.859162303664921E-2</v>
      </c>
      <c r="H106" s="2900">
        <f>0.7371/H101</f>
        <v>3.859162303664921E-2</v>
      </c>
      <c r="I106" s="2900">
        <f>0.7371/I101</f>
        <v>3.859162303664921E-2</v>
      </c>
      <c r="J106" s="2900">
        <f>0.5659/J101</f>
        <v>2.9628272251308894E-2</v>
      </c>
      <c r="K106" s="2900">
        <f>0.5659/K101</f>
        <v>2.9628272251308894E-2</v>
      </c>
      <c r="L106" s="2900">
        <f>0.5659/L101</f>
        <v>2.9628272251308894E-2</v>
      </c>
      <c r="M106" s="2900">
        <f>0.5659/M101</f>
        <v>2.9628272251308894E-2</v>
      </c>
      <c r="N106" s="2900">
        <f>0.5659/N101</f>
        <v>2.9628272251308894E-2</v>
      </c>
    </row>
    <row r="107" spans="1:14">
      <c r="A107" s="3351"/>
      <c r="B107" s="2899">
        <v>6</v>
      </c>
      <c r="C107" s="2900">
        <f>0.7608/C101</f>
        <v>3.9832460732984291E-2</v>
      </c>
      <c r="D107" s="2900">
        <f>0.7608/D101</f>
        <v>3.9832460732984291E-2</v>
      </c>
      <c r="E107" s="2900">
        <f>0.6482/E101</f>
        <v>3.3937172774869108E-2</v>
      </c>
      <c r="F107" s="2900">
        <f>0.6482/F101</f>
        <v>3.3937172774869108E-2</v>
      </c>
      <c r="G107" s="2900">
        <f>0.6482/G101</f>
        <v>3.3937172774869108E-2</v>
      </c>
      <c r="H107" s="2900">
        <f>0.6482/H101</f>
        <v>3.3937172774869108E-2</v>
      </c>
      <c r="I107" s="2900">
        <f>0.6482/I101</f>
        <v>3.3937172774869108E-2</v>
      </c>
      <c r="J107" s="2900">
        <f>0.4525/J101</f>
        <v>2.3691099476439791E-2</v>
      </c>
      <c r="K107" s="2900">
        <f>0.4525/K101</f>
        <v>2.3691099476439791E-2</v>
      </c>
      <c r="L107" s="2900">
        <f>0.4525/L101</f>
        <v>2.3691099476439791E-2</v>
      </c>
      <c r="M107" s="2900">
        <f>0.4525/M101</f>
        <v>2.3691099476439791E-2</v>
      </c>
      <c r="N107" s="2900">
        <f>0.4525/N101</f>
        <v>2.3691099476439791E-2</v>
      </c>
    </row>
    <row r="108" spans="1:14">
      <c r="A108" s="3351"/>
      <c r="B108" s="3203" t="s">
        <v>2986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52"/>
      <c r="B109" s="3204"/>
      <c r="C109" s="2902">
        <f>(-0.163*(C108^2)-0.59*C108+7617)*(10^(-4))/C101</f>
        <v>3.9879581151832461E-2</v>
      </c>
      <c r="D109" s="2902">
        <f>(-0.163*(D108^2)-0.59*D108+7617)*(10^(-4))/D101</f>
        <v>3.9879581151832461E-2</v>
      </c>
      <c r="E109" s="2902">
        <f>(-0.161*(E108^2)-7.509*E108+6533)*(10^(-4))/E101</f>
        <v>3.420418848167539E-2</v>
      </c>
      <c r="F109" s="2902">
        <f>(-0.161*(F108^2)-7.509*F108+6533)*(10^(-4))/F101</f>
        <v>3.420418848167539E-2</v>
      </c>
      <c r="G109" s="2902">
        <f>(-0.161*(G108^2)-7.509*G108+6533)*(10^(-4))/G101</f>
        <v>3.420418848167539E-2</v>
      </c>
      <c r="H109" s="2902">
        <f>(-0.161*(H108^2)-7.509*H108+6533)*(10^(-4))/H101</f>
        <v>3.420418848167539E-2</v>
      </c>
      <c r="I109" s="2902">
        <f>(-0.161*(I108^2)-7.509*I108+6533)*(10^(-4))/I101</f>
        <v>3.420418848167539E-2</v>
      </c>
      <c r="J109" s="2902">
        <f>(-0.214*(J108^2)-21.991*J108+4665)*(10^(-4))/J101</f>
        <v>2.4424083769633509E-2</v>
      </c>
      <c r="K109" s="2902">
        <f>(-0.214*(K108^2)-21.991*K108+4665)*(10^(-4))/K101</f>
        <v>2.4424083769633509E-2</v>
      </c>
      <c r="L109" s="2902">
        <f>(-0.214*(L108^2)-21.991*L108+4665)*(10^(-4))/L101</f>
        <v>2.4424083769633509E-2</v>
      </c>
      <c r="M109" s="2902">
        <f>(-0.214*(M108^2)-21.991*M108+4665)*(10^(-4))/M101</f>
        <v>2.4424083769633509E-2</v>
      </c>
      <c r="N109" s="2902">
        <f>(-0.214*(N108^2)-21.991*N108+4665)*(10^(-4))/N101</f>
        <v>2.4424083769633509E-2</v>
      </c>
    </row>
    <row r="110" spans="1:14">
      <c r="A110" s="3348" t="s">
        <v>2987</v>
      </c>
      <c r="B110" s="3348"/>
      <c r="C110" s="3348"/>
      <c r="D110" s="3348"/>
      <c r="E110" s="3348"/>
      <c r="F110" s="3348"/>
      <c r="G110" s="3348"/>
      <c r="H110" s="3348"/>
      <c r="I110" s="3348"/>
      <c r="J110" s="3348"/>
      <c r="K110" s="2905"/>
      <c r="L110" s="2905"/>
      <c r="M110" s="2905"/>
      <c r="N110" s="2905"/>
    </row>
    <row r="112" spans="1:14" ht="13.5" thickBot="1"/>
    <row r="113" spans="1:13" ht="25.5" thickBot="1">
      <c r="A113" s="902" t="s">
        <v>2988</v>
      </c>
      <c r="B113" s="1289">
        <f>G3</f>
        <v>19.100000000000001</v>
      </c>
      <c r="C113" s="903" t="s">
        <v>2989</v>
      </c>
      <c r="D113" s="904">
        <f>SUMPRODUCT((A115:A118=F113)*(B114:M114=H113)*B115:M118)</f>
        <v>0</v>
      </c>
      <c r="E113" s="2728" t="s">
        <v>2819</v>
      </c>
      <c r="F113" s="2907">
        <f>E2</f>
        <v>0</v>
      </c>
      <c r="G113" s="2728" t="s">
        <v>2820</v>
      </c>
      <c r="H113" s="2907">
        <f>G2</f>
        <v>0</v>
      </c>
      <c r="I113" s="2728"/>
      <c r="J113" s="2908"/>
      <c r="K113" s="2908"/>
      <c r="L113" s="2908"/>
      <c r="M113" s="2908"/>
    </row>
    <row r="114" spans="1:13">
      <c r="A114" s="907"/>
      <c r="B114" s="2909" t="s">
        <v>2990</v>
      </c>
      <c r="C114" s="2909" t="s">
        <v>2991</v>
      </c>
      <c r="D114" s="2909" t="s">
        <v>2992</v>
      </c>
      <c r="E114" s="2910" t="s">
        <v>2993</v>
      </c>
      <c r="F114" s="2910" t="s">
        <v>2994</v>
      </c>
      <c r="G114" s="2910" t="s">
        <v>2995</v>
      </c>
      <c r="H114" s="2911" t="s">
        <v>2996</v>
      </c>
      <c r="I114" s="2911" t="s">
        <v>2997</v>
      </c>
      <c r="J114" s="2912" t="s">
        <v>2998</v>
      </c>
      <c r="K114" s="2912" t="s">
        <v>2999</v>
      </c>
      <c r="L114" s="2912" t="s">
        <v>3000</v>
      </c>
      <c r="M114" s="2913" t="s">
        <v>3001</v>
      </c>
    </row>
    <row r="115" spans="1:13">
      <c r="A115" s="908" t="s">
        <v>2884</v>
      </c>
      <c r="B115" s="909">
        <f>ROUND(0.9335-0.0094*B113,4)</f>
        <v>0.754</v>
      </c>
      <c r="C115" s="909">
        <f>B115</f>
        <v>0.754</v>
      </c>
      <c r="D115" s="909">
        <f>ROUND(0.8331-0.0109*B113,4)</f>
        <v>0.62490000000000001</v>
      </c>
      <c r="E115" s="909">
        <f>D115</f>
        <v>0.62490000000000001</v>
      </c>
      <c r="F115" s="909">
        <f>E115</f>
        <v>0.62490000000000001</v>
      </c>
      <c r="G115" s="909">
        <f>F115</f>
        <v>0.62490000000000001</v>
      </c>
      <c r="H115" s="909">
        <f>G115</f>
        <v>0.62490000000000001</v>
      </c>
      <c r="I115" s="909">
        <f>ROUND(0.689-0.0155*B113,4)</f>
        <v>0.39300000000000002</v>
      </c>
      <c r="J115" s="909">
        <f t="shared" ref="J115:M118" si="33">I115</f>
        <v>0.39300000000000002</v>
      </c>
      <c r="K115" s="909">
        <f t="shared" si="33"/>
        <v>0.39300000000000002</v>
      </c>
      <c r="L115" s="909">
        <f t="shared" si="33"/>
        <v>0.39300000000000002</v>
      </c>
      <c r="M115" s="910">
        <f t="shared" si="33"/>
        <v>0.39300000000000002</v>
      </c>
    </row>
    <row r="116" spans="1:13">
      <c r="A116" s="908" t="s">
        <v>2885</v>
      </c>
      <c r="B116" s="909">
        <f>ROUND(0.949-0.012*B113,4)</f>
        <v>0.7198</v>
      </c>
      <c r="C116" s="909">
        <f>B116</f>
        <v>0.7198</v>
      </c>
      <c r="D116" s="909">
        <f>ROUND(0.8567-0.013*B113,4)</f>
        <v>0.60840000000000005</v>
      </c>
      <c r="E116" s="909">
        <f t="shared" ref="E116:H117" si="34">D116</f>
        <v>0.60840000000000005</v>
      </c>
      <c r="F116" s="909">
        <f t="shared" si="34"/>
        <v>0.60840000000000005</v>
      </c>
      <c r="G116" s="909">
        <f t="shared" si="34"/>
        <v>0.60840000000000005</v>
      </c>
      <c r="H116" s="909">
        <f t="shared" si="34"/>
        <v>0.60840000000000005</v>
      </c>
      <c r="I116" s="909">
        <f>ROUND(0.7694-0.014*B113,4)</f>
        <v>0.502</v>
      </c>
      <c r="J116" s="909">
        <f t="shared" si="33"/>
        <v>0.502</v>
      </c>
      <c r="K116" s="909">
        <f t="shared" si="33"/>
        <v>0.502</v>
      </c>
      <c r="L116" s="909">
        <f t="shared" si="33"/>
        <v>0.502</v>
      </c>
      <c r="M116" s="910">
        <f t="shared" si="33"/>
        <v>0.502</v>
      </c>
    </row>
    <row r="117" spans="1:13">
      <c r="A117" s="908" t="s">
        <v>2886</v>
      </c>
      <c r="B117" s="909">
        <f>ROUND(0.8808-0.006*B113,4)</f>
        <v>0.76619999999999999</v>
      </c>
      <c r="C117" s="909">
        <f>B117</f>
        <v>0.76619999999999999</v>
      </c>
      <c r="D117" s="909">
        <f>ROUND(0.8748-0.008*B113,4)</f>
        <v>0.72199999999999998</v>
      </c>
      <c r="E117" s="909">
        <f t="shared" si="34"/>
        <v>0.72199999999999998</v>
      </c>
      <c r="F117" s="909">
        <f t="shared" si="34"/>
        <v>0.72199999999999998</v>
      </c>
      <c r="G117" s="909">
        <f t="shared" si="34"/>
        <v>0.72199999999999998</v>
      </c>
      <c r="H117" s="909">
        <f t="shared" si="34"/>
        <v>0.72199999999999998</v>
      </c>
      <c r="I117" s="909">
        <f>ROUND(0.7412-0.0095*B113,4)</f>
        <v>0.55979999999999996</v>
      </c>
      <c r="J117" s="909">
        <f t="shared" si="33"/>
        <v>0.55979999999999996</v>
      </c>
      <c r="K117" s="909">
        <f t="shared" si="33"/>
        <v>0.55979999999999996</v>
      </c>
      <c r="L117" s="909">
        <f t="shared" si="33"/>
        <v>0.55979999999999996</v>
      </c>
      <c r="M117" s="910">
        <f t="shared" si="33"/>
        <v>0.55979999999999996</v>
      </c>
    </row>
    <row r="118" spans="1:13" ht="13.5" thickBot="1">
      <c r="A118" s="713" t="s">
        <v>2887</v>
      </c>
      <c r="B118" s="911">
        <f>ROUND(0.7275-0.01*B113,4)</f>
        <v>0.53649999999999998</v>
      </c>
      <c r="C118" s="911">
        <f>B118</f>
        <v>0.53649999999999998</v>
      </c>
      <c r="D118" s="911">
        <f>ROUND(0.7043-0.012*B113,4)</f>
        <v>0.47510000000000002</v>
      </c>
      <c r="E118" s="911">
        <f>D118</f>
        <v>0.47510000000000002</v>
      </c>
      <c r="F118" s="911">
        <f>E118</f>
        <v>0.47510000000000002</v>
      </c>
      <c r="G118" s="911">
        <f>ROUND(0.6299-0.0122*B113,4)</f>
        <v>0.39689999999999998</v>
      </c>
      <c r="H118" s="911">
        <f>G118</f>
        <v>0.39689999999999998</v>
      </c>
      <c r="I118" s="911">
        <f>ROUND(0.5667-0.0136*B113,4)</f>
        <v>0.30690000000000001</v>
      </c>
      <c r="J118" s="911">
        <f t="shared" si="33"/>
        <v>0.30690000000000001</v>
      </c>
      <c r="K118" s="911">
        <f t="shared" si="33"/>
        <v>0.30690000000000001</v>
      </c>
      <c r="L118" s="911">
        <f t="shared" si="33"/>
        <v>0.30690000000000001</v>
      </c>
      <c r="M118" s="912">
        <f t="shared" si="33"/>
        <v>0.30690000000000001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56" t="s">
        <v>183</v>
      </c>
      <c r="B18" s="881" t="s">
        <v>560</v>
      </c>
      <c r="C18" s="882" t="s">
        <v>561</v>
      </c>
      <c r="D18" s="883"/>
      <c r="E18" s="881">
        <v>1</v>
      </c>
      <c r="F18" s="884" t="s">
        <v>562</v>
      </c>
      <c r="G18" s="885"/>
      <c r="H18" s="877"/>
      <c r="I18" s="877"/>
    </row>
    <row r="19" spans="1:9" s="886" customFormat="1" ht="19.5" customHeight="1">
      <c r="A19" s="3356"/>
      <c r="B19" s="3356" t="s">
        <v>563</v>
      </c>
      <c r="C19" s="882" t="s">
        <v>564</v>
      </c>
      <c r="D19" s="883"/>
      <c r="E19" s="881">
        <v>0.9</v>
      </c>
      <c r="F19" s="884" t="s">
        <v>565</v>
      </c>
      <c r="G19" s="885"/>
      <c r="H19" s="877"/>
      <c r="I19" s="877"/>
    </row>
    <row r="20" spans="1:9" s="886" customFormat="1" ht="19.5" customHeight="1">
      <c r="A20" s="3356"/>
      <c r="B20" s="3356"/>
      <c r="C20" s="882" t="s">
        <v>566</v>
      </c>
      <c r="D20" s="883"/>
      <c r="E20" s="881">
        <v>1.1000000000000001</v>
      </c>
      <c r="F20" s="884" t="s">
        <v>567</v>
      </c>
      <c r="G20" s="885"/>
      <c r="H20" s="877"/>
      <c r="I20" s="877"/>
    </row>
    <row r="21" spans="1:9" s="886" customFormat="1" ht="19.5" customHeight="1">
      <c r="A21" s="3356"/>
      <c r="B21" s="3356"/>
      <c r="C21" s="882" t="s">
        <v>568</v>
      </c>
      <c r="D21" s="883"/>
      <c r="E21" s="881">
        <v>0.8</v>
      </c>
      <c r="F21" s="884" t="s">
        <v>569</v>
      </c>
      <c r="G21" s="885"/>
      <c r="H21" s="877"/>
      <c r="I21" s="877"/>
    </row>
    <row r="22" spans="1:9" s="886" customFormat="1" ht="19.5" customHeight="1">
      <c r="A22" s="3356"/>
      <c r="B22" s="3356"/>
      <c r="C22" s="882" t="s">
        <v>570</v>
      </c>
      <c r="D22" s="883"/>
      <c r="E22" s="881">
        <v>0.5</v>
      </c>
      <c r="F22" s="884"/>
      <c r="G22" s="885"/>
      <c r="H22" s="877"/>
      <c r="I22" s="877"/>
    </row>
    <row r="23" spans="1:9" s="886" customFormat="1" ht="19.5" customHeight="1">
      <c r="A23" s="3356" t="s">
        <v>184</v>
      </c>
      <c r="B23" s="881" t="s">
        <v>560</v>
      </c>
      <c r="C23" s="882" t="s">
        <v>571</v>
      </c>
      <c r="D23" s="883"/>
      <c r="E23" s="881">
        <v>1</v>
      </c>
      <c r="F23" s="884" t="s">
        <v>572</v>
      </c>
      <c r="G23" s="885"/>
      <c r="H23" s="877"/>
      <c r="I23" s="877"/>
    </row>
    <row r="24" spans="1:9" s="886" customFormat="1" ht="19.5" customHeight="1">
      <c r="A24" s="3356"/>
      <c r="B24" s="3356" t="s">
        <v>563</v>
      </c>
      <c r="C24" s="882" t="s">
        <v>573</v>
      </c>
      <c r="D24" s="883"/>
      <c r="E24" s="881">
        <v>0.5</v>
      </c>
      <c r="F24" s="884"/>
      <c r="G24" s="885"/>
      <c r="H24" s="877"/>
      <c r="I24" s="877"/>
    </row>
    <row r="25" spans="1:9" s="886" customFormat="1" ht="19.5" customHeight="1">
      <c r="A25" s="3356"/>
      <c r="B25" s="3356"/>
      <c r="C25" s="882" t="s">
        <v>574</v>
      </c>
      <c r="D25" s="883"/>
      <c r="E25" s="881">
        <v>1.1000000000000001</v>
      </c>
      <c r="F25" s="884"/>
      <c r="G25" s="885"/>
      <c r="H25" s="877"/>
      <c r="I25" s="877"/>
    </row>
    <row r="26" spans="1:9" s="886" customFormat="1" ht="19.5" customHeight="1">
      <c r="A26" s="3356"/>
      <c r="B26" s="3356"/>
      <c r="C26" s="882" t="s">
        <v>575</v>
      </c>
      <c r="D26" s="883"/>
      <c r="E26" s="881">
        <v>1.1000000000000001</v>
      </c>
      <c r="F26" s="884"/>
      <c r="G26" s="885"/>
      <c r="H26" s="877"/>
      <c r="I26" s="877"/>
    </row>
    <row r="27" spans="1:9" s="886" customFormat="1" ht="19.5" customHeight="1">
      <c r="A27" s="3356"/>
      <c r="B27" s="3356"/>
      <c r="C27" s="882" t="s">
        <v>576</v>
      </c>
      <c r="D27" s="883"/>
      <c r="E27" s="881">
        <v>0.9</v>
      </c>
      <c r="F27" s="884" t="s">
        <v>577</v>
      </c>
      <c r="G27" s="885"/>
      <c r="H27" s="877"/>
      <c r="I27" s="877"/>
    </row>
    <row r="28" spans="1:9" s="886" customFormat="1" ht="19.5" customHeight="1">
      <c r="A28" s="3356"/>
      <c r="B28" s="3356"/>
      <c r="C28" s="882" t="s">
        <v>578</v>
      </c>
      <c r="D28" s="883"/>
      <c r="E28" s="881">
        <v>0.9</v>
      </c>
      <c r="F28" s="884" t="s">
        <v>579</v>
      </c>
      <c r="G28" s="885"/>
      <c r="H28" s="877"/>
      <c r="I28" s="877"/>
    </row>
    <row r="29" spans="1:9" s="886" customFormat="1" ht="19.5" customHeight="1">
      <c r="A29" s="3356"/>
      <c r="B29" s="3356"/>
      <c r="C29" s="882" t="s">
        <v>580</v>
      </c>
      <c r="D29" s="883"/>
      <c r="E29" s="881">
        <v>0.9</v>
      </c>
      <c r="F29" s="884" t="s">
        <v>581</v>
      </c>
      <c r="G29" s="885"/>
      <c r="H29" s="877"/>
      <c r="I29" s="877"/>
    </row>
    <row r="30" spans="1:9" s="886" customFormat="1" ht="19.5" customHeight="1">
      <c r="A30" s="3356"/>
      <c r="B30" s="3356"/>
      <c r="C30" s="882" t="s">
        <v>582</v>
      </c>
      <c r="D30" s="883"/>
      <c r="E30" s="881">
        <v>0.9</v>
      </c>
      <c r="F30" s="884" t="s">
        <v>583</v>
      </c>
      <c r="G30" s="885"/>
      <c r="H30" s="877"/>
      <c r="I30" s="877"/>
    </row>
    <row r="31" spans="1:9" s="886" customFormat="1" ht="19.5" customHeight="1">
      <c r="A31" s="3356"/>
      <c r="B31" s="3356"/>
      <c r="C31" s="882" t="s">
        <v>584</v>
      </c>
      <c r="D31" s="883"/>
      <c r="E31" s="881">
        <v>0.8</v>
      </c>
      <c r="F31" s="884" t="s">
        <v>585</v>
      </c>
      <c r="G31" s="885"/>
      <c r="H31" s="877"/>
      <c r="I31" s="877"/>
    </row>
    <row r="32" spans="1:9" s="886" customFormat="1" ht="19.5" customHeight="1">
      <c r="A32" s="3356"/>
      <c r="B32" s="3356"/>
      <c r="C32" s="882" t="s">
        <v>586</v>
      </c>
      <c r="D32" s="883"/>
      <c r="E32" s="881">
        <v>0.8</v>
      </c>
      <c r="F32" s="884" t="s">
        <v>587</v>
      </c>
      <c r="G32" s="885"/>
      <c r="H32" s="877"/>
      <c r="I32" s="877"/>
    </row>
    <row r="33" spans="1:9" s="886" customFormat="1" ht="19.5" customHeight="1">
      <c r="A33" s="3356" t="s">
        <v>185</v>
      </c>
      <c r="B33" s="881" t="s">
        <v>560</v>
      </c>
      <c r="C33" s="882" t="s">
        <v>588</v>
      </c>
      <c r="D33" s="883"/>
      <c r="E33" s="881">
        <v>1</v>
      </c>
      <c r="F33" s="884" t="s">
        <v>589</v>
      </c>
      <c r="G33" s="885"/>
      <c r="H33" s="877"/>
      <c r="I33" s="877"/>
    </row>
    <row r="34" spans="1:9" s="886" customFormat="1" ht="19.5" customHeight="1">
      <c r="A34" s="3356"/>
      <c r="B34" s="881" t="s">
        <v>563</v>
      </c>
      <c r="C34" s="882" t="s">
        <v>590</v>
      </c>
      <c r="D34" s="883"/>
      <c r="E34" s="881">
        <v>1.5</v>
      </c>
      <c r="F34" s="884" t="s">
        <v>591</v>
      </c>
      <c r="G34" s="885"/>
      <c r="H34" s="877"/>
      <c r="I34" s="877"/>
    </row>
    <row r="35" spans="1:9" s="886" customFormat="1" ht="19.5" customHeight="1">
      <c r="A35" s="3356" t="s">
        <v>186</v>
      </c>
      <c r="B35" s="881" t="s">
        <v>560</v>
      </c>
      <c r="C35" s="882" t="s">
        <v>592</v>
      </c>
      <c r="D35" s="883"/>
      <c r="E35" s="881">
        <v>1</v>
      </c>
      <c r="F35" s="884" t="s">
        <v>593</v>
      </c>
      <c r="G35" s="885"/>
      <c r="H35" s="877"/>
      <c r="I35" s="877"/>
    </row>
    <row r="36" spans="1:9" s="886" customFormat="1" ht="19.5" customHeight="1">
      <c r="A36" s="3356"/>
      <c r="B36" s="3356" t="s">
        <v>563</v>
      </c>
      <c r="C36" s="882" t="s">
        <v>594</v>
      </c>
      <c r="D36" s="883"/>
      <c r="E36" s="881">
        <v>1</v>
      </c>
      <c r="F36" s="884" t="s">
        <v>595</v>
      </c>
      <c r="G36" s="885"/>
      <c r="H36" s="877"/>
      <c r="I36" s="877"/>
    </row>
    <row r="37" spans="1:9" s="886" customFormat="1" ht="19.5" customHeight="1">
      <c r="A37" s="3356"/>
      <c r="B37" s="3356"/>
      <c r="C37" s="882" t="s">
        <v>596</v>
      </c>
      <c r="D37" s="883"/>
      <c r="E37" s="881">
        <v>1.5</v>
      </c>
      <c r="F37" s="884" t="s">
        <v>597</v>
      </c>
      <c r="G37" s="885"/>
      <c r="H37" s="877"/>
      <c r="I37" s="877"/>
    </row>
    <row r="38" spans="1:9" s="886" customFormat="1" ht="19.5" customHeight="1">
      <c r="A38" s="3356"/>
      <c r="B38" s="3356"/>
      <c r="C38" s="882" t="s">
        <v>598</v>
      </c>
      <c r="D38" s="883"/>
      <c r="E38" s="881">
        <v>1</v>
      </c>
      <c r="F38" s="884" t="s">
        <v>599</v>
      </c>
      <c r="G38" s="885"/>
      <c r="H38" s="877"/>
      <c r="I38" s="877"/>
    </row>
    <row r="39" spans="1:9" s="886" customFormat="1" ht="19.5" customHeight="1">
      <c r="A39" s="3356"/>
      <c r="B39" s="335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56" t="s">
        <v>614</v>
      </c>
      <c r="C61" s="817" t="s">
        <v>615</v>
      </c>
      <c r="D61" s="817" t="s">
        <v>616</v>
      </c>
      <c r="E61" s="894">
        <v>0.5</v>
      </c>
      <c r="F61" s="881">
        <v>80</v>
      </c>
    </row>
    <row r="62" spans="1:8" s="877" customFormat="1" ht="24">
      <c r="A62" s="881">
        <v>2</v>
      </c>
      <c r="B62" s="3356"/>
      <c r="C62" s="817" t="s">
        <v>617</v>
      </c>
      <c r="D62" s="817" t="s">
        <v>618</v>
      </c>
      <c r="E62" s="894">
        <v>0.5</v>
      </c>
      <c r="F62" s="881">
        <v>80</v>
      </c>
    </row>
    <row r="63" spans="1:8" s="877" customFormat="1" ht="36">
      <c r="A63" s="881">
        <v>3</v>
      </c>
      <c r="B63" s="3356"/>
      <c r="C63" s="817" t="s">
        <v>619</v>
      </c>
      <c r="D63" s="817" t="s">
        <v>620</v>
      </c>
      <c r="E63" s="894">
        <v>0.5</v>
      </c>
      <c r="F63" s="881">
        <v>80</v>
      </c>
    </row>
    <row r="64" spans="1:8" s="877" customFormat="1" ht="36">
      <c r="A64" s="881">
        <v>4</v>
      </c>
      <c r="B64" s="3356"/>
      <c r="C64" s="817" t="s">
        <v>621</v>
      </c>
      <c r="D64" s="817" t="s">
        <v>622</v>
      </c>
      <c r="E64" s="894">
        <v>0.4</v>
      </c>
      <c r="F64" s="881">
        <v>60</v>
      </c>
    </row>
    <row r="65" spans="1:6" s="877" customFormat="1" ht="36">
      <c r="A65" s="881">
        <v>5</v>
      </c>
      <c r="B65" s="3356"/>
      <c r="C65" s="817" t="s">
        <v>623</v>
      </c>
      <c r="D65" s="817" t="s">
        <v>624</v>
      </c>
      <c r="E65" s="894">
        <v>0.2</v>
      </c>
      <c r="F65" s="881">
        <v>30</v>
      </c>
    </row>
    <row r="66" spans="1:6" s="877" customFormat="1" ht="36">
      <c r="A66" s="881">
        <v>6</v>
      </c>
      <c r="B66" s="3356"/>
      <c r="C66" s="817" t="s">
        <v>625</v>
      </c>
      <c r="D66" s="817" t="s">
        <v>626</v>
      </c>
      <c r="E66" s="894">
        <v>0.3</v>
      </c>
      <c r="F66" s="881">
        <v>50</v>
      </c>
    </row>
    <row r="67" spans="1:6" s="877" customFormat="1" ht="36">
      <c r="A67" s="881">
        <v>7</v>
      </c>
      <c r="B67" s="3356"/>
      <c r="C67" s="817" t="s">
        <v>627</v>
      </c>
      <c r="D67" s="817" t="s">
        <v>628</v>
      </c>
      <c r="E67" s="894">
        <v>0.2</v>
      </c>
      <c r="F67" s="881">
        <v>30</v>
      </c>
    </row>
    <row r="68" spans="1:6" s="877" customFormat="1" ht="36">
      <c r="A68" s="881">
        <v>8</v>
      </c>
      <c r="B68" s="3356"/>
      <c r="C68" s="817" t="s">
        <v>629</v>
      </c>
      <c r="D68" s="817" t="s">
        <v>630</v>
      </c>
      <c r="E68" s="894">
        <v>0.2</v>
      </c>
      <c r="F68" s="881">
        <v>30</v>
      </c>
    </row>
    <row r="69" spans="1:6" s="877" customFormat="1" ht="36">
      <c r="A69" s="881">
        <v>9</v>
      </c>
      <c r="B69" s="3356"/>
      <c r="C69" s="817" t="s">
        <v>631</v>
      </c>
      <c r="D69" s="817" t="s">
        <v>632</v>
      </c>
      <c r="E69" s="894">
        <v>0.2</v>
      </c>
      <c r="F69" s="881">
        <v>30</v>
      </c>
    </row>
    <row r="70" spans="1:6" s="877" customFormat="1" ht="48">
      <c r="A70" s="881">
        <v>10</v>
      </c>
      <c r="B70" s="3356"/>
      <c r="C70" s="817" t="s">
        <v>633</v>
      </c>
      <c r="D70" s="817" t="s">
        <v>634</v>
      </c>
      <c r="E70" s="894">
        <v>0.2</v>
      </c>
      <c r="F70" s="881">
        <v>30</v>
      </c>
    </row>
    <row r="71" spans="1:6" s="877" customFormat="1" ht="48">
      <c r="A71" s="881">
        <v>11</v>
      </c>
      <c r="B71" s="3356"/>
      <c r="C71" s="817" t="s">
        <v>635</v>
      </c>
      <c r="D71" s="817" t="s">
        <v>636</v>
      </c>
      <c r="E71" s="894">
        <v>0.2</v>
      </c>
      <c r="F71" s="881">
        <v>30</v>
      </c>
    </row>
    <row r="72" spans="1:6" s="877" customFormat="1" ht="36">
      <c r="A72" s="881">
        <v>12</v>
      </c>
      <c r="B72" s="3356"/>
      <c r="C72" s="817" t="s">
        <v>637</v>
      </c>
      <c r="D72" s="817" t="s">
        <v>638</v>
      </c>
      <c r="E72" s="894">
        <v>0.5</v>
      </c>
      <c r="F72" s="881">
        <v>80</v>
      </c>
    </row>
    <row r="73" spans="1:6" s="877" customFormat="1" ht="24">
      <c r="A73" s="881">
        <v>13</v>
      </c>
      <c r="B73" s="3356"/>
      <c r="C73" s="817" t="s">
        <v>639</v>
      </c>
      <c r="D73" s="817" t="s">
        <v>640</v>
      </c>
      <c r="E73" s="894">
        <v>0.4</v>
      </c>
      <c r="F73" s="881">
        <v>60</v>
      </c>
    </row>
    <row r="74" spans="1:6" s="877" customFormat="1" ht="24">
      <c r="A74" s="881">
        <v>14</v>
      </c>
      <c r="B74" s="3356"/>
      <c r="C74" s="817" t="s">
        <v>641</v>
      </c>
      <c r="D74" s="817" t="s">
        <v>642</v>
      </c>
      <c r="E74" s="894">
        <v>0.2</v>
      </c>
      <c r="F74" s="881">
        <v>30</v>
      </c>
    </row>
    <row r="75" spans="1:6" s="877" customFormat="1" ht="24">
      <c r="A75" s="881">
        <v>15</v>
      </c>
      <c r="B75" s="3356"/>
      <c r="C75" s="817" t="s">
        <v>643</v>
      </c>
      <c r="D75" s="817" t="s">
        <v>644</v>
      </c>
      <c r="E75" s="894">
        <v>0.2</v>
      </c>
      <c r="F75" s="881">
        <v>30</v>
      </c>
    </row>
    <row r="76" spans="1:6" s="877" customFormat="1" ht="24">
      <c r="A76" s="881">
        <v>16</v>
      </c>
      <c r="B76" s="3356" t="s">
        <v>645</v>
      </c>
      <c r="C76" s="817" t="s">
        <v>646</v>
      </c>
      <c r="D76" s="817" t="s">
        <v>647</v>
      </c>
      <c r="E76" s="894">
        <v>0.5</v>
      </c>
      <c r="F76" s="881">
        <v>80</v>
      </c>
    </row>
    <row r="77" spans="1:6" s="877" customFormat="1" ht="24">
      <c r="A77" s="881">
        <v>17</v>
      </c>
      <c r="B77" s="3356"/>
      <c r="C77" s="817" t="s">
        <v>648</v>
      </c>
      <c r="D77" s="817" t="s">
        <v>649</v>
      </c>
      <c r="E77" s="894">
        <v>0.5</v>
      </c>
      <c r="F77" s="881">
        <v>80</v>
      </c>
    </row>
    <row r="78" spans="1:6" s="877" customFormat="1" ht="24">
      <c r="A78" s="881">
        <v>18</v>
      </c>
      <c r="B78" s="3356"/>
      <c r="C78" s="817" t="s">
        <v>650</v>
      </c>
      <c r="D78" s="817" t="s">
        <v>651</v>
      </c>
      <c r="E78" s="894">
        <v>0.2</v>
      </c>
      <c r="F78" s="881">
        <v>30</v>
      </c>
    </row>
    <row r="79" spans="1:6" s="877" customFormat="1" ht="24">
      <c r="A79" s="881">
        <v>19</v>
      </c>
      <c r="B79" s="3356"/>
      <c r="C79" s="817" t="s">
        <v>652</v>
      </c>
      <c r="D79" s="817" t="s">
        <v>653</v>
      </c>
      <c r="E79" s="894">
        <v>0.5</v>
      </c>
      <c r="F79" s="881">
        <v>80</v>
      </c>
    </row>
    <row r="80" spans="1:6" s="877" customFormat="1" ht="36">
      <c r="A80" s="881">
        <v>20</v>
      </c>
      <c r="B80" s="3356"/>
      <c r="C80" s="817" t="s">
        <v>654</v>
      </c>
      <c r="D80" s="817" t="s">
        <v>655</v>
      </c>
      <c r="E80" s="894">
        <v>0.2</v>
      </c>
      <c r="F80" s="881">
        <v>30</v>
      </c>
    </row>
    <row r="81" spans="1:6" s="877" customFormat="1" ht="36">
      <c r="A81" s="881">
        <v>21</v>
      </c>
      <c r="B81" s="3356"/>
      <c r="C81" s="817" t="s">
        <v>656</v>
      </c>
      <c r="D81" s="817" t="s">
        <v>657</v>
      </c>
      <c r="E81" s="894">
        <v>0.2</v>
      </c>
      <c r="F81" s="881">
        <v>30</v>
      </c>
    </row>
    <row r="82" spans="1:6" s="877" customFormat="1" ht="48">
      <c r="A82" s="881">
        <v>22</v>
      </c>
      <c r="B82" s="3356"/>
      <c r="C82" s="817" t="s">
        <v>658</v>
      </c>
      <c r="D82" s="817" t="s">
        <v>659</v>
      </c>
      <c r="E82" s="894">
        <v>0.2</v>
      </c>
      <c r="F82" s="881">
        <v>30</v>
      </c>
    </row>
    <row r="83" spans="1:6" s="877" customFormat="1" ht="48">
      <c r="A83" s="881">
        <v>23</v>
      </c>
      <c r="B83" s="3356"/>
      <c r="C83" s="817" t="s">
        <v>660</v>
      </c>
      <c r="D83" s="817" t="s">
        <v>661</v>
      </c>
      <c r="E83" s="894">
        <v>0.2</v>
      </c>
      <c r="F83" s="881">
        <v>30</v>
      </c>
    </row>
    <row r="84" spans="1:6" s="877" customFormat="1" ht="36">
      <c r="A84" s="881">
        <v>24</v>
      </c>
      <c r="B84" s="3356"/>
      <c r="C84" s="817" t="s">
        <v>662</v>
      </c>
      <c r="D84" s="817" t="s">
        <v>663</v>
      </c>
      <c r="E84" s="894">
        <v>0.2</v>
      </c>
      <c r="F84" s="881">
        <v>30</v>
      </c>
    </row>
    <row r="85" spans="1:6" s="877" customFormat="1" ht="36">
      <c r="A85" s="881">
        <v>25</v>
      </c>
      <c r="B85" s="3356"/>
      <c r="C85" s="817" t="s">
        <v>664</v>
      </c>
      <c r="D85" s="817" t="s">
        <v>665</v>
      </c>
      <c r="E85" s="894">
        <v>0.5</v>
      </c>
      <c r="F85" s="881">
        <v>80</v>
      </c>
    </row>
    <row r="86" spans="1:6" s="877" customFormat="1" ht="36">
      <c r="A86" s="881">
        <v>26</v>
      </c>
      <c r="B86" s="3356"/>
      <c r="C86" s="817" t="s">
        <v>666</v>
      </c>
      <c r="D86" s="817" t="s">
        <v>667</v>
      </c>
      <c r="E86" s="894">
        <v>0.2</v>
      </c>
      <c r="F86" s="881">
        <v>30</v>
      </c>
    </row>
    <row r="87" spans="1:6" s="877" customFormat="1" ht="36">
      <c r="A87" s="881">
        <v>27</v>
      </c>
      <c r="B87" s="3356"/>
      <c r="C87" s="817" t="s">
        <v>668</v>
      </c>
      <c r="D87" s="817" t="s">
        <v>669</v>
      </c>
      <c r="E87" s="894">
        <v>0.2</v>
      </c>
      <c r="F87" s="881">
        <v>30</v>
      </c>
    </row>
    <row r="88" spans="1:6" s="877" customFormat="1" ht="36">
      <c r="A88" s="881">
        <v>28</v>
      </c>
      <c r="B88" s="3356"/>
      <c r="C88" s="817" t="s">
        <v>670</v>
      </c>
      <c r="D88" s="817" t="s">
        <v>671</v>
      </c>
      <c r="E88" s="894">
        <v>0.2</v>
      </c>
      <c r="F88" s="881">
        <v>30</v>
      </c>
    </row>
    <row r="89" spans="1:6" s="877" customFormat="1" ht="24">
      <c r="A89" s="881">
        <v>29</v>
      </c>
      <c r="B89" s="3356"/>
      <c r="C89" s="817" t="s">
        <v>672</v>
      </c>
      <c r="D89" s="817" t="s">
        <v>673</v>
      </c>
      <c r="E89" s="894">
        <v>0.2</v>
      </c>
      <c r="F89" s="881">
        <v>30</v>
      </c>
    </row>
    <row r="90" spans="1:6" s="877" customFormat="1" ht="24">
      <c r="A90" s="881">
        <v>30</v>
      </c>
      <c r="B90" s="3356"/>
      <c r="C90" s="817" t="s">
        <v>674</v>
      </c>
      <c r="D90" s="817" t="s">
        <v>675</v>
      </c>
      <c r="E90" s="894">
        <v>0.2</v>
      </c>
      <c r="F90" s="881">
        <v>30</v>
      </c>
    </row>
    <row r="91" spans="1:6" s="877" customFormat="1" ht="36">
      <c r="A91" s="881">
        <v>31</v>
      </c>
      <c r="B91" s="3356"/>
      <c r="C91" s="817" t="s">
        <v>676</v>
      </c>
      <c r="D91" s="817" t="s">
        <v>677</v>
      </c>
      <c r="E91" s="894">
        <v>0.2</v>
      </c>
      <c r="F91" s="881">
        <v>30</v>
      </c>
    </row>
    <row r="92" spans="1:6" s="877" customFormat="1" ht="24">
      <c r="A92" s="881">
        <v>32</v>
      </c>
      <c r="B92" s="3356" t="s">
        <v>678</v>
      </c>
      <c r="C92" s="881" t="s">
        <v>679</v>
      </c>
      <c r="D92" s="817" t="s">
        <v>680</v>
      </c>
      <c r="E92" s="894">
        <v>0.2</v>
      </c>
      <c r="F92" s="881">
        <v>30</v>
      </c>
    </row>
    <row r="93" spans="1:6" s="877" customFormat="1" ht="36">
      <c r="A93" s="881">
        <v>33</v>
      </c>
      <c r="B93" s="3356"/>
      <c r="C93" s="881" t="s">
        <v>681</v>
      </c>
      <c r="D93" s="817" t="s">
        <v>682</v>
      </c>
      <c r="E93" s="894">
        <v>0.2</v>
      </c>
      <c r="F93" s="881">
        <v>30</v>
      </c>
    </row>
    <row r="94" spans="1:6" s="877" customFormat="1" ht="48">
      <c r="A94" s="881">
        <v>34</v>
      </c>
      <c r="B94" s="3356"/>
      <c r="C94" s="881" t="s">
        <v>683</v>
      </c>
      <c r="D94" s="817" t="s">
        <v>684</v>
      </c>
      <c r="E94" s="894">
        <v>0.2</v>
      </c>
      <c r="F94" s="881">
        <v>30</v>
      </c>
    </row>
    <row r="95" spans="1:6" s="877" customFormat="1" ht="36">
      <c r="A95" s="881">
        <v>35</v>
      </c>
      <c r="B95" s="3356"/>
      <c r="C95" s="881" t="s">
        <v>685</v>
      </c>
      <c r="D95" s="817" t="s">
        <v>686</v>
      </c>
      <c r="E95" s="894">
        <v>0.2</v>
      </c>
      <c r="F95" s="881">
        <v>30</v>
      </c>
    </row>
    <row r="96" spans="1:6" s="877" customFormat="1" ht="48">
      <c r="A96" s="881">
        <v>36</v>
      </c>
      <c r="B96" s="3356"/>
      <c r="C96" s="817" t="s">
        <v>687</v>
      </c>
      <c r="D96" s="817" t="s">
        <v>688</v>
      </c>
      <c r="E96" s="894">
        <v>0.2</v>
      </c>
      <c r="F96" s="881">
        <v>30</v>
      </c>
    </row>
    <row r="97" spans="1:6" s="877" customFormat="1" ht="36">
      <c r="A97" s="881">
        <v>37</v>
      </c>
      <c r="B97" s="3356"/>
      <c r="C97" s="881" t="s">
        <v>689</v>
      </c>
      <c r="D97" s="817" t="s">
        <v>690</v>
      </c>
      <c r="E97" s="894">
        <v>0.2</v>
      </c>
      <c r="F97" s="881">
        <v>30</v>
      </c>
    </row>
    <row r="98" spans="1:6" s="877" customFormat="1" ht="36">
      <c r="A98" s="881">
        <v>38</v>
      </c>
      <c r="B98" s="3356"/>
      <c r="C98" s="881" t="s">
        <v>691</v>
      </c>
      <c r="D98" s="817" t="s">
        <v>692</v>
      </c>
      <c r="E98" s="894">
        <v>0.2</v>
      </c>
      <c r="F98" s="881">
        <v>30</v>
      </c>
    </row>
    <row r="99" spans="1:6" s="877" customFormat="1" ht="36">
      <c r="A99" s="881">
        <v>39</v>
      </c>
      <c r="B99" s="3356" t="s">
        <v>693</v>
      </c>
      <c r="C99" s="881" t="s">
        <v>694</v>
      </c>
      <c r="D99" s="817" t="s">
        <v>695</v>
      </c>
      <c r="E99" s="894">
        <v>0.3</v>
      </c>
      <c r="F99" s="881">
        <v>50</v>
      </c>
    </row>
    <row r="100" spans="1:6" s="877" customFormat="1" ht="24">
      <c r="A100" s="881">
        <v>40</v>
      </c>
      <c r="B100" s="3356"/>
      <c r="C100" s="881" t="s">
        <v>696</v>
      </c>
      <c r="D100" s="817" t="s">
        <v>697</v>
      </c>
      <c r="E100" s="894">
        <v>0.2</v>
      </c>
      <c r="F100" s="881">
        <v>30</v>
      </c>
    </row>
    <row r="101" spans="1:6" s="877" customFormat="1" ht="36">
      <c r="A101" s="881">
        <v>41</v>
      </c>
      <c r="B101" s="335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6" t="s">
        <v>708</v>
      </c>
      <c r="C105" s="881" t="s">
        <v>709</v>
      </c>
      <c r="D105" s="817" t="s">
        <v>710</v>
      </c>
      <c r="E105" s="894">
        <v>0.2</v>
      </c>
      <c r="F105" s="881">
        <v>30</v>
      </c>
    </row>
    <row r="106" spans="1:6" s="877" customFormat="1" ht="36">
      <c r="A106" s="881">
        <v>46</v>
      </c>
      <c r="B106" s="3356"/>
      <c r="C106" s="881" t="s">
        <v>711</v>
      </c>
      <c r="D106" s="817" t="s">
        <v>712</v>
      </c>
      <c r="E106" s="894">
        <v>0.2</v>
      </c>
      <c r="F106" s="881">
        <v>30</v>
      </c>
    </row>
    <row r="107" spans="1:6" s="877" customFormat="1" ht="36">
      <c r="A107" s="881">
        <v>47</v>
      </c>
      <c r="B107" s="3356" t="s">
        <v>713</v>
      </c>
      <c r="C107" s="881" t="s">
        <v>714</v>
      </c>
      <c r="D107" s="817" t="s">
        <v>715</v>
      </c>
      <c r="E107" s="894">
        <v>0.3</v>
      </c>
      <c r="F107" s="881">
        <v>50</v>
      </c>
    </row>
    <row r="108" spans="1:6" s="877" customFormat="1" ht="36">
      <c r="A108" s="881">
        <v>48</v>
      </c>
      <c r="B108" s="335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6" t="s">
        <v>724</v>
      </c>
      <c r="C111" s="881" t="s">
        <v>725</v>
      </c>
      <c r="D111" s="817" t="s">
        <v>726</v>
      </c>
      <c r="E111" s="894">
        <v>0.2</v>
      </c>
      <c r="F111" s="881">
        <v>30</v>
      </c>
    </row>
    <row r="112" spans="1:6" s="877" customFormat="1" ht="24">
      <c r="A112" s="881">
        <v>52</v>
      </c>
      <c r="B112" s="3356"/>
      <c r="C112" s="881" t="s">
        <v>727</v>
      </c>
      <c r="D112" s="817" t="s">
        <v>728</v>
      </c>
      <c r="E112" s="894">
        <v>0.2</v>
      </c>
      <c r="F112" s="881">
        <v>30</v>
      </c>
    </row>
    <row r="113" spans="1:6" s="877" customFormat="1" ht="24">
      <c r="A113" s="881">
        <v>53</v>
      </c>
      <c r="B113" s="335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6" t="s">
        <v>737</v>
      </c>
      <c r="C116" s="881" t="s">
        <v>738</v>
      </c>
      <c r="D116" s="817" t="s">
        <v>739</v>
      </c>
      <c r="E116" s="894">
        <v>0.2</v>
      </c>
      <c r="F116" s="881">
        <v>30</v>
      </c>
    </row>
    <row r="117" spans="1:6" ht="36">
      <c r="A117" s="881">
        <v>57</v>
      </c>
      <c r="B117" s="335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3010</v>
      </c>
    </row>
    <row r="2" spans="1:5" ht="15.75">
      <c r="A2" s="2914" t="s">
        <v>3002</v>
      </c>
      <c r="B2" s="2915" t="e">
        <f ca="1">SUMIF(B6:B13,"&lt;&gt;#ref!",B6:B13)</f>
        <v>#DIV/0!</v>
      </c>
      <c r="C2" s="2914" t="s">
        <v>3003</v>
      </c>
      <c r="D2" s="2914" t="s">
        <v>3004</v>
      </c>
      <c r="E2" s="2915" t="e">
        <f ca="1">SUM(E6:E13)</f>
        <v>#REF!</v>
      </c>
    </row>
    <row r="3" spans="1:5" ht="15.75">
      <c r="A3" s="2914" t="s">
        <v>3005</v>
      </c>
      <c r="B3" s="2915" t="e">
        <f ca="1">ROUND(B2*10000/E2,0)</f>
        <v>#DIV/0!</v>
      </c>
      <c r="C3" s="2914" t="s">
        <v>3011</v>
      </c>
      <c r="D3" s="2916"/>
      <c r="E3" s="2916"/>
    </row>
    <row r="4" spans="1:5" ht="15.75">
      <c r="A4" s="2917"/>
      <c r="B4" s="2916"/>
      <c r="C4" s="2916"/>
      <c r="D4" s="2916"/>
      <c r="E4" s="2916"/>
    </row>
    <row r="5" spans="1:5" ht="28.5">
      <c r="A5" s="2918" t="s">
        <v>3006</v>
      </c>
      <c r="B5" s="2914" t="s">
        <v>3007</v>
      </c>
      <c r="C5" s="2915"/>
      <c r="D5" s="2916"/>
      <c r="E5" s="2914" t="s">
        <v>3008</v>
      </c>
    </row>
    <row r="6" spans="1:5" ht="15.75">
      <c r="A6" s="2919" t="s">
        <v>3009</v>
      </c>
      <c r="B6" s="2915" t="e">
        <f ca="1">SUMIF(INDIRECT("'"&amp;A6&amp;"'"&amp;"!A:A"),"总价",INDIRECT("'"&amp;A6&amp;"'"&amp;"!B:B"))</f>
        <v>#DIV/0!</v>
      </c>
      <c r="C6" s="2914" t="s">
        <v>3003</v>
      </c>
      <c r="D6" s="2916"/>
      <c r="E6" s="2580">
        <f ca="1">SUMIF(INDIRECT("'"&amp;A6&amp;"'"&amp;"!C:C"),"建筑面积",INDIRECT("'"&amp;A6&amp;"'"&amp;"!D:D"))</f>
        <v>0</v>
      </c>
    </row>
    <row r="7" spans="1:5" ht="15.75">
      <c r="A7" s="2919"/>
      <c r="B7" s="2915" t="e">
        <f ca="1">SUMIF(INDIRECT("'"&amp;A7&amp;"'"&amp;"!A:A"),"总价",INDIRECT("'"&amp;A7&amp;"'"&amp;"!B:B"))</f>
        <v>#REF!</v>
      </c>
      <c r="C7" s="2914" t="s">
        <v>3003</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3003</v>
      </c>
      <c r="D8" s="2916"/>
      <c r="E8" s="2580" t="e">
        <f t="shared" ca="1" si="0"/>
        <v>#REF!</v>
      </c>
    </row>
    <row r="9" spans="1:5" ht="15.75">
      <c r="A9" s="2919"/>
      <c r="B9" s="2915" t="e">
        <f t="shared" ca="1" si="1"/>
        <v>#REF!</v>
      </c>
      <c r="C9" s="2914" t="s">
        <v>3003</v>
      </c>
      <c r="D9" s="2916"/>
      <c r="E9" s="2580" t="e">
        <f t="shared" ca="1" si="0"/>
        <v>#REF!</v>
      </c>
    </row>
    <row r="10" spans="1:5" ht="15.75">
      <c r="A10" s="2919"/>
      <c r="B10" s="2915" t="e">
        <f t="shared" ca="1" si="1"/>
        <v>#REF!</v>
      </c>
      <c r="C10" s="2914" t="s">
        <v>3003</v>
      </c>
      <c r="D10" s="2916"/>
      <c r="E10" s="2580" t="e">
        <f t="shared" ca="1" si="0"/>
        <v>#REF!</v>
      </c>
    </row>
    <row r="11" spans="1:5" ht="15.75">
      <c r="A11" s="2919"/>
      <c r="B11" s="2915" t="e">
        <f t="shared" ca="1" si="1"/>
        <v>#REF!</v>
      </c>
      <c r="C11" s="2914" t="s">
        <v>3003</v>
      </c>
      <c r="D11" s="2916"/>
      <c r="E11" s="2580" t="e">
        <f t="shared" ca="1" si="0"/>
        <v>#REF!</v>
      </c>
    </row>
    <row r="12" spans="1:5" ht="15.75">
      <c r="A12" s="2919"/>
      <c r="B12" s="2915" t="e">
        <f t="shared" ca="1" si="1"/>
        <v>#REF!</v>
      </c>
      <c r="C12" s="2914" t="s">
        <v>3003</v>
      </c>
      <c r="D12" s="2916"/>
      <c r="E12" s="2580" t="e">
        <f t="shared" ca="1" si="0"/>
        <v>#REF!</v>
      </c>
    </row>
    <row r="13" spans="1:5" ht="15.75">
      <c r="A13" s="2919"/>
      <c r="B13" s="2915" t="e">
        <f t="shared" ca="1" si="1"/>
        <v>#REF!</v>
      </c>
      <c r="C13" s="2914" t="s">
        <v>3003</v>
      </c>
      <c r="D13" s="2916"/>
      <c r="E13" s="2580"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1630</v>
      </c>
      <c r="C4" s="3024"/>
      <c r="D4" s="3024"/>
      <c r="E4" s="1963"/>
    </row>
    <row r="5" spans="1:5" ht="16.5" thickTop="1">
      <c r="A5" s="1961"/>
      <c r="B5" s="3022" t="s">
        <v>1622</v>
      </c>
      <c r="C5" s="1964" t="s">
        <v>1623</v>
      </c>
      <c r="D5" s="1042">
        <f ca="1">结果表!H101</f>
        <v>78</v>
      </c>
      <c r="E5" s="1961"/>
    </row>
    <row r="6" spans="1:5" ht="15.75">
      <c r="A6" s="1961"/>
      <c r="B6" s="3022"/>
      <c r="C6" s="1964" t="s">
        <v>1624</v>
      </c>
      <c r="D6" s="1042" t="str">
        <f ca="1">NUMBERSTRING(INT(D5*10000),2)&amp;"元整"</f>
        <v>柒拾捌万元整</v>
      </c>
      <c r="E6" s="1961"/>
    </row>
    <row r="7" spans="1:5" ht="15.75">
      <c r="A7" s="1961"/>
      <c r="B7" s="3027"/>
      <c r="C7" s="1965" t="s">
        <v>1625</v>
      </c>
      <c r="D7" s="1043" t="e">
        <f ca="1">结果表!H102</f>
        <v>#DIV/0!</v>
      </c>
      <c r="E7" s="1961"/>
    </row>
    <row r="8" spans="1:5" ht="15.75">
      <c r="A8" s="1961"/>
      <c r="B8" s="3028" t="str">
        <f>结果表!E103</f>
        <v>2.估价师知悉的法定优先受偿款</v>
      </c>
      <c r="C8" s="1966" t="s">
        <v>1626</v>
      </c>
      <c r="D8" s="1043">
        <f>结果表!H103</f>
        <v>0</v>
      </c>
      <c r="E8" s="1961"/>
    </row>
    <row r="9" spans="1:5" ht="15.75">
      <c r="A9" s="1961"/>
      <c r="B9" s="303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21" t="str">
        <f>结果表!E107</f>
        <v>3.房地产抵押价值</v>
      </c>
      <c r="C13" s="1969" t="s">
        <v>1623</v>
      </c>
      <c r="D13" s="1045">
        <f ca="1">结果表!H107</f>
        <v>78</v>
      </c>
      <c r="E13" s="1961"/>
    </row>
    <row r="14" spans="1:5" ht="15.75">
      <c r="A14" s="1961"/>
      <c r="B14" s="3022"/>
      <c r="C14" s="1964" t="s">
        <v>1624</v>
      </c>
      <c r="D14" s="1042" t="str">
        <f ca="1">NUMBERSTRING(INT(D13*10000),2)&amp;"元整"</f>
        <v>柒拾捌万元整</v>
      </c>
      <c r="E14" s="1961"/>
    </row>
    <row r="15" spans="1:5" ht="15">
      <c r="A15" s="1961"/>
      <c r="B15" s="3027"/>
      <c r="C15" s="1965" t="s">
        <v>1634</v>
      </c>
      <c r="D15" s="1054">
        <f ca="1">结果表!H108</f>
        <v>46</v>
      </c>
      <c r="E15" s="1961"/>
    </row>
    <row r="16" spans="1:5" ht="15">
      <c r="A16" s="1961"/>
      <c r="B16" s="3028" t="str">
        <f>结果表!E109</f>
        <v>——</v>
      </c>
      <c r="C16" s="1969" t="s">
        <v>1635</v>
      </c>
      <c r="D16" s="1970" t="str">
        <f>结果表!H109</f>
        <v>——</v>
      </c>
      <c r="E16" s="1961"/>
    </row>
    <row r="17" spans="1:5" ht="15.75">
      <c r="A17" s="1961"/>
      <c r="B17" s="3029"/>
      <c r="C17" s="1964" t="s">
        <v>1636</v>
      </c>
      <c r="D17" s="1042" t="e">
        <f>NUMBERSTRING(INT(D16*10000),2)&amp;"元整"</f>
        <v>#VALUE!</v>
      </c>
      <c r="E17" s="1961"/>
    </row>
    <row r="18" spans="1:5" ht="15">
      <c r="A18" s="1961"/>
      <c r="B18" s="3030"/>
      <c r="C18" s="1965" t="s">
        <v>1625</v>
      </c>
      <c r="D18" s="1054" t="str">
        <f>结果表!H110</f>
        <v>——</v>
      </c>
      <c r="E18" s="1961"/>
    </row>
    <row r="19" spans="1:5" ht="15.75">
      <c r="A19" s="1961"/>
      <c r="B19" s="3021" t="str">
        <f>结果表!E111</f>
        <v>——</v>
      </c>
      <c r="C19" s="1969" t="s">
        <v>1623</v>
      </c>
      <c r="D19" s="1043" t="str">
        <f>结果表!H111</f>
        <v>——</v>
      </c>
      <c r="E19" s="1961"/>
    </row>
    <row r="20" spans="1:5" ht="15.75">
      <c r="A20" s="1961"/>
      <c r="B20" s="3022"/>
      <c r="C20" s="1964" t="s">
        <v>1636</v>
      </c>
      <c r="D20" s="1042" t="e">
        <f>NUMBERSTRING(INT(D19*10000),2)&amp;"元整"</f>
        <v>#VALUE!</v>
      </c>
      <c r="E20" s="1961"/>
    </row>
    <row r="21" spans="1:5" ht="15.75" thickBot="1">
      <c r="A21" s="1961"/>
      <c r="B21" s="302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62" t="s">
        <v>1150</v>
      </c>
      <c r="C1" s="3362"/>
      <c r="D1" s="3362"/>
      <c r="E1" s="3362"/>
      <c r="F1" s="3362"/>
      <c r="G1" s="3361" t="s">
        <v>1151</v>
      </c>
      <c r="H1" s="3361"/>
      <c r="I1" s="3361"/>
      <c r="J1" s="3361"/>
      <c r="K1" s="3361"/>
      <c r="L1" s="3361"/>
      <c r="N1" s="3361" t="s">
        <v>1152</v>
      </c>
      <c r="O1" s="3361"/>
      <c r="P1" s="3361"/>
      <c r="Q1" s="3361"/>
      <c r="R1" s="1448"/>
      <c r="S1" s="3361" t="s">
        <v>1153</v>
      </c>
      <c r="T1" s="3361"/>
      <c r="U1" s="3361"/>
      <c r="V1" s="3361"/>
      <c r="X1" s="3360" t="s">
        <v>1154</v>
      </c>
      <c r="Y1" s="3361"/>
      <c r="Z1" s="3361"/>
      <c r="AA1" s="3361"/>
      <c r="AB1" s="3361"/>
      <c r="AD1" s="3360" t="s">
        <v>1155</v>
      </c>
      <c r="AE1" s="3361"/>
      <c r="AF1" s="3361"/>
      <c r="AG1" s="3361"/>
      <c r="AH1" s="336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3041</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1.4274</v>
      </c>
      <c r="Y3" s="2940">
        <f>ROUND(SUMPRODUCT(PRODUCT(1+O3:O$21)),4)</f>
        <v>1.2685</v>
      </c>
      <c r="Z3" s="2940">
        <f t="shared" ref="Z3:Z19" si="0">Y3</f>
        <v>1.2685</v>
      </c>
      <c r="AA3" s="2940">
        <f>ROUND(SUMPRODUCT(PRODUCT(1+P3:P$21)),4)</f>
        <v>1.4825999999999999</v>
      </c>
      <c r="AB3" s="2940">
        <f>ROUND(SUMPRODUCT(PRODUCT(1+Q3:Q$21)),4)</f>
        <v>1.2309000000000001</v>
      </c>
      <c r="AD3" s="2941">
        <f>ROUND(AVERAGE(I3:I$22)/100,4)</f>
        <v>2.1899999999999999E-2</v>
      </c>
      <c r="AE3" s="2941">
        <f>ROUND(AVERAGE(J3:J$22)/100,4)</f>
        <v>1.47E-2</v>
      </c>
      <c r="AF3" s="2941">
        <f t="shared" ref="AF3:AF20" si="1">AE3</f>
        <v>1.47E-2</v>
      </c>
      <c r="AG3" s="2941">
        <f>ROUND(AVERAGE(K3:K$22)/100,4)</f>
        <v>2.4299999999999999E-2</v>
      </c>
      <c r="AH3" s="2941">
        <f>ROUND(AVERAGE(L3:L$22)/100,4)</f>
        <v>1.2500000000000001E-2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43">
        <v>2018</v>
      </c>
      <c r="H5" s="1732">
        <v>2</v>
      </c>
      <c r="I5" s="2928">
        <v>0</v>
      </c>
      <c r="J5" s="2928">
        <v>0</v>
      </c>
      <c r="K5" s="2928">
        <v>0</v>
      </c>
      <c r="L5" s="2928">
        <v>0</v>
      </c>
      <c r="N5" s="1469">
        <f t="shared" ref="N5" si="7">I5/100</f>
        <v>0</v>
      </c>
      <c r="O5" s="1469">
        <f t="shared" ref="O5" si="8">J5/100</f>
        <v>0</v>
      </c>
      <c r="P5" s="1469">
        <f t="shared" ref="P5" si="9">K5/100</f>
        <v>0</v>
      </c>
      <c r="Q5" s="1469">
        <f t="shared" ref="Q5" si="10">L5/100</f>
        <v>0</v>
      </c>
      <c r="R5" s="1734"/>
      <c r="S5" s="1735"/>
      <c r="T5" s="1734"/>
      <c r="U5" s="1734"/>
      <c r="V5" s="1734"/>
      <c r="W5" s="2932" t="s">
        <v>3042</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3040</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4">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3037</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30">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3038</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6"/>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5"/>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6"/>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63">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58"/>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58"/>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59"/>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57">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58"/>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58"/>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59"/>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57">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58"/>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58"/>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59"/>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64">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65"/>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65"/>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66"/>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57">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58"/>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58"/>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59"/>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57">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58">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58">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59">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57">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58">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58">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59">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57">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58">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58">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59">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57">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58">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58">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59">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57">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58">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58">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59">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57">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58">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58">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59">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57">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58">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58">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59">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57">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58">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58">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59">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5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58">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58">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5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5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58">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58">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59">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92" activePane="bottomLeft" state="frozen"/>
      <selection activeCell="C50" sqref="C50"/>
      <selection pane="bottomLeft" activeCell="AB2" sqref="AB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1"/>
    <col min="19" max="19" width="9" style="138"/>
    <col min="20" max="45" width="9" style="794"/>
    <col min="46" max="16384" width="9" style="138"/>
  </cols>
  <sheetData>
    <row r="1" spans="1:45" ht="14.25" customHeight="1" thickBot="1">
      <c r="A1" s="154"/>
      <c r="B1" s="1206" t="s">
        <v>3012</v>
      </c>
      <c r="C1" s="3368" t="s">
        <v>3013</v>
      </c>
      <c r="D1" s="3369"/>
      <c r="E1" s="3369"/>
      <c r="F1" s="3369"/>
      <c r="G1" s="3369"/>
      <c r="H1" s="3369"/>
      <c r="I1" s="3369"/>
      <c r="J1" s="3369"/>
      <c r="K1" s="3369"/>
      <c r="L1" s="3369"/>
      <c r="M1" s="3369"/>
      <c r="N1" s="3369"/>
      <c r="O1" s="3369"/>
      <c r="P1" s="3369"/>
      <c r="Q1" s="3369"/>
      <c r="R1" s="3369"/>
      <c r="S1" s="3370"/>
      <c r="T1" s="1206" t="s">
        <v>3014</v>
      </c>
    </row>
    <row r="2" spans="1:45" s="706" customFormat="1" ht="38.25">
      <c r="A2" s="1207"/>
      <c r="B2" s="702" t="s">
        <v>3015</v>
      </c>
      <c r="C2" s="703" t="str">
        <f t="shared" ref="C2:L2" si="0">C3&amp;"(含)"&amp;"-"&amp;D3</f>
        <v>0(含)-60</v>
      </c>
      <c r="D2" s="704" t="str">
        <f t="shared" si="0"/>
        <v>60(含)-120</v>
      </c>
      <c r="E2" s="704" t="str">
        <f t="shared" si="0"/>
        <v>120(含)-180</v>
      </c>
      <c r="F2" s="704" t="str">
        <f t="shared" si="0"/>
        <v>180(含)-300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60</v>
      </c>
      <c r="E3" s="709">
        <v>120</v>
      </c>
      <c r="F3" s="1706">
        <v>180</v>
      </c>
      <c r="G3" s="1706">
        <v>300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24">
      <c r="A5" s="1217"/>
      <c r="B5" s="2976" t="s">
        <v>3344</v>
      </c>
      <c r="C5" s="2977" t="s">
        <v>3345</v>
      </c>
      <c r="D5" s="2978" t="s">
        <v>3346</v>
      </c>
      <c r="E5" s="2978" t="s">
        <v>3347</v>
      </c>
      <c r="F5" s="1713"/>
      <c r="G5" s="1713"/>
      <c r="H5" s="1713"/>
      <c r="I5" s="1713"/>
      <c r="J5" s="1713"/>
      <c r="K5" s="1713"/>
      <c r="L5" s="1714"/>
      <c r="M5" s="1715"/>
      <c r="N5" s="1715"/>
      <c r="O5" s="1713"/>
      <c r="P5" s="1713"/>
      <c r="Q5" s="1713"/>
      <c r="R5" s="1713"/>
      <c r="S5" s="1716"/>
      <c r="T5" s="1221">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98</v>
      </c>
      <c r="E6" s="1121">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24">
      <c r="A7" s="1217"/>
      <c r="B7" s="2979" t="s">
        <v>3348</v>
      </c>
      <c r="C7" s="2980" t="s">
        <v>3349</v>
      </c>
      <c r="D7" s="2981" t="s">
        <v>3350</v>
      </c>
      <c r="E7" s="2981" t="s">
        <v>3351</v>
      </c>
      <c r="F7" s="1718"/>
      <c r="G7" s="1718"/>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98</v>
      </c>
      <c r="E8" s="1121">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3020</v>
      </c>
      <c r="B17" s="2921"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16814</v>
      </c>
      <c r="C20" s="167"/>
      <c r="D20" s="2923" t="s">
        <v>70</v>
      </c>
      <c r="E20" s="1795"/>
      <c r="F20" s="1206" t="e">
        <f ca="1">SUMIF(INDIRECT("'"&amp;H20&amp;"'"&amp;"!A:A"),"承租人权益价值",INDIRECT("'"&amp;H20&amp;"'"&amp;"!c:c"))</f>
        <v>#REF!</v>
      </c>
      <c r="G20" s="1206" t="s">
        <v>3024</v>
      </c>
      <c r="H20" s="2924"/>
      <c r="I20" s="167"/>
      <c r="J20" s="167"/>
      <c r="K20" s="167"/>
      <c r="L20" s="167"/>
      <c r="M20" s="167"/>
      <c r="N20" s="167"/>
      <c r="O20" s="167"/>
      <c r="P20" s="167"/>
      <c r="Q20" s="167"/>
      <c r="R20" s="787"/>
      <c r="S20" s="137"/>
    </row>
    <row r="21" spans="1:45" ht="15.75">
      <c r="A21" s="714" t="s">
        <v>3025</v>
      </c>
      <c r="B21" s="337">
        <f ca="1">R22</f>
        <v>9914</v>
      </c>
      <c r="C21" s="167"/>
      <c r="D21" s="167"/>
      <c r="E21" s="167"/>
      <c r="F21" s="167"/>
      <c r="G21" s="167"/>
      <c r="H21" s="167"/>
      <c r="I21" s="167"/>
      <c r="J21" s="167"/>
      <c r="K21" s="167"/>
      <c r="L21" s="167"/>
      <c r="M21" s="167"/>
      <c r="N21" s="167"/>
      <c r="O21" s="167"/>
      <c r="P21" s="167"/>
      <c r="Q21" s="167"/>
      <c r="R21" s="787"/>
      <c r="S21" s="137"/>
    </row>
    <row r="22" spans="1:45">
      <c r="A22" s="360" t="s">
        <v>3026</v>
      </c>
      <c r="B22" s="23">
        <f>SUM(B24:B10000)</f>
        <v>16960.349999999999</v>
      </c>
      <c r="C22" s="3225" t="s">
        <v>33</v>
      </c>
      <c r="D22" s="3226"/>
      <c r="E22" s="3226"/>
      <c r="F22" s="3226"/>
      <c r="G22" s="3226"/>
      <c r="H22" s="3226"/>
      <c r="I22" s="3226"/>
      <c r="J22" s="3226"/>
      <c r="K22" s="3226"/>
      <c r="L22" s="3226"/>
      <c r="M22" s="3226"/>
      <c r="N22" s="3226"/>
      <c r="O22" s="3226"/>
      <c r="P22" s="3226"/>
      <c r="Q22" s="3367"/>
      <c r="R22" s="715">
        <f ca="1">ROUND(S22*10000/B22,0)</f>
        <v>9914</v>
      </c>
      <c r="S22" s="23">
        <f ca="1">SUM(S24:S10000)</f>
        <v>16814</v>
      </c>
      <c r="T22" s="2986">
        <f>SUM(T24:T10000)</f>
        <v>888.10000000000139</v>
      </c>
    </row>
    <row r="23" spans="1:45" s="12" customFormat="1" ht="24">
      <c r="A23" s="11" t="s">
        <v>3027</v>
      </c>
      <c r="B23" s="11" t="s">
        <v>3028</v>
      </c>
      <c r="C23" s="11" t="s">
        <v>3029</v>
      </c>
      <c r="D23" s="11" t="str">
        <f>B5</f>
        <v>楼层</v>
      </c>
      <c r="E23" s="11" t="s">
        <v>3029</v>
      </c>
      <c r="F23" s="11" t="str">
        <f>B7</f>
        <v>装修</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2985" t="s">
        <v>3353</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1" t="str">
        <f>'数据-基础表'!C13</f>
        <v>18层1801号</v>
      </c>
      <c r="B24" s="717">
        <f>'数据-基础表'!I13</f>
        <v>80.73</v>
      </c>
      <c r="C24" s="718">
        <v>1</v>
      </c>
      <c r="D24" s="719" t="s">
        <v>3321</v>
      </c>
      <c r="E24" s="718">
        <v>1</v>
      </c>
      <c r="F24" s="719" t="s">
        <v>3332</v>
      </c>
      <c r="G24" s="718">
        <v>1</v>
      </c>
      <c r="H24" s="719"/>
      <c r="I24" s="718">
        <v>1</v>
      </c>
      <c r="J24" s="719"/>
      <c r="K24" s="718">
        <v>1</v>
      </c>
      <c r="L24" s="719"/>
      <c r="M24" s="718">
        <v>1</v>
      </c>
      <c r="N24" s="719"/>
      <c r="O24" s="718">
        <v>1</v>
      </c>
      <c r="P24" s="719"/>
      <c r="Q24" s="718">
        <v>1</v>
      </c>
      <c r="R24" s="720">
        <f ca="1">结果表!G20</f>
        <v>9668</v>
      </c>
      <c r="S24" s="718">
        <f t="shared" ref="S24:S54" ca="1" si="11">ROUND(R24*B24/10000,0)</f>
        <v>78</v>
      </c>
      <c r="T24" s="3019">
        <f>办公清单!F6</f>
        <v>4.24</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2" t="str">
        <f>'数据-基础表'!C14</f>
        <v>18层1802号</v>
      </c>
      <c r="B25" s="945">
        <f>'数据-基础表'!I14</f>
        <v>52.17</v>
      </c>
      <c r="C25" s="23">
        <f>IF(B25="",1,(LOOKUP(B25,$3:$3,$4:$4)-LOOKUP($B$24,$3:$3,$4:$4)+100)/100)</f>
        <v>1.01</v>
      </c>
      <c r="D25" s="2982" t="s">
        <v>3321</v>
      </c>
      <c r="E25" s="23">
        <f>(SUMIF($5:$5,D25,$6:$6)-SUMIF($5:$5,$D$24,$6:$6)+100)/100</f>
        <v>1</v>
      </c>
      <c r="F25" s="2982" t="s">
        <v>3332</v>
      </c>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9765</v>
      </c>
      <c r="S25" s="360">
        <f t="shared" ca="1" si="11"/>
        <v>51</v>
      </c>
      <c r="T25" s="3019">
        <f>办公清单!F7</f>
        <v>2.74</v>
      </c>
    </row>
    <row r="26" spans="1:45">
      <c r="A26" s="3002" t="str">
        <f>'数据-基础表'!C15</f>
        <v>18层1803号</v>
      </c>
      <c r="B26" s="945">
        <f>'数据-基础表'!I15</f>
        <v>52.17</v>
      </c>
      <c r="C26" s="23">
        <f t="shared" ref="C26:C89" si="12">IF(B26="",1,(LOOKUP(B26,$3:$3,$4:$4)-LOOKUP($B$24,$3:$3,$4:$4)+100)/100)</f>
        <v>1.01</v>
      </c>
      <c r="D26" s="2982" t="s">
        <v>3321</v>
      </c>
      <c r="E26" s="23">
        <f t="shared" ref="E26:E89" si="13">(SUMIF($5:$5,D26,$6:$6)-SUMIF($5:$5,$D$24,$6:$6)+100)/100</f>
        <v>1</v>
      </c>
      <c r="F26" s="2982" t="s">
        <v>3332</v>
      </c>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9765</v>
      </c>
      <c r="S26" s="360">
        <f t="shared" ca="1" si="11"/>
        <v>51</v>
      </c>
      <c r="T26" s="3019">
        <f>办公清单!F8</f>
        <v>2.74</v>
      </c>
    </row>
    <row r="27" spans="1:45">
      <c r="A27" s="3002" t="str">
        <f>'数据-基础表'!C16</f>
        <v>18层1804号</v>
      </c>
      <c r="B27" s="945">
        <f>'数据-基础表'!I16</f>
        <v>52.17</v>
      </c>
      <c r="C27" s="23">
        <f t="shared" si="12"/>
        <v>1.01</v>
      </c>
      <c r="D27" s="2982" t="s">
        <v>3321</v>
      </c>
      <c r="E27" s="23">
        <f t="shared" si="13"/>
        <v>1</v>
      </c>
      <c r="F27" s="2982" t="s">
        <v>3332</v>
      </c>
      <c r="G27" s="23">
        <f t="shared" si="14"/>
        <v>1</v>
      </c>
      <c r="H27" s="719"/>
      <c r="I27" s="23">
        <f t="shared" si="15"/>
        <v>1</v>
      </c>
      <c r="J27" s="719"/>
      <c r="K27" s="23">
        <f t="shared" si="16"/>
        <v>1</v>
      </c>
      <c r="L27" s="719"/>
      <c r="M27" s="23">
        <f t="shared" si="17"/>
        <v>1</v>
      </c>
      <c r="N27" s="719"/>
      <c r="O27" s="23">
        <f t="shared" si="18"/>
        <v>1</v>
      </c>
      <c r="P27" s="719"/>
      <c r="Q27" s="23">
        <f t="shared" si="19"/>
        <v>1</v>
      </c>
      <c r="R27" s="715">
        <f t="shared" ca="1" si="20"/>
        <v>9765</v>
      </c>
      <c r="S27" s="360">
        <f t="shared" ca="1" si="11"/>
        <v>51</v>
      </c>
      <c r="T27" s="3019">
        <f>办公清单!F9</f>
        <v>2.74</v>
      </c>
    </row>
    <row r="28" spans="1:45">
      <c r="A28" s="3002" t="str">
        <f>'数据-基础表'!C17</f>
        <v>18层1805号</v>
      </c>
      <c r="B28" s="945">
        <f>'数据-基础表'!I17</f>
        <v>52.17</v>
      </c>
      <c r="C28" s="23">
        <f t="shared" si="12"/>
        <v>1.01</v>
      </c>
      <c r="D28" s="2982" t="s">
        <v>3321</v>
      </c>
      <c r="E28" s="23">
        <f t="shared" si="13"/>
        <v>1</v>
      </c>
      <c r="F28" s="2982" t="s">
        <v>3332</v>
      </c>
      <c r="G28" s="23">
        <f t="shared" si="14"/>
        <v>1</v>
      </c>
      <c r="H28" s="719"/>
      <c r="I28" s="23">
        <f t="shared" si="15"/>
        <v>1</v>
      </c>
      <c r="J28" s="719"/>
      <c r="K28" s="23">
        <f t="shared" si="16"/>
        <v>1</v>
      </c>
      <c r="L28" s="719"/>
      <c r="M28" s="23">
        <f t="shared" si="17"/>
        <v>1</v>
      </c>
      <c r="N28" s="719"/>
      <c r="O28" s="23">
        <f t="shared" si="18"/>
        <v>1</v>
      </c>
      <c r="P28" s="719"/>
      <c r="Q28" s="23">
        <f t="shared" si="19"/>
        <v>1</v>
      </c>
      <c r="R28" s="715">
        <f t="shared" ca="1" si="20"/>
        <v>9765</v>
      </c>
      <c r="S28" s="360">
        <f t="shared" ca="1" si="11"/>
        <v>51</v>
      </c>
      <c r="T28" s="3019">
        <f>办公清单!F10</f>
        <v>2.74</v>
      </c>
    </row>
    <row r="29" spans="1:45">
      <c r="A29" s="3002" t="str">
        <f>'数据-基础表'!C18</f>
        <v>18层1806号</v>
      </c>
      <c r="B29" s="945">
        <f>'数据-基础表'!I18</f>
        <v>52.17</v>
      </c>
      <c r="C29" s="23">
        <f t="shared" si="12"/>
        <v>1.01</v>
      </c>
      <c r="D29" s="2982" t="s">
        <v>3321</v>
      </c>
      <c r="E29" s="23">
        <f t="shared" si="13"/>
        <v>1</v>
      </c>
      <c r="F29" s="2982" t="s">
        <v>3332</v>
      </c>
      <c r="G29" s="23">
        <f t="shared" si="14"/>
        <v>1</v>
      </c>
      <c r="H29" s="719"/>
      <c r="I29" s="23">
        <f t="shared" si="15"/>
        <v>1</v>
      </c>
      <c r="J29" s="719"/>
      <c r="K29" s="23">
        <f t="shared" si="16"/>
        <v>1</v>
      </c>
      <c r="L29" s="719"/>
      <c r="M29" s="23">
        <f t="shared" si="17"/>
        <v>1</v>
      </c>
      <c r="N29" s="719"/>
      <c r="O29" s="23">
        <f t="shared" si="18"/>
        <v>1</v>
      </c>
      <c r="P29" s="719"/>
      <c r="Q29" s="23">
        <f t="shared" si="19"/>
        <v>1</v>
      </c>
      <c r="R29" s="715">
        <f t="shared" ca="1" si="20"/>
        <v>9765</v>
      </c>
      <c r="S29" s="360">
        <f t="shared" ca="1" si="11"/>
        <v>51</v>
      </c>
      <c r="T29" s="3019">
        <f>办公清单!F11</f>
        <v>2.74</v>
      </c>
    </row>
    <row r="30" spans="1:45">
      <c r="A30" s="3002" t="str">
        <f>'数据-基础表'!C19</f>
        <v>18层1807号</v>
      </c>
      <c r="B30" s="945">
        <f>'数据-基础表'!I19</f>
        <v>52.17</v>
      </c>
      <c r="C30" s="23">
        <f t="shared" si="12"/>
        <v>1.01</v>
      </c>
      <c r="D30" s="2982" t="s">
        <v>3321</v>
      </c>
      <c r="E30" s="23">
        <f t="shared" si="13"/>
        <v>1</v>
      </c>
      <c r="F30" s="2982" t="s">
        <v>3332</v>
      </c>
      <c r="G30" s="23">
        <f t="shared" si="14"/>
        <v>1</v>
      </c>
      <c r="H30" s="719"/>
      <c r="I30" s="23">
        <f t="shared" si="15"/>
        <v>1</v>
      </c>
      <c r="J30" s="719"/>
      <c r="K30" s="23">
        <f t="shared" si="16"/>
        <v>1</v>
      </c>
      <c r="L30" s="719"/>
      <c r="M30" s="23">
        <f t="shared" si="17"/>
        <v>1</v>
      </c>
      <c r="N30" s="719"/>
      <c r="O30" s="23">
        <f t="shared" si="18"/>
        <v>1</v>
      </c>
      <c r="P30" s="719"/>
      <c r="Q30" s="23">
        <f t="shared" si="19"/>
        <v>1</v>
      </c>
      <c r="R30" s="715">
        <f t="shared" ca="1" si="20"/>
        <v>9765</v>
      </c>
      <c r="S30" s="360">
        <f t="shared" ca="1" si="11"/>
        <v>51</v>
      </c>
      <c r="T30" s="3019">
        <f>办公清单!F12</f>
        <v>2.74</v>
      </c>
    </row>
    <row r="31" spans="1:45">
      <c r="A31" s="3002" t="str">
        <f>'数据-基础表'!C20</f>
        <v>18层1808号</v>
      </c>
      <c r="B31" s="945">
        <f>'数据-基础表'!I20</f>
        <v>52.17</v>
      </c>
      <c r="C31" s="23">
        <f t="shared" si="12"/>
        <v>1.01</v>
      </c>
      <c r="D31" s="2982" t="s">
        <v>3321</v>
      </c>
      <c r="E31" s="23">
        <f t="shared" si="13"/>
        <v>1</v>
      </c>
      <c r="F31" s="2982" t="s">
        <v>3332</v>
      </c>
      <c r="G31" s="23">
        <f t="shared" si="14"/>
        <v>1</v>
      </c>
      <c r="H31" s="719"/>
      <c r="I31" s="23">
        <f t="shared" si="15"/>
        <v>1</v>
      </c>
      <c r="J31" s="719"/>
      <c r="K31" s="23">
        <f t="shared" si="16"/>
        <v>1</v>
      </c>
      <c r="L31" s="719"/>
      <c r="M31" s="23">
        <f t="shared" si="17"/>
        <v>1</v>
      </c>
      <c r="N31" s="719"/>
      <c r="O31" s="23">
        <f t="shared" si="18"/>
        <v>1</v>
      </c>
      <c r="P31" s="719"/>
      <c r="Q31" s="23">
        <f t="shared" si="19"/>
        <v>1</v>
      </c>
      <c r="R31" s="715">
        <f t="shared" ca="1" si="20"/>
        <v>9765</v>
      </c>
      <c r="S31" s="360">
        <f t="shared" ca="1" si="11"/>
        <v>51</v>
      </c>
      <c r="T31" s="3019">
        <f>办公清单!F13</f>
        <v>2.74</v>
      </c>
    </row>
    <row r="32" spans="1:45">
      <c r="A32" s="3002" t="str">
        <f>'数据-基础表'!C21</f>
        <v>18层1809号</v>
      </c>
      <c r="B32" s="945">
        <f>'数据-基础表'!I21</f>
        <v>52.17</v>
      </c>
      <c r="C32" s="23">
        <f t="shared" si="12"/>
        <v>1.01</v>
      </c>
      <c r="D32" s="2982" t="s">
        <v>3321</v>
      </c>
      <c r="E32" s="23">
        <f t="shared" si="13"/>
        <v>1</v>
      </c>
      <c r="F32" s="2982" t="s">
        <v>3332</v>
      </c>
      <c r="G32" s="23">
        <f t="shared" si="14"/>
        <v>1</v>
      </c>
      <c r="H32" s="719"/>
      <c r="I32" s="23">
        <f t="shared" si="15"/>
        <v>1</v>
      </c>
      <c r="J32" s="719"/>
      <c r="K32" s="23">
        <f t="shared" si="16"/>
        <v>1</v>
      </c>
      <c r="L32" s="719"/>
      <c r="M32" s="23">
        <f t="shared" si="17"/>
        <v>1</v>
      </c>
      <c r="N32" s="719"/>
      <c r="O32" s="23">
        <f t="shared" si="18"/>
        <v>1</v>
      </c>
      <c r="P32" s="719"/>
      <c r="Q32" s="23">
        <f t="shared" si="19"/>
        <v>1</v>
      </c>
      <c r="R32" s="715">
        <f t="shared" ca="1" si="20"/>
        <v>9765</v>
      </c>
      <c r="S32" s="360">
        <f t="shared" ca="1" si="11"/>
        <v>51</v>
      </c>
      <c r="T32" s="3019">
        <f>办公清单!F14</f>
        <v>2.74</v>
      </c>
    </row>
    <row r="33" spans="1:20">
      <c r="A33" s="3002" t="str">
        <f>'数据-基础表'!C22</f>
        <v>18层1810号</v>
      </c>
      <c r="B33" s="945">
        <f>'数据-基础表'!I22</f>
        <v>52.17</v>
      </c>
      <c r="C33" s="23">
        <f t="shared" si="12"/>
        <v>1.01</v>
      </c>
      <c r="D33" s="2982" t="s">
        <v>3321</v>
      </c>
      <c r="E33" s="23">
        <f t="shared" si="13"/>
        <v>1</v>
      </c>
      <c r="F33" s="2982" t="s">
        <v>3332</v>
      </c>
      <c r="G33" s="23">
        <f t="shared" si="14"/>
        <v>1</v>
      </c>
      <c r="H33" s="719"/>
      <c r="I33" s="23">
        <f t="shared" si="15"/>
        <v>1</v>
      </c>
      <c r="J33" s="719"/>
      <c r="K33" s="23">
        <f t="shared" si="16"/>
        <v>1</v>
      </c>
      <c r="L33" s="719"/>
      <c r="M33" s="23">
        <f t="shared" si="17"/>
        <v>1</v>
      </c>
      <c r="N33" s="719"/>
      <c r="O33" s="23">
        <f t="shared" si="18"/>
        <v>1</v>
      </c>
      <c r="P33" s="719"/>
      <c r="Q33" s="23">
        <f t="shared" si="19"/>
        <v>1</v>
      </c>
      <c r="R33" s="715">
        <f t="shared" ca="1" si="20"/>
        <v>9765</v>
      </c>
      <c r="S33" s="360">
        <f t="shared" ca="1" si="11"/>
        <v>51</v>
      </c>
      <c r="T33" s="3019">
        <f>办公清单!F15</f>
        <v>2.74</v>
      </c>
    </row>
    <row r="34" spans="1:20">
      <c r="A34" s="3002" t="str">
        <f>'数据-基础表'!C23</f>
        <v>18层1811号</v>
      </c>
      <c r="B34" s="945">
        <f>'数据-基础表'!I23</f>
        <v>52.17</v>
      </c>
      <c r="C34" s="23">
        <f t="shared" si="12"/>
        <v>1.01</v>
      </c>
      <c r="D34" s="2982" t="s">
        <v>3321</v>
      </c>
      <c r="E34" s="23">
        <f t="shared" si="13"/>
        <v>1</v>
      </c>
      <c r="F34" s="2982" t="s">
        <v>3332</v>
      </c>
      <c r="G34" s="23">
        <f t="shared" si="14"/>
        <v>1</v>
      </c>
      <c r="H34" s="719"/>
      <c r="I34" s="23">
        <f t="shared" si="15"/>
        <v>1</v>
      </c>
      <c r="J34" s="719"/>
      <c r="K34" s="23">
        <f t="shared" si="16"/>
        <v>1</v>
      </c>
      <c r="L34" s="719"/>
      <c r="M34" s="23">
        <f t="shared" si="17"/>
        <v>1</v>
      </c>
      <c r="N34" s="719"/>
      <c r="O34" s="23">
        <f t="shared" si="18"/>
        <v>1</v>
      </c>
      <c r="P34" s="719"/>
      <c r="Q34" s="23">
        <f t="shared" si="19"/>
        <v>1</v>
      </c>
      <c r="R34" s="715">
        <f t="shared" ca="1" si="20"/>
        <v>9765</v>
      </c>
      <c r="S34" s="360">
        <f t="shared" ca="1" si="11"/>
        <v>51</v>
      </c>
      <c r="T34" s="3019">
        <f>办公清单!F16</f>
        <v>2.74</v>
      </c>
    </row>
    <row r="35" spans="1:20">
      <c r="A35" s="3002" t="str">
        <f>'数据-基础表'!C24</f>
        <v>18层1812号</v>
      </c>
      <c r="B35" s="945">
        <f>'数据-基础表'!I24</f>
        <v>80.73</v>
      </c>
      <c r="C35" s="23">
        <f t="shared" si="12"/>
        <v>1</v>
      </c>
      <c r="D35" s="2982" t="s">
        <v>3321</v>
      </c>
      <c r="E35" s="23">
        <f t="shared" si="13"/>
        <v>1</v>
      </c>
      <c r="F35" s="2982" t="s">
        <v>3332</v>
      </c>
      <c r="G35" s="23">
        <f t="shared" si="14"/>
        <v>1</v>
      </c>
      <c r="H35" s="719"/>
      <c r="I35" s="23">
        <f t="shared" si="15"/>
        <v>1</v>
      </c>
      <c r="J35" s="719"/>
      <c r="K35" s="23">
        <f t="shared" si="16"/>
        <v>1</v>
      </c>
      <c r="L35" s="719"/>
      <c r="M35" s="23">
        <f t="shared" si="17"/>
        <v>1</v>
      </c>
      <c r="N35" s="719"/>
      <c r="O35" s="23">
        <f t="shared" si="18"/>
        <v>1</v>
      </c>
      <c r="P35" s="719"/>
      <c r="Q35" s="23">
        <f t="shared" si="19"/>
        <v>1</v>
      </c>
      <c r="R35" s="715">
        <f t="shared" ca="1" si="20"/>
        <v>9668</v>
      </c>
      <c r="S35" s="360">
        <f t="shared" ca="1" si="11"/>
        <v>78</v>
      </c>
      <c r="T35" s="3019">
        <f>办公清单!F17</f>
        <v>4.24</v>
      </c>
    </row>
    <row r="36" spans="1:20">
      <c r="A36" s="3002" t="str">
        <f>'数据-基础表'!C25</f>
        <v>18层1813号</v>
      </c>
      <c r="B36" s="945">
        <f>'数据-基础表'!I25</f>
        <v>66.040000000000006</v>
      </c>
      <c r="C36" s="23">
        <f t="shared" si="12"/>
        <v>1</v>
      </c>
      <c r="D36" s="2982" t="s">
        <v>3321</v>
      </c>
      <c r="E36" s="23">
        <f t="shared" si="13"/>
        <v>1</v>
      </c>
      <c r="F36" s="2982" t="s">
        <v>3332</v>
      </c>
      <c r="G36" s="23">
        <f t="shared" si="14"/>
        <v>1</v>
      </c>
      <c r="H36" s="719"/>
      <c r="I36" s="23">
        <f t="shared" si="15"/>
        <v>1</v>
      </c>
      <c r="J36" s="719"/>
      <c r="K36" s="23">
        <f t="shared" si="16"/>
        <v>1</v>
      </c>
      <c r="L36" s="719"/>
      <c r="M36" s="23">
        <f t="shared" si="17"/>
        <v>1</v>
      </c>
      <c r="N36" s="719"/>
      <c r="O36" s="23">
        <f t="shared" si="18"/>
        <v>1</v>
      </c>
      <c r="P36" s="719"/>
      <c r="Q36" s="23">
        <f t="shared" si="19"/>
        <v>1</v>
      </c>
      <c r="R36" s="715">
        <f t="shared" ca="1" si="20"/>
        <v>9668</v>
      </c>
      <c r="S36" s="360">
        <f t="shared" ca="1" si="11"/>
        <v>64</v>
      </c>
      <c r="T36" s="3019">
        <f>办公清单!F18</f>
        <v>3.47</v>
      </c>
    </row>
    <row r="37" spans="1:20">
      <c r="A37" s="3002" t="str">
        <f>'数据-基础表'!C26</f>
        <v>18层1814号</v>
      </c>
      <c r="B37" s="945">
        <f>'数据-基础表'!I26</f>
        <v>66.040000000000006</v>
      </c>
      <c r="C37" s="23">
        <f t="shared" si="12"/>
        <v>1</v>
      </c>
      <c r="D37" s="2982" t="s">
        <v>3321</v>
      </c>
      <c r="E37" s="23">
        <f t="shared" si="13"/>
        <v>1</v>
      </c>
      <c r="F37" s="2982" t="s">
        <v>3332</v>
      </c>
      <c r="G37" s="23">
        <f t="shared" si="14"/>
        <v>1</v>
      </c>
      <c r="H37" s="719"/>
      <c r="I37" s="23">
        <f t="shared" si="15"/>
        <v>1</v>
      </c>
      <c r="J37" s="719"/>
      <c r="K37" s="23">
        <f t="shared" si="16"/>
        <v>1</v>
      </c>
      <c r="L37" s="719"/>
      <c r="M37" s="23">
        <f t="shared" si="17"/>
        <v>1</v>
      </c>
      <c r="N37" s="719"/>
      <c r="O37" s="23">
        <f t="shared" si="18"/>
        <v>1</v>
      </c>
      <c r="P37" s="719"/>
      <c r="Q37" s="23">
        <f t="shared" si="19"/>
        <v>1</v>
      </c>
      <c r="R37" s="715">
        <f t="shared" ca="1" si="20"/>
        <v>9668</v>
      </c>
      <c r="S37" s="360">
        <f t="shared" ca="1" si="11"/>
        <v>64</v>
      </c>
      <c r="T37" s="3019">
        <f>办公清单!F19</f>
        <v>3.47</v>
      </c>
    </row>
    <row r="38" spans="1:20">
      <c r="A38" s="3002" t="str">
        <f>'数据-基础表'!C27</f>
        <v>18层1815号</v>
      </c>
      <c r="B38" s="945">
        <f>'数据-基础表'!I27</f>
        <v>80.73</v>
      </c>
      <c r="C38" s="23">
        <f t="shared" si="12"/>
        <v>1</v>
      </c>
      <c r="D38" s="2982" t="s">
        <v>3321</v>
      </c>
      <c r="E38" s="23">
        <f t="shared" si="13"/>
        <v>1</v>
      </c>
      <c r="F38" s="2982" t="s">
        <v>3332</v>
      </c>
      <c r="G38" s="23">
        <f t="shared" si="14"/>
        <v>1</v>
      </c>
      <c r="H38" s="719"/>
      <c r="I38" s="23">
        <f t="shared" si="15"/>
        <v>1</v>
      </c>
      <c r="J38" s="719"/>
      <c r="K38" s="23">
        <f t="shared" si="16"/>
        <v>1</v>
      </c>
      <c r="L38" s="719"/>
      <c r="M38" s="23">
        <f t="shared" si="17"/>
        <v>1</v>
      </c>
      <c r="N38" s="719"/>
      <c r="O38" s="23">
        <f t="shared" si="18"/>
        <v>1</v>
      </c>
      <c r="P38" s="719"/>
      <c r="Q38" s="23">
        <f t="shared" si="19"/>
        <v>1</v>
      </c>
      <c r="R38" s="715">
        <f t="shared" ca="1" si="20"/>
        <v>9668</v>
      </c>
      <c r="S38" s="360">
        <f t="shared" ca="1" si="11"/>
        <v>78</v>
      </c>
      <c r="T38" s="3019">
        <f>办公清单!F20</f>
        <v>4.24</v>
      </c>
    </row>
    <row r="39" spans="1:20">
      <c r="A39" s="3002" t="str">
        <f>'数据-基础表'!C28</f>
        <v>18层1816号</v>
      </c>
      <c r="B39" s="945">
        <f>'数据-基础表'!I28</f>
        <v>52.17</v>
      </c>
      <c r="C39" s="23">
        <f t="shared" si="12"/>
        <v>1.01</v>
      </c>
      <c r="D39" s="2982" t="s">
        <v>3321</v>
      </c>
      <c r="E39" s="23">
        <f t="shared" si="13"/>
        <v>1</v>
      </c>
      <c r="F39" s="2982" t="s">
        <v>3332</v>
      </c>
      <c r="G39" s="23">
        <f t="shared" si="14"/>
        <v>1</v>
      </c>
      <c r="H39" s="719"/>
      <c r="I39" s="23">
        <f t="shared" si="15"/>
        <v>1</v>
      </c>
      <c r="J39" s="719"/>
      <c r="K39" s="23">
        <f t="shared" si="16"/>
        <v>1</v>
      </c>
      <c r="L39" s="719"/>
      <c r="M39" s="23">
        <f t="shared" si="17"/>
        <v>1</v>
      </c>
      <c r="N39" s="719"/>
      <c r="O39" s="23">
        <f t="shared" si="18"/>
        <v>1</v>
      </c>
      <c r="P39" s="719"/>
      <c r="Q39" s="23">
        <f t="shared" si="19"/>
        <v>1</v>
      </c>
      <c r="R39" s="715">
        <f t="shared" ca="1" si="20"/>
        <v>9765</v>
      </c>
      <c r="S39" s="360">
        <f t="shared" ca="1" si="11"/>
        <v>51</v>
      </c>
      <c r="T39" s="3019">
        <f>办公清单!F21</f>
        <v>2.74</v>
      </c>
    </row>
    <row r="40" spans="1:20">
      <c r="A40" s="3002" t="str">
        <f>'数据-基础表'!C29</f>
        <v>18层1817号</v>
      </c>
      <c r="B40" s="945">
        <f>'数据-基础表'!I29</f>
        <v>52.17</v>
      </c>
      <c r="C40" s="23">
        <f t="shared" si="12"/>
        <v>1.01</v>
      </c>
      <c r="D40" s="2982" t="s">
        <v>3321</v>
      </c>
      <c r="E40" s="23">
        <f t="shared" si="13"/>
        <v>1</v>
      </c>
      <c r="F40" s="2982" t="s">
        <v>3332</v>
      </c>
      <c r="G40" s="23">
        <f t="shared" si="14"/>
        <v>1</v>
      </c>
      <c r="H40" s="719"/>
      <c r="I40" s="23">
        <f t="shared" si="15"/>
        <v>1</v>
      </c>
      <c r="J40" s="719"/>
      <c r="K40" s="23">
        <f t="shared" si="16"/>
        <v>1</v>
      </c>
      <c r="L40" s="719"/>
      <c r="M40" s="23">
        <f t="shared" si="17"/>
        <v>1</v>
      </c>
      <c r="N40" s="719"/>
      <c r="O40" s="23">
        <f t="shared" si="18"/>
        <v>1</v>
      </c>
      <c r="P40" s="719"/>
      <c r="Q40" s="23">
        <f t="shared" si="19"/>
        <v>1</v>
      </c>
      <c r="R40" s="715">
        <f t="shared" ca="1" si="20"/>
        <v>9765</v>
      </c>
      <c r="S40" s="360">
        <f t="shared" ca="1" si="11"/>
        <v>51</v>
      </c>
      <c r="T40" s="3019">
        <f>办公清单!F22</f>
        <v>2.74</v>
      </c>
    </row>
    <row r="41" spans="1:20">
      <c r="A41" s="3002" t="str">
        <f>'数据-基础表'!C30</f>
        <v>18层1818号</v>
      </c>
      <c r="B41" s="945">
        <f>'数据-基础表'!I30</f>
        <v>52.17</v>
      </c>
      <c r="C41" s="23">
        <f t="shared" si="12"/>
        <v>1.01</v>
      </c>
      <c r="D41" s="2982" t="s">
        <v>3321</v>
      </c>
      <c r="E41" s="23">
        <f t="shared" si="13"/>
        <v>1</v>
      </c>
      <c r="F41" s="2982" t="s">
        <v>3332</v>
      </c>
      <c r="G41" s="23">
        <f t="shared" si="14"/>
        <v>1</v>
      </c>
      <c r="H41" s="719"/>
      <c r="I41" s="23">
        <f t="shared" si="15"/>
        <v>1</v>
      </c>
      <c r="J41" s="719"/>
      <c r="K41" s="23">
        <f t="shared" si="16"/>
        <v>1</v>
      </c>
      <c r="L41" s="719"/>
      <c r="M41" s="23">
        <f t="shared" si="17"/>
        <v>1</v>
      </c>
      <c r="N41" s="719"/>
      <c r="O41" s="23">
        <f t="shared" si="18"/>
        <v>1</v>
      </c>
      <c r="P41" s="719"/>
      <c r="Q41" s="23">
        <f t="shared" si="19"/>
        <v>1</v>
      </c>
      <c r="R41" s="715">
        <f t="shared" ca="1" si="20"/>
        <v>9765</v>
      </c>
      <c r="S41" s="360">
        <f t="shared" ca="1" si="11"/>
        <v>51</v>
      </c>
      <c r="T41" s="3019">
        <f>办公清单!F23</f>
        <v>2.74</v>
      </c>
    </row>
    <row r="42" spans="1:20">
      <c r="A42" s="3002" t="str">
        <f>'数据-基础表'!C31</f>
        <v>18层1819号</v>
      </c>
      <c r="B42" s="945">
        <f>'数据-基础表'!I31</f>
        <v>52.17</v>
      </c>
      <c r="C42" s="23">
        <f t="shared" si="12"/>
        <v>1.01</v>
      </c>
      <c r="D42" s="2982" t="s">
        <v>3321</v>
      </c>
      <c r="E42" s="23">
        <f t="shared" si="13"/>
        <v>1</v>
      </c>
      <c r="F42" s="2982" t="s">
        <v>3332</v>
      </c>
      <c r="G42" s="23">
        <f t="shared" si="14"/>
        <v>1</v>
      </c>
      <c r="H42" s="719"/>
      <c r="I42" s="23">
        <f t="shared" si="15"/>
        <v>1</v>
      </c>
      <c r="J42" s="719"/>
      <c r="K42" s="23">
        <f t="shared" si="16"/>
        <v>1</v>
      </c>
      <c r="L42" s="719"/>
      <c r="M42" s="23">
        <f t="shared" si="17"/>
        <v>1</v>
      </c>
      <c r="N42" s="719"/>
      <c r="O42" s="23">
        <f t="shared" si="18"/>
        <v>1</v>
      </c>
      <c r="P42" s="719"/>
      <c r="Q42" s="23">
        <f t="shared" si="19"/>
        <v>1</v>
      </c>
      <c r="R42" s="715">
        <f t="shared" ca="1" si="20"/>
        <v>9765</v>
      </c>
      <c r="S42" s="360">
        <f t="shared" ca="1" si="11"/>
        <v>51</v>
      </c>
      <c r="T42" s="3019">
        <f>办公清单!F24</f>
        <v>2.74</v>
      </c>
    </row>
    <row r="43" spans="1:20">
      <c r="A43" s="3002" t="str">
        <f>'数据-基础表'!C32</f>
        <v>18层1820号</v>
      </c>
      <c r="B43" s="945">
        <f>'数据-基础表'!I32</f>
        <v>52.17</v>
      </c>
      <c r="C43" s="23">
        <f t="shared" si="12"/>
        <v>1.01</v>
      </c>
      <c r="D43" s="2982" t="s">
        <v>3321</v>
      </c>
      <c r="E43" s="23">
        <f t="shared" si="13"/>
        <v>1</v>
      </c>
      <c r="F43" s="2982" t="s">
        <v>3332</v>
      </c>
      <c r="G43" s="23">
        <f t="shared" si="14"/>
        <v>1</v>
      </c>
      <c r="H43" s="719"/>
      <c r="I43" s="23">
        <f t="shared" si="15"/>
        <v>1</v>
      </c>
      <c r="J43" s="719"/>
      <c r="K43" s="23">
        <f t="shared" si="16"/>
        <v>1</v>
      </c>
      <c r="L43" s="719"/>
      <c r="M43" s="23">
        <f t="shared" si="17"/>
        <v>1</v>
      </c>
      <c r="N43" s="719"/>
      <c r="O43" s="23">
        <f t="shared" si="18"/>
        <v>1</v>
      </c>
      <c r="P43" s="719"/>
      <c r="Q43" s="23">
        <f t="shared" si="19"/>
        <v>1</v>
      </c>
      <c r="R43" s="715">
        <f t="shared" ca="1" si="20"/>
        <v>9765</v>
      </c>
      <c r="S43" s="360">
        <f t="shared" ca="1" si="11"/>
        <v>51</v>
      </c>
      <c r="T43" s="3019">
        <f>办公清单!F25</f>
        <v>2.74</v>
      </c>
    </row>
    <row r="44" spans="1:20">
      <c r="A44" s="3002" t="str">
        <f>'数据-基础表'!C33</f>
        <v>18层1821号</v>
      </c>
      <c r="B44" s="945">
        <f>'数据-基础表'!I33</f>
        <v>52.17</v>
      </c>
      <c r="C44" s="23">
        <f t="shared" si="12"/>
        <v>1.01</v>
      </c>
      <c r="D44" s="2982" t="s">
        <v>3321</v>
      </c>
      <c r="E44" s="23">
        <f t="shared" si="13"/>
        <v>1</v>
      </c>
      <c r="F44" s="2982" t="s">
        <v>3332</v>
      </c>
      <c r="G44" s="23">
        <f t="shared" si="14"/>
        <v>1</v>
      </c>
      <c r="H44" s="719"/>
      <c r="I44" s="23">
        <f t="shared" si="15"/>
        <v>1</v>
      </c>
      <c r="J44" s="719"/>
      <c r="K44" s="23">
        <f t="shared" si="16"/>
        <v>1</v>
      </c>
      <c r="L44" s="719"/>
      <c r="M44" s="23">
        <f t="shared" si="17"/>
        <v>1</v>
      </c>
      <c r="N44" s="719"/>
      <c r="O44" s="23">
        <f t="shared" si="18"/>
        <v>1</v>
      </c>
      <c r="P44" s="719"/>
      <c r="Q44" s="23">
        <f t="shared" si="19"/>
        <v>1</v>
      </c>
      <c r="R44" s="715">
        <f t="shared" ca="1" si="20"/>
        <v>9765</v>
      </c>
      <c r="S44" s="360">
        <f t="shared" ca="1" si="11"/>
        <v>51</v>
      </c>
      <c r="T44" s="3019">
        <f>办公清单!F26</f>
        <v>2.74</v>
      </c>
    </row>
    <row r="45" spans="1:20">
      <c r="A45" s="3002" t="str">
        <f>'数据-基础表'!C34</f>
        <v>18层1822号</v>
      </c>
      <c r="B45" s="945">
        <f>'数据-基础表'!I34</f>
        <v>52.17</v>
      </c>
      <c r="C45" s="23">
        <f t="shared" si="12"/>
        <v>1.01</v>
      </c>
      <c r="D45" s="2982" t="s">
        <v>3321</v>
      </c>
      <c r="E45" s="23">
        <f t="shared" si="13"/>
        <v>1</v>
      </c>
      <c r="F45" s="2982" t="s">
        <v>3332</v>
      </c>
      <c r="G45" s="23">
        <f t="shared" si="14"/>
        <v>1</v>
      </c>
      <c r="H45" s="719"/>
      <c r="I45" s="23">
        <f t="shared" si="15"/>
        <v>1</v>
      </c>
      <c r="J45" s="719"/>
      <c r="K45" s="23">
        <f t="shared" si="16"/>
        <v>1</v>
      </c>
      <c r="L45" s="719"/>
      <c r="M45" s="23">
        <f t="shared" si="17"/>
        <v>1</v>
      </c>
      <c r="N45" s="719"/>
      <c r="O45" s="23">
        <f t="shared" si="18"/>
        <v>1</v>
      </c>
      <c r="P45" s="719"/>
      <c r="Q45" s="23">
        <f t="shared" si="19"/>
        <v>1</v>
      </c>
      <c r="R45" s="715">
        <f t="shared" ca="1" si="20"/>
        <v>9765</v>
      </c>
      <c r="S45" s="360">
        <f t="shared" ca="1" si="11"/>
        <v>51</v>
      </c>
      <c r="T45" s="3019">
        <f>办公清单!F27</f>
        <v>2.74</v>
      </c>
    </row>
    <row r="46" spans="1:20">
      <c r="A46" s="3002" t="str">
        <f>'数据-基础表'!C35</f>
        <v>18层1823号</v>
      </c>
      <c r="B46" s="945">
        <f>'数据-基础表'!I35</f>
        <v>52.17</v>
      </c>
      <c r="C46" s="23">
        <f t="shared" si="12"/>
        <v>1.01</v>
      </c>
      <c r="D46" s="2982" t="s">
        <v>3321</v>
      </c>
      <c r="E46" s="23">
        <f t="shared" si="13"/>
        <v>1</v>
      </c>
      <c r="F46" s="2982" t="s">
        <v>3332</v>
      </c>
      <c r="G46" s="23">
        <f t="shared" si="14"/>
        <v>1</v>
      </c>
      <c r="H46" s="719"/>
      <c r="I46" s="23">
        <f t="shared" si="15"/>
        <v>1</v>
      </c>
      <c r="J46" s="719"/>
      <c r="K46" s="23">
        <f t="shared" si="16"/>
        <v>1</v>
      </c>
      <c r="L46" s="719"/>
      <c r="M46" s="23">
        <f t="shared" si="17"/>
        <v>1</v>
      </c>
      <c r="N46" s="719"/>
      <c r="O46" s="23">
        <f t="shared" si="18"/>
        <v>1</v>
      </c>
      <c r="P46" s="719"/>
      <c r="Q46" s="23">
        <f t="shared" si="19"/>
        <v>1</v>
      </c>
      <c r="R46" s="715">
        <f t="shared" ca="1" si="20"/>
        <v>9765</v>
      </c>
      <c r="S46" s="360">
        <f t="shared" ca="1" si="11"/>
        <v>51</v>
      </c>
      <c r="T46" s="3019">
        <f>办公清单!F28</f>
        <v>2.74</v>
      </c>
    </row>
    <row r="47" spans="1:20">
      <c r="A47" s="3002" t="str">
        <f>'数据-基础表'!C36</f>
        <v>18层1824号</v>
      </c>
      <c r="B47" s="945">
        <f>'数据-基础表'!I36</f>
        <v>52.17</v>
      </c>
      <c r="C47" s="23">
        <f t="shared" si="12"/>
        <v>1.01</v>
      </c>
      <c r="D47" s="2982" t="s">
        <v>3321</v>
      </c>
      <c r="E47" s="23">
        <f t="shared" si="13"/>
        <v>1</v>
      </c>
      <c r="F47" s="2982" t="s">
        <v>3332</v>
      </c>
      <c r="G47" s="23">
        <f t="shared" si="14"/>
        <v>1</v>
      </c>
      <c r="H47" s="719"/>
      <c r="I47" s="23">
        <f t="shared" si="15"/>
        <v>1</v>
      </c>
      <c r="J47" s="719"/>
      <c r="K47" s="23">
        <f t="shared" si="16"/>
        <v>1</v>
      </c>
      <c r="L47" s="719"/>
      <c r="M47" s="23">
        <f t="shared" si="17"/>
        <v>1</v>
      </c>
      <c r="N47" s="719"/>
      <c r="O47" s="23">
        <f t="shared" si="18"/>
        <v>1</v>
      </c>
      <c r="P47" s="719"/>
      <c r="Q47" s="23">
        <f t="shared" si="19"/>
        <v>1</v>
      </c>
      <c r="R47" s="715">
        <f t="shared" ca="1" si="20"/>
        <v>9765</v>
      </c>
      <c r="S47" s="360">
        <f t="shared" ca="1" si="11"/>
        <v>51</v>
      </c>
      <c r="T47" s="3019">
        <f>办公清单!F29</f>
        <v>2.74</v>
      </c>
    </row>
    <row r="48" spans="1:20">
      <c r="A48" s="3002" t="str">
        <f>'数据-基础表'!C37</f>
        <v>18层1825号</v>
      </c>
      <c r="B48" s="945">
        <f>'数据-基础表'!I37</f>
        <v>52.17</v>
      </c>
      <c r="C48" s="23">
        <f t="shared" si="12"/>
        <v>1.01</v>
      </c>
      <c r="D48" s="2982" t="s">
        <v>3321</v>
      </c>
      <c r="E48" s="23">
        <f t="shared" si="13"/>
        <v>1</v>
      </c>
      <c r="F48" s="2982" t="s">
        <v>3332</v>
      </c>
      <c r="G48" s="23">
        <f t="shared" si="14"/>
        <v>1</v>
      </c>
      <c r="H48" s="719"/>
      <c r="I48" s="23">
        <f t="shared" si="15"/>
        <v>1</v>
      </c>
      <c r="J48" s="719"/>
      <c r="K48" s="23">
        <f t="shared" si="16"/>
        <v>1</v>
      </c>
      <c r="L48" s="719"/>
      <c r="M48" s="23">
        <f t="shared" si="17"/>
        <v>1</v>
      </c>
      <c r="N48" s="719"/>
      <c r="O48" s="23">
        <f t="shared" si="18"/>
        <v>1</v>
      </c>
      <c r="P48" s="719"/>
      <c r="Q48" s="23">
        <f t="shared" si="19"/>
        <v>1</v>
      </c>
      <c r="R48" s="715">
        <f t="shared" ca="1" si="20"/>
        <v>9765</v>
      </c>
      <c r="S48" s="360">
        <f t="shared" ca="1" si="11"/>
        <v>51</v>
      </c>
      <c r="T48" s="3019">
        <f>办公清单!F30</f>
        <v>2.74</v>
      </c>
    </row>
    <row r="49" spans="1:20">
      <c r="A49" s="3002" t="str">
        <f>'数据-基础表'!C38</f>
        <v>18层1826号</v>
      </c>
      <c r="B49" s="945">
        <f>'数据-基础表'!I38</f>
        <v>80.73</v>
      </c>
      <c r="C49" s="23">
        <f t="shared" si="12"/>
        <v>1</v>
      </c>
      <c r="D49" s="2982" t="s">
        <v>3321</v>
      </c>
      <c r="E49" s="23">
        <f t="shared" si="13"/>
        <v>1</v>
      </c>
      <c r="F49" s="2982" t="s">
        <v>3332</v>
      </c>
      <c r="G49" s="23">
        <f t="shared" si="14"/>
        <v>1</v>
      </c>
      <c r="H49" s="719"/>
      <c r="I49" s="23">
        <f t="shared" si="15"/>
        <v>1</v>
      </c>
      <c r="J49" s="719"/>
      <c r="K49" s="23">
        <f t="shared" si="16"/>
        <v>1</v>
      </c>
      <c r="L49" s="719"/>
      <c r="M49" s="23">
        <f t="shared" si="17"/>
        <v>1</v>
      </c>
      <c r="N49" s="719"/>
      <c r="O49" s="23">
        <f t="shared" si="18"/>
        <v>1</v>
      </c>
      <c r="P49" s="719"/>
      <c r="Q49" s="23">
        <f t="shared" si="19"/>
        <v>1</v>
      </c>
      <c r="R49" s="715">
        <f t="shared" ca="1" si="20"/>
        <v>9668</v>
      </c>
      <c r="S49" s="360">
        <f t="shared" ca="1" si="11"/>
        <v>78</v>
      </c>
      <c r="T49" s="3019">
        <f>办公清单!F31</f>
        <v>4.24</v>
      </c>
    </row>
    <row r="50" spans="1:20">
      <c r="A50" s="3002" t="str">
        <f>'数据-基础表'!C39</f>
        <v>18层1827号</v>
      </c>
      <c r="B50" s="945">
        <f>'数据-基础表'!I39</f>
        <v>93.08</v>
      </c>
      <c r="C50" s="23">
        <f t="shared" si="12"/>
        <v>1</v>
      </c>
      <c r="D50" s="2982" t="s">
        <v>3321</v>
      </c>
      <c r="E50" s="23">
        <f t="shared" si="13"/>
        <v>1</v>
      </c>
      <c r="F50" s="2982" t="s">
        <v>3332</v>
      </c>
      <c r="G50" s="23">
        <f t="shared" si="14"/>
        <v>1</v>
      </c>
      <c r="H50" s="719"/>
      <c r="I50" s="23">
        <f t="shared" si="15"/>
        <v>1</v>
      </c>
      <c r="J50" s="719"/>
      <c r="K50" s="23">
        <f t="shared" si="16"/>
        <v>1</v>
      </c>
      <c r="L50" s="719"/>
      <c r="M50" s="23">
        <f t="shared" si="17"/>
        <v>1</v>
      </c>
      <c r="N50" s="719"/>
      <c r="O50" s="23">
        <f t="shared" si="18"/>
        <v>1</v>
      </c>
      <c r="P50" s="719"/>
      <c r="Q50" s="23">
        <f t="shared" si="19"/>
        <v>1</v>
      </c>
      <c r="R50" s="715">
        <f t="shared" ca="1" si="20"/>
        <v>9668</v>
      </c>
      <c r="S50" s="360">
        <f t="shared" ca="1" si="11"/>
        <v>90</v>
      </c>
      <c r="T50" s="3019">
        <f>办公清单!F32</f>
        <v>4.8899999999999997</v>
      </c>
    </row>
    <row r="51" spans="1:20">
      <c r="A51" s="3002" t="str">
        <f>'数据-基础表'!C40</f>
        <v>18层1828号</v>
      </c>
      <c r="B51" s="945">
        <f>'数据-基础表'!I40</f>
        <v>93.08</v>
      </c>
      <c r="C51" s="23">
        <f t="shared" si="12"/>
        <v>1</v>
      </c>
      <c r="D51" s="2982" t="s">
        <v>3321</v>
      </c>
      <c r="E51" s="23">
        <f t="shared" si="13"/>
        <v>1</v>
      </c>
      <c r="F51" s="2982" t="s">
        <v>3332</v>
      </c>
      <c r="G51" s="23">
        <f t="shared" si="14"/>
        <v>1</v>
      </c>
      <c r="H51" s="719"/>
      <c r="I51" s="23">
        <f t="shared" si="15"/>
        <v>1</v>
      </c>
      <c r="J51" s="719"/>
      <c r="K51" s="23">
        <f t="shared" si="16"/>
        <v>1</v>
      </c>
      <c r="L51" s="719"/>
      <c r="M51" s="23">
        <f t="shared" si="17"/>
        <v>1</v>
      </c>
      <c r="N51" s="719"/>
      <c r="O51" s="23">
        <f t="shared" si="18"/>
        <v>1</v>
      </c>
      <c r="P51" s="719"/>
      <c r="Q51" s="23">
        <f t="shared" si="19"/>
        <v>1</v>
      </c>
      <c r="R51" s="715">
        <f t="shared" ca="1" si="20"/>
        <v>9668</v>
      </c>
      <c r="S51" s="360">
        <f t="shared" ca="1" si="11"/>
        <v>90</v>
      </c>
      <c r="T51" s="3019">
        <f>办公清单!F33</f>
        <v>4.8899999999999997</v>
      </c>
    </row>
    <row r="52" spans="1:20">
      <c r="A52" s="3002" t="str">
        <f>'数据-基础表'!C41</f>
        <v>19层1901号</v>
      </c>
      <c r="B52" s="945">
        <f>'数据-基础表'!I41</f>
        <v>80.73</v>
      </c>
      <c r="C52" s="23">
        <f t="shared" si="12"/>
        <v>1</v>
      </c>
      <c r="D52" s="2982" t="s">
        <v>4625</v>
      </c>
      <c r="E52" s="23">
        <f t="shared" si="13"/>
        <v>1.02</v>
      </c>
      <c r="F52" s="2982" t="s">
        <v>3332</v>
      </c>
      <c r="G52" s="23">
        <f t="shared" si="14"/>
        <v>1</v>
      </c>
      <c r="H52" s="719"/>
      <c r="I52" s="23">
        <f t="shared" si="15"/>
        <v>1</v>
      </c>
      <c r="J52" s="719"/>
      <c r="K52" s="23">
        <f t="shared" si="16"/>
        <v>1</v>
      </c>
      <c r="L52" s="719"/>
      <c r="M52" s="23">
        <f t="shared" si="17"/>
        <v>1</v>
      </c>
      <c r="N52" s="719"/>
      <c r="O52" s="23">
        <f t="shared" si="18"/>
        <v>1</v>
      </c>
      <c r="P52" s="719"/>
      <c r="Q52" s="23">
        <f t="shared" si="19"/>
        <v>1</v>
      </c>
      <c r="R52" s="715">
        <f t="shared" ca="1" si="20"/>
        <v>9861</v>
      </c>
      <c r="S52" s="360">
        <f t="shared" ca="1" si="11"/>
        <v>80</v>
      </c>
      <c r="T52" s="3019">
        <f>办公清单!F34</f>
        <v>4.24</v>
      </c>
    </row>
    <row r="53" spans="1:20">
      <c r="A53" s="3002" t="str">
        <f>'数据-基础表'!C42</f>
        <v>19层1902号</v>
      </c>
      <c r="B53" s="945">
        <f>'数据-基础表'!I42</f>
        <v>52.17</v>
      </c>
      <c r="C53" s="23">
        <f t="shared" si="12"/>
        <v>1.01</v>
      </c>
      <c r="D53" s="2982" t="s">
        <v>4625</v>
      </c>
      <c r="E53" s="23">
        <f t="shared" si="13"/>
        <v>1.02</v>
      </c>
      <c r="F53" s="2982" t="s">
        <v>3332</v>
      </c>
      <c r="G53" s="23">
        <f t="shared" si="14"/>
        <v>1</v>
      </c>
      <c r="H53" s="719"/>
      <c r="I53" s="23">
        <f t="shared" si="15"/>
        <v>1</v>
      </c>
      <c r="J53" s="719"/>
      <c r="K53" s="23">
        <f t="shared" si="16"/>
        <v>1</v>
      </c>
      <c r="L53" s="719"/>
      <c r="M53" s="23">
        <f t="shared" si="17"/>
        <v>1</v>
      </c>
      <c r="N53" s="719"/>
      <c r="O53" s="23">
        <f t="shared" si="18"/>
        <v>1</v>
      </c>
      <c r="P53" s="719"/>
      <c r="Q53" s="23">
        <f t="shared" si="19"/>
        <v>1</v>
      </c>
      <c r="R53" s="715">
        <f t="shared" ca="1" si="20"/>
        <v>9960</v>
      </c>
      <c r="S53" s="360">
        <f t="shared" ca="1" si="11"/>
        <v>52</v>
      </c>
      <c r="T53" s="3019">
        <f>办公清单!F35</f>
        <v>2.74</v>
      </c>
    </row>
    <row r="54" spans="1:20">
      <c r="A54" s="3002" t="str">
        <f>'数据-基础表'!C43</f>
        <v>19层1903号</v>
      </c>
      <c r="B54" s="945">
        <f>'数据-基础表'!I43</f>
        <v>52.17</v>
      </c>
      <c r="C54" s="23">
        <f t="shared" si="12"/>
        <v>1.01</v>
      </c>
      <c r="D54" s="2982" t="s">
        <v>4625</v>
      </c>
      <c r="E54" s="23">
        <f t="shared" si="13"/>
        <v>1.02</v>
      </c>
      <c r="F54" s="2982" t="s">
        <v>3332</v>
      </c>
      <c r="G54" s="23">
        <f t="shared" si="14"/>
        <v>1</v>
      </c>
      <c r="H54" s="719"/>
      <c r="I54" s="23">
        <f t="shared" si="15"/>
        <v>1</v>
      </c>
      <c r="J54" s="719"/>
      <c r="K54" s="23">
        <f t="shared" si="16"/>
        <v>1</v>
      </c>
      <c r="L54" s="719"/>
      <c r="M54" s="23">
        <f t="shared" si="17"/>
        <v>1</v>
      </c>
      <c r="N54" s="719"/>
      <c r="O54" s="23">
        <f t="shared" si="18"/>
        <v>1</v>
      </c>
      <c r="P54" s="719"/>
      <c r="Q54" s="23">
        <f t="shared" si="19"/>
        <v>1</v>
      </c>
      <c r="R54" s="715">
        <f t="shared" ca="1" si="20"/>
        <v>9960</v>
      </c>
      <c r="S54" s="360">
        <f t="shared" ca="1" si="11"/>
        <v>52</v>
      </c>
      <c r="T54" s="3019">
        <f>办公清单!F36</f>
        <v>2.74</v>
      </c>
    </row>
    <row r="55" spans="1:20">
      <c r="A55" s="3002" t="str">
        <f>'数据-基础表'!C44</f>
        <v>19层1904号</v>
      </c>
      <c r="B55" s="945">
        <f>'数据-基础表'!I44</f>
        <v>52.17</v>
      </c>
      <c r="C55" s="23">
        <f t="shared" si="12"/>
        <v>1.01</v>
      </c>
      <c r="D55" s="2982" t="s">
        <v>4625</v>
      </c>
      <c r="E55" s="23">
        <f t="shared" si="13"/>
        <v>1.02</v>
      </c>
      <c r="F55" s="2982" t="s">
        <v>3332</v>
      </c>
      <c r="G55" s="23">
        <f t="shared" si="14"/>
        <v>1</v>
      </c>
      <c r="H55" s="719"/>
      <c r="I55" s="23">
        <f t="shared" si="15"/>
        <v>1</v>
      </c>
      <c r="J55" s="719"/>
      <c r="K55" s="23">
        <f t="shared" si="16"/>
        <v>1</v>
      </c>
      <c r="L55" s="719"/>
      <c r="M55" s="23">
        <f t="shared" si="17"/>
        <v>1</v>
      </c>
      <c r="N55" s="719"/>
      <c r="O55" s="23">
        <f t="shared" si="18"/>
        <v>1</v>
      </c>
      <c r="P55" s="719"/>
      <c r="Q55" s="23">
        <f t="shared" si="19"/>
        <v>1</v>
      </c>
      <c r="R55" s="715">
        <f t="shared" ca="1" si="20"/>
        <v>9960</v>
      </c>
      <c r="S55" s="360">
        <f t="shared" ref="S55:S77" ca="1" si="21">ROUND(R55*B55/10000,0)</f>
        <v>52</v>
      </c>
      <c r="T55" s="3019">
        <f>办公清单!F37</f>
        <v>2.74</v>
      </c>
    </row>
    <row r="56" spans="1:20">
      <c r="A56" s="3002" t="str">
        <f>'数据-基础表'!C45</f>
        <v>19层1905号</v>
      </c>
      <c r="B56" s="945">
        <f>'数据-基础表'!I45</f>
        <v>52.17</v>
      </c>
      <c r="C56" s="23">
        <f t="shared" si="12"/>
        <v>1.01</v>
      </c>
      <c r="D56" s="2982" t="s">
        <v>4625</v>
      </c>
      <c r="E56" s="23">
        <f t="shared" si="13"/>
        <v>1.02</v>
      </c>
      <c r="F56" s="2982" t="s">
        <v>3332</v>
      </c>
      <c r="G56" s="23">
        <f t="shared" si="14"/>
        <v>1</v>
      </c>
      <c r="H56" s="719"/>
      <c r="I56" s="23">
        <f t="shared" si="15"/>
        <v>1</v>
      </c>
      <c r="J56" s="719"/>
      <c r="K56" s="23">
        <f t="shared" si="16"/>
        <v>1</v>
      </c>
      <c r="L56" s="719"/>
      <c r="M56" s="23">
        <f t="shared" si="17"/>
        <v>1</v>
      </c>
      <c r="N56" s="719"/>
      <c r="O56" s="23">
        <f t="shared" si="18"/>
        <v>1</v>
      </c>
      <c r="P56" s="719"/>
      <c r="Q56" s="23">
        <f t="shared" si="19"/>
        <v>1</v>
      </c>
      <c r="R56" s="715">
        <f t="shared" ca="1" si="20"/>
        <v>9960</v>
      </c>
      <c r="S56" s="360">
        <f t="shared" ca="1" si="21"/>
        <v>52</v>
      </c>
      <c r="T56" s="3019">
        <f>办公清单!F38</f>
        <v>2.74</v>
      </c>
    </row>
    <row r="57" spans="1:20">
      <c r="A57" s="3002" t="str">
        <f>'数据-基础表'!C46</f>
        <v>19层1906号</v>
      </c>
      <c r="B57" s="945">
        <f>'数据-基础表'!I46</f>
        <v>52.17</v>
      </c>
      <c r="C57" s="23">
        <f t="shared" si="12"/>
        <v>1.01</v>
      </c>
      <c r="D57" s="2982" t="s">
        <v>4625</v>
      </c>
      <c r="E57" s="23">
        <f t="shared" si="13"/>
        <v>1.02</v>
      </c>
      <c r="F57" s="2982" t="s">
        <v>3332</v>
      </c>
      <c r="G57" s="23">
        <f t="shared" si="14"/>
        <v>1</v>
      </c>
      <c r="H57" s="719"/>
      <c r="I57" s="23">
        <f t="shared" si="15"/>
        <v>1</v>
      </c>
      <c r="J57" s="719"/>
      <c r="K57" s="23">
        <f t="shared" si="16"/>
        <v>1</v>
      </c>
      <c r="L57" s="719"/>
      <c r="M57" s="23">
        <f t="shared" si="17"/>
        <v>1</v>
      </c>
      <c r="N57" s="719"/>
      <c r="O57" s="23">
        <f t="shared" si="18"/>
        <v>1</v>
      </c>
      <c r="P57" s="719"/>
      <c r="Q57" s="23">
        <f t="shared" si="19"/>
        <v>1</v>
      </c>
      <c r="R57" s="715">
        <f t="shared" ca="1" si="20"/>
        <v>9960</v>
      </c>
      <c r="S57" s="360">
        <f t="shared" ca="1" si="21"/>
        <v>52</v>
      </c>
      <c r="T57" s="3019">
        <f>办公清单!F39</f>
        <v>2.74</v>
      </c>
    </row>
    <row r="58" spans="1:20">
      <c r="A58" s="3002" t="str">
        <f>'数据-基础表'!C47</f>
        <v>19层1907号</v>
      </c>
      <c r="B58" s="945">
        <f>'数据-基础表'!I47</f>
        <v>52.17</v>
      </c>
      <c r="C58" s="23">
        <f t="shared" si="12"/>
        <v>1.01</v>
      </c>
      <c r="D58" s="2982" t="s">
        <v>4625</v>
      </c>
      <c r="E58" s="23">
        <f t="shared" si="13"/>
        <v>1.02</v>
      </c>
      <c r="F58" s="2982" t="s">
        <v>3332</v>
      </c>
      <c r="G58" s="23">
        <f t="shared" si="14"/>
        <v>1</v>
      </c>
      <c r="H58" s="719"/>
      <c r="I58" s="23">
        <f t="shared" si="15"/>
        <v>1</v>
      </c>
      <c r="J58" s="719"/>
      <c r="K58" s="23">
        <f t="shared" si="16"/>
        <v>1</v>
      </c>
      <c r="L58" s="719"/>
      <c r="M58" s="23">
        <f t="shared" si="17"/>
        <v>1</v>
      </c>
      <c r="N58" s="719"/>
      <c r="O58" s="23">
        <f t="shared" si="18"/>
        <v>1</v>
      </c>
      <c r="P58" s="719"/>
      <c r="Q58" s="23">
        <f t="shared" si="19"/>
        <v>1</v>
      </c>
      <c r="R58" s="715">
        <f t="shared" ca="1" si="20"/>
        <v>9960</v>
      </c>
      <c r="S58" s="360">
        <f t="shared" ca="1" si="21"/>
        <v>52</v>
      </c>
      <c r="T58" s="3019">
        <f>办公清单!F40</f>
        <v>2.74</v>
      </c>
    </row>
    <row r="59" spans="1:20">
      <c r="A59" s="3002" t="str">
        <f>'数据-基础表'!C48</f>
        <v>19层1908号</v>
      </c>
      <c r="B59" s="945">
        <f>'数据-基础表'!I48</f>
        <v>52.17</v>
      </c>
      <c r="C59" s="23">
        <f t="shared" si="12"/>
        <v>1.01</v>
      </c>
      <c r="D59" s="2982" t="s">
        <v>4625</v>
      </c>
      <c r="E59" s="23">
        <f t="shared" si="13"/>
        <v>1.02</v>
      </c>
      <c r="F59" s="2982" t="s">
        <v>3332</v>
      </c>
      <c r="G59" s="23">
        <f t="shared" si="14"/>
        <v>1</v>
      </c>
      <c r="H59" s="719"/>
      <c r="I59" s="23">
        <f t="shared" si="15"/>
        <v>1</v>
      </c>
      <c r="J59" s="719"/>
      <c r="K59" s="23">
        <f t="shared" si="16"/>
        <v>1</v>
      </c>
      <c r="L59" s="719"/>
      <c r="M59" s="23">
        <f t="shared" si="17"/>
        <v>1</v>
      </c>
      <c r="N59" s="719"/>
      <c r="O59" s="23">
        <f t="shared" si="18"/>
        <v>1</v>
      </c>
      <c r="P59" s="719"/>
      <c r="Q59" s="23">
        <f t="shared" si="19"/>
        <v>1</v>
      </c>
      <c r="R59" s="715">
        <f t="shared" ca="1" si="20"/>
        <v>9960</v>
      </c>
      <c r="S59" s="360">
        <f t="shared" ca="1" si="21"/>
        <v>52</v>
      </c>
      <c r="T59" s="3019">
        <f>办公清单!F41</f>
        <v>2.74</v>
      </c>
    </row>
    <row r="60" spans="1:20">
      <c r="A60" s="3002" t="str">
        <f>'数据-基础表'!C49</f>
        <v>19层1909号</v>
      </c>
      <c r="B60" s="945">
        <f>'数据-基础表'!I49</f>
        <v>52.17</v>
      </c>
      <c r="C60" s="23">
        <f t="shared" si="12"/>
        <v>1.01</v>
      </c>
      <c r="D60" s="2982" t="s">
        <v>4625</v>
      </c>
      <c r="E60" s="23">
        <f t="shared" si="13"/>
        <v>1.02</v>
      </c>
      <c r="F60" s="2982" t="s">
        <v>3332</v>
      </c>
      <c r="G60" s="23">
        <f t="shared" si="14"/>
        <v>1</v>
      </c>
      <c r="H60" s="719"/>
      <c r="I60" s="23">
        <f t="shared" si="15"/>
        <v>1</v>
      </c>
      <c r="J60" s="719"/>
      <c r="K60" s="23">
        <f t="shared" si="16"/>
        <v>1</v>
      </c>
      <c r="L60" s="719"/>
      <c r="M60" s="23">
        <f t="shared" si="17"/>
        <v>1</v>
      </c>
      <c r="N60" s="719"/>
      <c r="O60" s="23">
        <f t="shared" si="18"/>
        <v>1</v>
      </c>
      <c r="P60" s="719"/>
      <c r="Q60" s="23">
        <f t="shared" si="19"/>
        <v>1</v>
      </c>
      <c r="R60" s="715">
        <f t="shared" ca="1" si="20"/>
        <v>9960</v>
      </c>
      <c r="S60" s="360">
        <f t="shared" ca="1" si="21"/>
        <v>52</v>
      </c>
      <c r="T60" s="3019">
        <f>办公清单!F42</f>
        <v>2.74</v>
      </c>
    </row>
    <row r="61" spans="1:20">
      <c r="A61" s="3002" t="str">
        <f>'数据-基础表'!C50</f>
        <v>19层1910号</v>
      </c>
      <c r="B61" s="945">
        <f>'数据-基础表'!I50</f>
        <v>52.17</v>
      </c>
      <c r="C61" s="23">
        <f t="shared" si="12"/>
        <v>1.01</v>
      </c>
      <c r="D61" s="2982" t="s">
        <v>4625</v>
      </c>
      <c r="E61" s="23">
        <f t="shared" si="13"/>
        <v>1.02</v>
      </c>
      <c r="F61" s="2982" t="s">
        <v>3332</v>
      </c>
      <c r="G61" s="23">
        <f t="shared" si="14"/>
        <v>1</v>
      </c>
      <c r="H61" s="719"/>
      <c r="I61" s="23">
        <f t="shared" si="15"/>
        <v>1</v>
      </c>
      <c r="J61" s="719"/>
      <c r="K61" s="23">
        <f t="shared" si="16"/>
        <v>1</v>
      </c>
      <c r="L61" s="719"/>
      <c r="M61" s="23">
        <f t="shared" si="17"/>
        <v>1</v>
      </c>
      <c r="N61" s="719"/>
      <c r="O61" s="23">
        <f t="shared" si="18"/>
        <v>1</v>
      </c>
      <c r="P61" s="719"/>
      <c r="Q61" s="23">
        <f t="shared" si="19"/>
        <v>1</v>
      </c>
      <c r="R61" s="715">
        <f t="shared" ca="1" si="20"/>
        <v>9960</v>
      </c>
      <c r="S61" s="360">
        <f t="shared" ca="1" si="21"/>
        <v>52</v>
      </c>
      <c r="T61" s="3019">
        <f>办公清单!F43</f>
        <v>2.74</v>
      </c>
    </row>
    <row r="62" spans="1:20">
      <c r="A62" s="3002" t="str">
        <f>'数据-基础表'!C51</f>
        <v>19层1911号</v>
      </c>
      <c r="B62" s="945">
        <f>'数据-基础表'!I51</f>
        <v>52.17</v>
      </c>
      <c r="C62" s="23">
        <f t="shared" si="12"/>
        <v>1.01</v>
      </c>
      <c r="D62" s="2982" t="s">
        <v>4625</v>
      </c>
      <c r="E62" s="23">
        <f t="shared" si="13"/>
        <v>1.02</v>
      </c>
      <c r="F62" s="2982" t="s">
        <v>3332</v>
      </c>
      <c r="G62" s="23">
        <f t="shared" si="14"/>
        <v>1</v>
      </c>
      <c r="H62" s="719"/>
      <c r="I62" s="23">
        <f t="shared" si="15"/>
        <v>1</v>
      </c>
      <c r="J62" s="719"/>
      <c r="K62" s="23">
        <f t="shared" si="16"/>
        <v>1</v>
      </c>
      <c r="L62" s="719"/>
      <c r="M62" s="23">
        <f t="shared" si="17"/>
        <v>1</v>
      </c>
      <c r="N62" s="719"/>
      <c r="O62" s="23">
        <f t="shared" si="18"/>
        <v>1</v>
      </c>
      <c r="P62" s="719"/>
      <c r="Q62" s="23">
        <f t="shared" si="19"/>
        <v>1</v>
      </c>
      <c r="R62" s="715">
        <f t="shared" ca="1" si="20"/>
        <v>9960</v>
      </c>
      <c r="S62" s="360">
        <f t="shared" ca="1" si="21"/>
        <v>52</v>
      </c>
      <c r="T62" s="3019">
        <f>办公清单!F44</f>
        <v>2.74</v>
      </c>
    </row>
    <row r="63" spans="1:20">
      <c r="A63" s="3002" t="str">
        <f>'数据-基础表'!C52</f>
        <v>19层1912号</v>
      </c>
      <c r="B63" s="945">
        <f>'数据-基础表'!I52</f>
        <v>80.73</v>
      </c>
      <c r="C63" s="23">
        <f t="shared" si="12"/>
        <v>1</v>
      </c>
      <c r="D63" s="2982" t="s">
        <v>4625</v>
      </c>
      <c r="E63" s="23">
        <f t="shared" si="13"/>
        <v>1.02</v>
      </c>
      <c r="F63" s="2982" t="s">
        <v>3332</v>
      </c>
      <c r="G63" s="23">
        <f t="shared" si="14"/>
        <v>1</v>
      </c>
      <c r="H63" s="719"/>
      <c r="I63" s="23">
        <f t="shared" si="15"/>
        <v>1</v>
      </c>
      <c r="J63" s="719"/>
      <c r="K63" s="23">
        <f t="shared" si="16"/>
        <v>1</v>
      </c>
      <c r="L63" s="719"/>
      <c r="M63" s="23">
        <f t="shared" si="17"/>
        <v>1</v>
      </c>
      <c r="N63" s="719"/>
      <c r="O63" s="23">
        <f t="shared" si="18"/>
        <v>1</v>
      </c>
      <c r="P63" s="719"/>
      <c r="Q63" s="23">
        <f t="shared" si="19"/>
        <v>1</v>
      </c>
      <c r="R63" s="715">
        <f t="shared" ca="1" si="20"/>
        <v>9861</v>
      </c>
      <c r="S63" s="360">
        <f t="shared" ca="1" si="21"/>
        <v>80</v>
      </c>
      <c r="T63" s="3019">
        <f>办公清单!F45</f>
        <v>4.24</v>
      </c>
    </row>
    <row r="64" spans="1:20">
      <c r="A64" s="3002" t="str">
        <f>'数据-基础表'!C53</f>
        <v>19层1913号</v>
      </c>
      <c r="B64" s="945">
        <f>'数据-基础表'!I53</f>
        <v>66.040000000000006</v>
      </c>
      <c r="C64" s="23">
        <f t="shared" si="12"/>
        <v>1</v>
      </c>
      <c r="D64" s="2982" t="s">
        <v>4625</v>
      </c>
      <c r="E64" s="23">
        <f t="shared" si="13"/>
        <v>1.02</v>
      </c>
      <c r="F64" s="2982" t="s">
        <v>3332</v>
      </c>
      <c r="G64" s="23">
        <f t="shared" si="14"/>
        <v>1</v>
      </c>
      <c r="H64" s="719"/>
      <c r="I64" s="23">
        <f t="shared" si="15"/>
        <v>1</v>
      </c>
      <c r="J64" s="719"/>
      <c r="K64" s="23">
        <f t="shared" si="16"/>
        <v>1</v>
      </c>
      <c r="L64" s="719"/>
      <c r="M64" s="23">
        <f t="shared" si="17"/>
        <v>1</v>
      </c>
      <c r="N64" s="719"/>
      <c r="O64" s="23">
        <f t="shared" si="18"/>
        <v>1</v>
      </c>
      <c r="P64" s="719"/>
      <c r="Q64" s="23">
        <f t="shared" si="19"/>
        <v>1</v>
      </c>
      <c r="R64" s="715">
        <f t="shared" ca="1" si="20"/>
        <v>9861</v>
      </c>
      <c r="S64" s="360">
        <f t="shared" ca="1" si="21"/>
        <v>65</v>
      </c>
      <c r="T64" s="3019">
        <f>办公清单!F46</f>
        <v>3.47</v>
      </c>
    </row>
    <row r="65" spans="1:20">
      <c r="A65" s="3002" t="str">
        <f>'数据-基础表'!C54</f>
        <v>19层1914号</v>
      </c>
      <c r="B65" s="945">
        <f>'数据-基础表'!I54</f>
        <v>66.040000000000006</v>
      </c>
      <c r="C65" s="23">
        <f t="shared" si="12"/>
        <v>1</v>
      </c>
      <c r="D65" s="2982" t="s">
        <v>4625</v>
      </c>
      <c r="E65" s="23">
        <f t="shared" si="13"/>
        <v>1.02</v>
      </c>
      <c r="F65" s="2982" t="s">
        <v>3332</v>
      </c>
      <c r="G65" s="23">
        <f t="shared" si="14"/>
        <v>1</v>
      </c>
      <c r="H65" s="719"/>
      <c r="I65" s="23">
        <f t="shared" si="15"/>
        <v>1</v>
      </c>
      <c r="J65" s="719"/>
      <c r="K65" s="23">
        <f t="shared" si="16"/>
        <v>1</v>
      </c>
      <c r="L65" s="719"/>
      <c r="M65" s="23">
        <f t="shared" si="17"/>
        <v>1</v>
      </c>
      <c r="N65" s="719"/>
      <c r="O65" s="23">
        <f t="shared" si="18"/>
        <v>1</v>
      </c>
      <c r="P65" s="719"/>
      <c r="Q65" s="23">
        <f t="shared" si="19"/>
        <v>1</v>
      </c>
      <c r="R65" s="715">
        <f t="shared" ca="1" si="20"/>
        <v>9861</v>
      </c>
      <c r="S65" s="360">
        <f t="shared" ca="1" si="21"/>
        <v>65</v>
      </c>
      <c r="T65" s="3019">
        <f>办公清单!F47</f>
        <v>3.47</v>
      </c>
    </row>
    <row r="66" spans="1:20">
      <c r="A66" s="3002" t="str">
        <f>'数据-基础表'!C55</f>
        <v>19层1915号</v>
      </c>
      <c r="B66" s="945">
        <f>'数据-基础表'!I55</f>
        <v>80.73</v>
      </c>
      <c r="C66" s="23">
        <f t="shared" si="12"/>
        <v>1</v>
      </c>
      <c r="D66" s="2982" t="s">
        <v>4625</v>
      </c>
      <c r="E66" s="23">
        <f t="shared" si="13"/>
        <v>1.02</v>
      </c>
      <c r="F66" s="2982" t="s">
        <v>3332</v>
      </c>
      <c r="G66" s="23">
        <f t="shared" si="14"/>
        <v>1</v>
      </c>
      <c r="H66" s="719"/>
      <c r="I66" s="23">
        <f t="shared" si="15"/>
        <v>1</v>
      </c>
      <c r="J66" s="719"/>
      <c r="K66" s="23">
        <f t="shared" si="16"/>
        <v>1</v>
      </c>
      <c r="L66" s="719"/>
      <c r="M66" s="23">
        <f t="shared" si="17"/>
        <v>1</v>
      </c>
      <c r="N66" s="719"/>
      <c r="O66" s="23">
        <f t="shared" si="18"/>
        <v>1</v>
      </c>
      <c r="P66" s="719"/>
      <c r="Q66" s="23">
        <f t="shared" si="19"/>
        <v>1</v>
      </c>
      <c r="R66" s="715">
        <f t="shared" ca="1" si="20"/>
        <v>9861</v>
      </c>
      <c r="S66" s="360">
        <f t="shared" ca="1" si="21"/>
        <v>80</v>
      </c>
      <c r="T66" s="3019">
        <f>办公清单!F48</f>
        <v>4.24</v>
      </c>
    </row>
    <row r="67" spans="1:20">
      <c r="A67" s="3002" t="str">
        <f>'数据-基础表'!C56</f>
        <v>19层1916号</v>
      </c>
      <c r="B67" s="945">
        <f>'数据-基础表'!I56</f>
        <v>52.17</v>
      </c>
      <c r="C67" s="23">
        <f t="shared" si="12"/>
        <v>1.01</v>
      </c>
      <c r="D67" s="2982" t="s">
        <v>4625</v>
      </c>
      <c r="E67" s="23">
        <f t="shared" si="13"/>
        <v>1.02</v>
      </c>
      <c r="F67" s="2982" t="s">
        <v>3332</v>
      </c>
      <c r="G67" s="23">
        <f t="shared" si="14"/>
        <v>1</v>
      </c>
      <c r="H67" s="719"/>
      <c r="I67" s="23">
        <f t="shared" si="15"/>
        <v>1</v>
      </c>
      <c r="J67" s="719"/>
      <c r="K67" s="23">
        <f t="shared" si="16"/>
        <v>1</v>
      </c>
      <c r="L67" s="719"/>
      <c r="M67" s="23">
        <f t="shared" si="17"/>
        <v>1</v>
      </c>
      <c r="N67" s="719"/>
      <c r="O67" s="23">
        <f t="shared" si="18"/>
        <v>1</v>
      </c>
      <c r="P67" s="719"/>
      <c r="Q67" s="23">
        <f t="shared" si="19"/>
        <v>1</v>
      </c>
      <c r="R67" s="715">
        <f t="shared" ca="1" si="20"/>
        <v>9960</v>
      </c>
      <c r="S67" s="360">
        <f t="shared" ca="1" si="21"/>
        <v>52</v>
      </c>
      <c r="T67" s="3019">
        <f>办公清单!F49</f>
        <v>2.74</v>
      </c>
    </row>
    <row r="68" spans="1:20">
      <c r="A68" s="3002" t="str">
        <f>'数据-基础表'!C57</f>
        <v>19层1917号</v>
      </c>
      <c r="B68" s="945">
        <f>'数据-基础表'!I57</f>
        <v>52.17</v>
      </c>
      <c r="C68" s="23">
        <f t="shared" si="12"/>
        <v>1.01</v>
      </c>
      <c r="D68" s="2982" t="s">
        <v>4625</v>
      </c>
      <c r="E68" s="23">
        <f t="shared" si="13"/>
        <v>1.02</v>
      </c>
      <c r="F68" s="2982" t="s">
        <v>3332</v>
      </c>
      <c r="G68" s="23">
        <f t="shared" si="14"/>
        <v>1</v>
      </c>
      <c r="H68" s="719"/>
      <c r="I68" s="23">
        <f t="shared" si="15"/>
        <v>1</v>
      </c>
      <c r="J68" s="719"/>
      <c r="K68" s="23">
        <f t="shared" si="16"/>
        <v>1</v>
      </c>
      <c r="L68" s="719"/>
      <c r="M68" s="23">
        <f t="shared" si="17"/>
        <v>1</v>
      </c>
      <c r="N68" s="719"/>
      <c r="O68" s="23">
        <f t="shared" si="18"/>
        <v>1</v>
      </c>
      <c r="P68" s="719"/>
      <c r="Q68" s="23">
        <f t="shared" si="19"/>
        <v>1</v>
      </c>
      <c r="R68" s="715">
        <f t="shared" ca="1" si="20"/>
        <v>9960</v>
      </c>
      <c r="S68" s="360">
        <f t="shared" ca="1" si="21"/>
        <v>52</v>
      </c>
      <c r="T68" s="3019">
        <f>办公清单!F50</f>
        <v>2.74</v>
      </c>
    </row>
    <row r="69" spans="1:20">
      <c r="A69" s="3002" t="str">
        <f>'数据-基础表'!C58</f>
        <v>19层1918号</v>
      </c>
      <c r="B69" s="945">
        <f>'数据-基础表'!I58</f>
        <v>52.17</v>
      </c>
      <c r="C69" s="23">
        <f t="shared" si="12"/>
        <v>1.01</v>
      </c>
      <c r="D69" s="2982" t="s">
        <v>4625</v>
      </c>
      <c r="E69" s="23">
        <f t="shared" si="13"/>
        <v>1.02</v>
      </c>
      <c r="F69" s="2982" t="s">
        <v>3332</v>
      </c>
      <c r="G69" s="23">
        <f t="shared" si="14"/>
        <v>1</v>
      </c>
      <c r="H69" s="719"/>
      <c r="I69" s="23">
        <f t="shared" si="15"/>
        <v>1</v>
      </c>
      <c r="J69" s="719"/>
      <c r="K69" s="23">
        <f t="shared" si="16"/>
        <v>1</v>
      </c>
      <c r="L69" s="719"/>
      <c r="M69" s="23">
        <f t="shared" si="17"/>
        <v>1</v>
      </c>
      <c r="N69" s="719"/>
      <c r="O69" s="23">
        <f t="shared" si="18"/>
        <v>1</v>
      </c>
      <c r="P69" s="719"/>
      <c r="Q69" s="23">
        <f t="shared" si="19"/>
        <v>1</v>
      </c>
      <c r="R69" s="715">
        <f t="shared" ca="1" si="20"/>
        <v>9960</v>
      </c>
      <c r="S69" s="360">
        <f t="shared" ca="1" si="21"/>
        <v>52</v>
      </c>
      <c r="T69" s="3019">
        <f>办公清单!F51</f>
        <v>2.74</v>
      </c>
    </row>
    <row r="70" spans="1:20">
      <c r="A70" s="3002" t="str">
        <f>'数据-基础表'!C59</f>
        <v>19层1919号</v>
      </c>
      <c r="B70" s="945">
        <f>'数据-基础表'!I59</f>
        <v>52.17</v>
      </c>
      <c r="C70" s="23">
        <f t="shared" si="12"/>
        <v>1.01</v>
      </c>
      <c r="D70" s="2982" t="s">
        <v>4625</v>
      </c>
      <c r="E70" s="23">
        <f t="shared" si="13"/>
        <v>1.02</v>
      </c>
      <c r="F70" s="2982" t="s">
        <v>3332</v>
      </c>
      <c r="G70" s="23">
        <f t="shared" si="14"/>
        <v>1</v>
      </c>
      <c r="H70" s="719"/>
      <c r="I70" s="23">
        <f t="shared" si="15"/>
        <v>1</v>
      </c>
      <c r="J70" s="719"/>
      <c r="K70" s="23">
        <f t="shared" si="16"/>
        <v>1</v>
      </c>
      <c r="L70" s="719"/>
      <c r="M70" s="23">
        <f t="shared" si="17"/>
        <v>1</v>
      </c>
      <c r="N70" s="719"/>
      <c r="O70" s="23">
        <f t="shared" si="18"/>
        <v>1</v>
      </c>
      <c r="P70" s="719"/>
      <c r="Q70" s="23">
        <f t="shared" si="19"/>
        <v>1</v>
      </c>
      <c r="R70" s="715">
        <f t="shared" ca="1" si="20"/>
        <v>9960</v>
      </c>
      <c r="S70" s="360">
        <f t="shared" ca="1" si="21"/>
        <v>52</v>
      </c>
      <c r="T70" s="3019">
        <f>办公清单!F52</f>
        <v>2.74</v>
      </c>
    </row>
    <row r="71" spans="1:20">
      <c r="A71" s="3002" t="str">
        <f>'数据-基础表'!C60</f>
        <v>19层1920号</v>
      </c>
      <c r="B71" s="945">
        <f>'数据-基础表'!I60</f>
        <v>52.17</v>
      </c>
      <c r="C71" s="23">
        <f t="shared" si="12"/>
        <v>1.01</v>
      </c>
      <c r="D71" s="2982" t="s">
        <v>4625</v>
      </c>
      <c r="E71" s="23">
        <f t="shared" si="13"/>
        <v>1.02</v>
      </c>
      <c r="F71" s="2982" t="s">
        <v>3332</v>
      </c>
      <c r="G71" s="23">
        <f t="shared" si="14"/>
        <v>1</v>
      </c>
      <c r="H71" s="719"/>
      <c r="I71" s="23">
        <f t="shared" si="15"/>
        <v>1</v>
      </c>
      <c r="J71" s="719"/>
      <c r="K71" s="23">
        <f t="shared" si="16"/>
        <v>1</v>
      </c>
      <c r="L71" s="719"/>
      <c r="M71" s="23">
        <f t="shared" si="17"/>
        <v>1</v>
      </c>
      <c r="N71" s="719"/>
      <c r="O71" s="23">
        <f t="shared" si="18"/>
        <v>1</v>
      </c>
      <c r="P71" s="719"/>
      <c r="Q71" s="23">
        <f t="shared" si="19"/>
        <v>1</v>
      </c>
      <c r="R71" s="715">
        <f t="shared" ca="1" si="20"/>
        <v>9960</v>
      </c>
      <c r="S71" s="360">
        <f t="shared" ca="1" si="21"/>
        <v>52</v>
      </c>
      <c r="T71" s="3019">
        <f>办公清单!F53</f>
        <v>2.74</v>
      </c>
    </row>
    <row r="72" spans="1:20">
      <c r="A72" s="3002" t="str">
        <f>'数据-基础表'!C61</f>
        <v>19层1921号</v>
      </c>
      <c r="B72" s="945">
        <f>'数据-基础表'!I61</f>
        <v>52.17</v>
      </c>
      <c r="C72" s="23">
        <f t="shared" si="12"/>
        <v>1.01</v>
      </c>
      <c r="D72" s="2982" t="s">
        <v>4625</v>
      </c>
      <c r="E72" s="23">
        <f t="shared" si="13"/>
        <v>1.02</v>
      </c>
      <c r="F72" s="2982" t="s">
        <v>3332</v>
      </c>
      <c r="G72" s="23">
        <f t="shared" si="14"/>
        <v>1</v>
      </c>
      <c r="H72" s="719"/>
      <c r="I72" s="23">
        <f t="shared" si="15"/>
        <v>1</v>
      </c>
      <c r="J72" s="719"/>
      <c r="K72" s="23">
        <f t="shared" si="16"/>
        <v>1</v>
      </c>
      <c r="L72" s="719"/>
      <c r="M72" s="23">
        <f t="shared" si="17"/>
        <v>1</v>
      </c>
      <c r="N72" s="719"/>
      <c r="O72" s="23">
        <f t="shared" si="18"/>
        <v>1</v>
      </c>
      <c r="P72" s="719"/>
      <c r="Q72" s="23">
        <f t="shared" si="19"/>
        <v>1</v>
      </c>
      <c r="R72" s="715">
        <f t="shared" ca="1" si="20"/>
        <v>9960</v>
      </c>
      <c r="S72" s="360">
        <f t="shared" ca="1" si="21"/>
        <v>52</v>
      </c>
      <c r="T72" s="3019">
        <f>办公清单!F54</f>
        <v>2.74</v>
      </c>
    </row>
    <row r="73" spans="1:20">
      <c r="A73" s="3002" t="str">
        <f>'数据-基础表'!C62</f>
        <v>19层1922号</v>
      </c>
      <c r="B73" s="945">
        <f>'数据-基础表'!I62</f>
        <v>52.17</v>
      </c>
      <c r="C73" s="23">
        <f t="shared" si="12"/>
        <v>1.01</v>
      </c>
      <c r="D73" s="2982" t="s">
        <v>4625</v>
      </c>
      <c r="E73" s="23">
        <f t="shared" si="13"/>
        <v>1.02</v>
      </c>
      <c r="F73" s="2982" t="s">
        <v>3332</v>
      </c>
      <c r="G73" s="23">
        <f t="shared" si="14"/>
        <v>1</v>
      </c>
      <c r="H73" s="719"/>
      <c r="I73" s="23">
        <f t="shared" si="15"/>
        <v>1</v>
      </c>
      <c r="J73" s="719"/>
      <c r="K73" s="23">
        <f t="shared" si="16"/>
        <v>1</v>
      </c>
      <c r="L73" s="719"/>
      <c r="M73" s="23">
        <f t="shared" si="17"/>
        <v>1</v>
      </c>
      <c r="N73" s="719"/>
      <c r="O73" s="23">
        <f t="shared" si="18"/>
        <v>1</v>
      </c>
      <c r="P73" s="719"/>
      <c r="Q73" s="23">
        <f t="shared" si="19"/>
        <v>1</v>
      </c>
      <c r="R73" s="715">
        <f t="shared" ca="1" si="20"/>
        <v>9960</v>
      </c>
      <c r="S73" s="360">
        <f t="shared" ca="1" si="21"/>
        <v>52</v>
      </c>
      <c r="T73" s="3019">
        <f>办公清单!F55</f>
        <v>2.74</v>
      </c>
    </row>
    <row r="74" spans="1:20">
      <c r="A74" s="3002" t="str">
        <f>'数据-基础表'!C63</f>
        <v>19层1923号</v>
      </c>
      <c r="B74" s="945">
        <f>'数据-基础表'!I63</f>
        <v>52.17</v>
      </c>
      <c r="C74" s="23">
        <f t="shared" si="12"/>
        <v>1.01</v>
      </c>
      <c r="D74" s="2982" t="s">
        <v>4625</v>
      </c>
      <c r="E74" s="23">
        <f t="shared" si="13"/>
        <v>1.02</v>
      </c>
      <c r="F74" s="2982" t="s">
        <v>3332</v>
      </c>
      <c r="G74" s="23">
        <f t="shared" si="14"/>
        <v>1</v>
      </c>
      <c r="H74" s="719"/>
      <c r="I74" s="23">
        <f t="shared" si="15"/>
        <v>1</v>
      </c>
      <c r="J74" s="719"/>
      <c r="K74" s="23">
        <f t="shared" si="16"/>
        <v>1</v>
      </c>
      <c r="L74" s="719"/>
      <c r="M74" s="23">
        <f t="shared" si="17"/>
        <v>1</v>
      </c>
      <c r="N74" s="719"/>
      <c r="O74" s="23">
        <f t="shared" si="18"/>
        <v>1</v>
      </c>
      <c r="P74" s="719"/>
      <c r="Q74" s="23">
        <f t="shared" si="19"/>
        <v>1</v>
      </c>
      <c r="R74" s="715">
        <f t="shared" ca="1" si="20"/>
        <v>9960</v>
      </c>
      <c r="S74" s="360">
        <f t="shared" ca="1" si="21"/>
        <v>52</v>
      </c>
      <c r="T74" s="3019">
        <f>办公清单!F56</f>
        <v>2.74</v>
      </c>
    </row>
    <row r="75" spans="1:20">
      <c r="A75" s="3002" t="str">
        <f>'数据-基础表'!C64</f>
        <v>19层1924号</v>
      </c>
      <c r="B75" s="945">
        <f>'数据-基础表'!I64</f>
        <v>52.17</v>
      </c>
      <c r="C75" s="23">
        <f t="shared" si="12"/>
        <v>1.01</v>
      </c>
      <c r="D75" s="2982" t="s">
        <v>4625</v>
      </c>
      <c r="E75" s="23">
        <f t="shared" si="13"/>
        <v>1.02</v>
      </c>
      <c r="F75" s="2982" t="s">
        <v>3332</v>
      </c>
      <c r="G75" s="23">
        <f t="shared" si="14"/>
        <v>1</v>
      </c>
      <c r="H75" s="719"/>
      <c r="I75" s="23">
        <f t="shared" si="15"/>
        <v>1</v>
      </c>
      <c r="J75" s="719"/>
      <c r="K75" s="23">
        <f t="shared" si="16"/>
        <v>1</v>
      </c>
      <c r="L75" s="719"/>
      <c r="M75" s="23">
        <f t="shared" si="17"/>
        <v>1</v>
      </c>
      <c r="N75" s="719"/>
      <c r="O75" s="23">
        <f t="shared" si="18"/>
        <v>1</v>
      </c>
      <c r="P75" s="719"/>
      <c r="Q75" s="23">
        <f t="shared" si="19"/>
        <v>1</v>
      </c>
      <c r="R75" s="715">
        <f t="shared" ca="1" si="20"/>
        <v>9960</v>
      </c>
      <c r="S75" s="360">
        <f t="shared" ca="1" si="21"/>
        <v>52</v>
      </c>
      <c r="T75" s="3019">
        <f>办公清单!F57</f>
        <v>2.74</v>
      </c>
    </row>
    <row r="76" spans="1:20">
      <c r="A76" s="3002" t="str">
        <f>'数据-基础表'!C65</f>
        <v>19层1925号</v>
      </c>
      <c r="B76" s="945">
        <f>'数据-基础表'!I65</f>
        <v>52.17</v>
      </c>
      <c r="C76" s="23">
        <f t="shared" si="12"/>
        <v>1.01</v>
      </c>
      <c r="D76" s="2982" t="s">
        <v>4625</v>
      </c>
      <c r="E76" s="23">
        <f t="shared" si="13"/>
        <v>1.02</v>
      </c>
      <c r="F76" s="2982" t="s">
        <v>3332</v>
      </c>
      <c r="G76" s="23">
        <f t="shared" si="14"/>
        <v>1</v>
      </c>
      <c r="H76" s="719"/>
      <c r="I76" s="23">
        <f t="shared" si="15"/>
        <v>1</v>
      </c>
      <c r="J76" s="719"/>
      <c r="K76" s="23">
        <f t="shared" si="16"/>
        <v>1</v>
      </c>
      <c r="L76" s="719"/>
      <c r="M76" s="23">
        <f t="shared" si="17"/>
        <v>1</v>
      </c>
      <c r="N76" s="719"/>
      <c r="O76" s="23">
        <f t="shared" si="18"/>
        <v>1</v>
      </c>
      <c r="P76" s="719"/>
      <c r="Q76" s="23">
        <f t="shared" si="19"/>
        <v>1</v>
      </c>
      <c r="R76" s="715">
        <f t="shared" ca="1" si="20"/>
        <v>9960</v>
      </c>
      <c r="S76" s="360">
        <f t="shared" ca="1" si="21"/>
        <v>52</v>
      </c>
      <c r="T76" s="3019">
        <f>办公清单!F58</f>
        <v>2.74</v>
      </c>
    </row>
    <row r="77" spans="1:20">
      <c r="A77" s="3002" t="str">
        <f>'数据-基础表'!C66</f>
        <v>19层1926号</v>
      </c>
      <c r="B77" s="945">
        <f>'数据-基础表'!I66</f>
        <v>80.73</v>
      </c>
      <c r="C77" s="23">
        <f t="shared" si="12"/>
        <v>1</v>
      </c>
      <c r="D77" s="2982" t="s">
        <v>4625</v>
      </c>
      <c r="E77" s="23">
        <f t="shared" si="13"/>
        <v>1.02</v>
      </c>
      <c r="F77" s="2982" t="s">
        <v>3332</v>
      </c>
      <c r="G77" s="23">
        <f t="shared" si="14"/>
        <v>1</v>
      </c>
      <c r="H77" s="719"/>
      <c r="I77" s="23">
        <f t="shared" si="15"/>
        <v>1</v>
      </c>
      <c r="J77" s="719"/>
      <c r="K77" s="23">
        <f t="shared" si="16"/>
        <v>1</v>
      </c>
      <c r="L77" s="719"/>
      <c r="M77" s="23">
        <f t="shared" si="17"/>
        <v>1</v>
      </c>
      <c r="N77" s="719"/>
      <c r="O77" s="23">
        <f t="shared" si="18"/>
        <v>1</v>
      </c>
      <c r="P77" s="719"/>
      <c r="Q77" s="23">
        <f t="shared" si="19"/>
        <v>1</v>
      </c>
      <c r="R77" s="715">
        <f t="shared" ca="1" si="20"/>
        <v>9861</v>
      </c>
      <c r="S77" s="360">
        <f t="shared" ca="1" si="21"/>
        <v>80</v>
      </c>
      <c r="T77" s="3019">
        <f>办公清单!F59</f>
        <v>4.24</v>
      </c>
    </row>
    <row r="78" spans="1:20">
      <c r="A78" s="3002" t="str">
        <f>'数据-基础表'!C67</f>
        <v>19层1927号</v>
      </c>
      <c r="B78" s="945">
        <f>'数据-基础表'!I67</f>
        <v>93.08</v>
      </c>
      <c r="C78" s="23">
        <f t="shared" si="12"/>
        <v>1</v>
      </c>
      <c r="D78" s="2982" t="s">
        <v>4625</v>
      </c>
      <c r="E78" s="23">
        <f t="shared" si="13"/>
        <v>1.02</v>
      </c>
      <c r="F78" s="2982" t="s">
        <v>3332</v>
      </c>
      <c r="G78" s="23">
        <f t="shared" si="14"/>
        <v>1</v>
      </c>
      <c r="H78" s="719"/>
      <c r="I78" s="23">
        <f t="shared" si="15"/>
        <v>1</v>
      </c>
      <c r="J78" s="719"/>
      <c r="K78" s="23">
        <f t="shared" si="16"/>
        <v>1</v>
      </c>
      <c r="L78" s="719"/>
      <c r="M78" s="23">
        <f t="shared" si="17"/>
        <v>1</v>
      </c>
      <c r="N78" s="719"/>
      <c r="O78" s="23">
        <f t="shared" si="18"/>
        <v>1</v>
      </c>
      <c r="P78" s="719"/>
      <c r="Q78" s="23">
        <f t="shared" si="19"/>
        <v>1</v>
      </c>
      <c r="R78" s="715">
        <f t="shared" ca="1" si="20"/>
        <v>9861</v>
      </c>
      <c r="S78" s="360">
        <f t="shared" ref="S78:S122" ca="1" si="22">ROUND(R78*B78/10000,0)</f>
        <v>92</v>
      </c>
      <c r="T78" s="3019">
        <f>办公清单!F60</f>
        <v>4.8899999999999997</v>
      </c>
    </row>
    <row r="79" spans="1:20">
      <c r="A79" s="3002" t="str">
        <f>'数据-基础表'!C68</f>
        <v>19层1928号</v>
      </c>
      <c r="B79" s="945">
        <f>'数据-基础表'!I68</f>
        <v>93.08</v>
      </c>
      <c r="C79" s="23">
        <f t="shared" si="12"/>
        <v>1</v>
      </c>
      <c r="D79" s="2982" t="s">
        <v>4625</v>
      </c>
      <c r="E79" s="23">
        <f t="shared" si="13"/>
        <v>1.02</v>
      </c>
      <c r="F79" s="2982" t="s">
        <v>3332</v>
      </c>
      <c r="G79" s="23">
        <f t="shared" si="14"/>
        <v>1</v>
      </c>
      <c r="H79" s="719"/>
      <c r="I79" s="23">
        <f t="shared" si="15"/>
        <v>1</v>
      </c>
      <c r="J79" s="719"/>
      <c r="K79" s="23">
        <f t="shared" si="16"/>
        <v>1</v>
      </c>
      <c r="L79" s="719"/>
      <c r="M79" s="23">
        <f t="shared" si="17"/>
        <v>1</v>
      </c>
      <c r="N79" s="719"/>
      <c r="O79" s="23">
        <f t="shared" si="18"/>
        <v>1</v>
      </c>
      <c r="P79" s="719"/>
      <c r="Q79" s="23">
        <f t="shared" si="19"/>
        <v>1</v>
      </c>
      <c r="R79" s="715">
        <f t="shared" ca="1" si="20"/>
        <v>9861</v>
      </c>
      <c r="S79" s="360">
        <f t="shared" ca="1" si="22"/>
        <v>92</v>
      </c>
      <c r="T79" s="3019">
        <f>办公清单!F61</f>
        <v>4.8899999999999997</v>
      </c>
    </row>
    <row r="80" spans="1:20">
      <c r="A80" s="3002" t="str">
        <f>'数据-基础表'!C69</f>
        <v>20层2001号</v>
      </c>
      <c r="B80" s="945">
        <f>'数据-基础表'!I69</f>
        <v>80.73</v>
      </c>
      <c r="C80" s="23">
        <f t="shared" si="12"/>
        <v>1</v>
      </c>
      <c r="D80" s="2982" t="s">
        <v>4625</v>
      </c>
      <c r="E80" s="23">
        <f t="shared" si="13"/>
        <v>1.02</v>
      </c>
      <c r="F80" s="2982" t="s">
        <v>3332</v>
      </c>
      <c r="G80" s="23">
        <f t="shared" si="14"/>
        <v>1</v>
      </c>
      <c r="H80" s="719"/>
      <c r="I80" s="23">
        <f t="shared" si="15"/>
        <v>1</v>
      </c>
      <c r="J80" s="719"/>
      <c r="K80" s="23">
        <f t="shared" si="16"/>
        <v>1</v>
      </c>
      <c r="L80" s="719"/>
      <c r="M80" s="23">
        <f t="shared" si="17"/>
        <v>1</v>
      </c>
      <c r="N80" s="719"/>
      <c r="O80" s="23">
        <f t="shared" si="18"/>
        <v>1</v>
      </c>
      <c r="P80" s="719"/>
      <c r="Q80" s="23">
        <f t="shared" si="19"/>
        <v>1</v>
      </c>
      <c r="R80" s="715">
        <f t="shared" ca="1" si="20"/>
        <v>9861</v>
      </c>
      <c r="S80" s="360">
        <f t="shared" ca="1" si="22"/>
        <v>80</v>
      </c>
      <c r="T80" s="3019">
        <f>办公清单!F62</f>
        <v>4.24</v>
      </c>
    </row>
    <row r="81" spans="1:20">
      <c r="A81" s="3002" t="str">
        <f>'数据-基础表'!C70</f>
        <v>20层2002号</v>
      </c>
      <c r="B81" s="945">
        <f>'数据-基础表'!I70</f>
        <v>52.17</v>
      </c>
      <c r="C81" s="23">
        <f t="shared" si="12"/>
        <v>1.01</v>
      </c>
      <c r="D81" s="2982" t="s">
        <v>4625</v>
      </c>
      <c r="E81" s="23">
        <f t="shared" si="13"/>
        <v>1.02</v>
      </c>
      <c r="F81" s="2982" t="s">
        <v>3332</v>
      </c>
      <c r="G81" s="23">
        <f t="shared" si="14"/>
        <v>1</v>
      </c>
      <c r="H81" s="719"/>
      <c r="I81" s="23">
        <f t="shared" si="15"/>
        <v>1</v>
      </c>
      <c r="J81" s="719"/>
      <c r="K81" s="23">
        <f t="shared" si="16"/>
        <v>1</v>
      </c>
      <c r="L81" s="719"/>
      <c r="M81" s="23">
        <f t="shared" si="17"/>
        <v>1</v>
      </c>
      <c r="N81" s="719"/>
      <c r="O81" s="23">
        <f t="shared" si="18"/>
        <v>1</v>
      </c>
      <c r="P81" s="719"/>
      <c r="Q81" s="23">
        <f t="shared" si="19"/>
        <v>1</v>
      </c>
      <c r="R81" s="715">
        <f t="shared" ca="1" si="20"/>
        <v>9960</v>
      </c>
      <c r="S81" s="360">
        <f t="shared" ca="1" si="22"/>
        <v>52</v>
      </c>
      <c r="T81" s="3019">
        <f>办公清单!F63</f>
        <v>2.74</v>
      </c>
    </row>
    <row r="82" spans="1:20">
      <c r="A82" s="3002" t="str">
        <f>'数据-基础表'!C71</f>
        <v>20层2003号</v>
      </c>
      <c r="B82" s="945">
        <f>'数据-基础表'!I71</f>
        <v>52.17</v>
      </c>
      <c r="C82" s="23">
        <f t="shared" si="12"/>
        <v>1.01</v>
      </c>
      <c r="D82" s="2982" t="s">
        <v>4625</v>
      </c>
      <c r="E82" s="23">
        <f t="shared" si="13"/>
        <v>1.02</v>
      </c>
      <c r="F82" s="2982" t="s">
        <v>3332</v>
      </c>
      <c r="G82" s="23">
        <f t="shared" si="14"/>
        <v>1</v>
      </c>
      <c r="H82" s="719"/>
      <c r="I82" s="23">
        <f t="shared" si="15"/>
        <v>1</v>
      </c>
      <c r="J82" s="719"/>
      <c r="K82" s="23">
        <f t="shared" si="16"/>
        <v>1</v>
      </c>
      <c r="L82" s="719"/>
      <c r="M82" s="23">
        <f t="shared" si="17"/>
        <v>1</v>
      </c>
      <c r="N82" s="719"/>
      <c r="O82" s="23">
        <f t="shared" si="18"/>
        <v>1</v>
      </c>
      <c r="P82" s="719"/>
      <c r="Q82" s="23">
        <f t="shared" si="19"/>
        <v>1</v>
      </c>
      <c r="R82" s="715">
        <f t="shared" ca="1" si="20"/>
        <v>9960</v>
      </c>
      <c r="S82" s="360">
        <f t="shared" ca="1" si="22"/>
        <v>52</v>
      </c>
      <c r="T82" s="3019">
        <f>办公清单!F64</f>
        <v>2.74</v>
      </c>
    </row>
    <row r="83" spans="1:20">
      <c r="A83" s="3002" t="str">
        <f>'数据-基础表'!C72</f>
        <v>20层2004号</v>
      </c>
      <c r="B83" s="945">
        <f>'数据-基础表'!I72</f>
        <v>52.17</v>
      </c>
      <c r="C83" s="23">
        <f t="shared" si="12"/>
        <v>1.01</v>
      </c>
      <c r="D83" s="2982" t="s">
        <v>4625</v>
      </c>
      <c r="E83" s="23">
        <f t="shared" si="13"/>
        <v>1.02</v>
      </c>
      <c r="F83" s="2982" t="s">
        <v>3332</v>
      </c>
      <c r="G83" s="23">
        <f t="shared" si="14"/>
        <v>1</v>
      </c>
      <c r="H83" s="719"/>
      <c r="I83" s="23">
        <f t="shared" si="15"/>
        <v>1</v>
      </c>
      <c r="J83" s="719"/>
      <c r="K83" s="23">
        <f t="shared" si="16"/>
        <v>1</v>
      </c>
      <c r="L83" s="719"/>
      <c r="M83" s="23">
        <f t="shared" si="17"/>
        <v>1</v>
      </c>
      <c r="N83" s="719"/>
      <c r="O83" s="23">
        <f t="shared" si="18"/>
        <v>1</v>
      </c>
      <c r="P83" s="719"/>
      <c r="Q83" s="23">
        <f t="shared" si="19"/>
        <v>1</v>
      </c>
      <c r="R83" s="715">
        <f t="shared" ca="1" si="20"/>
        <v>9960</v>
      </c>
      <c r="S83" s="360">
        <f t="shared" ca="1" si="22"/>
        <v>52</v>
      </c>
      <c r="T83" s="3019">
        <f>办公清单!F65</f>
        <v>2.74</v>
      </c>
    </row>
    <row r="84" spans="1:20">
      <c r="A84" s="3002" t="str">
        <f>'数据-基础表'!C73</f>
        <v>20层2005号</v>
      </c>
      <c r="B84" s="945">
        <f>'数据-基础表'!I73</f>
        <v>52.17</v>
      </c>
      <c r="C84" s="23">
        <f t="shared" si="12"/>
        <v>1.01</v>
      </c>
      <c r="D84" s="2982" t="s">
        <v>4625</v>
      </c>
      <c r="E84" s="23">
        <f t="shared" si="13"/>
        <v>1.02</v>
      </c>
      <c r="F84" s="2982" t="s">
        <v>3332</v>
      </c>
      <c r="G84" s="23">
        <f t="shared" si="14"/>
        <v>1</v>
      </c>
      <c r="H84" s="719"/>
      <c r="I84" s="23">
        <f t="shared" si="15"/>
        <v>1</v>
      </c>
      <c r="J84" s="719"/>
      <c r="K84" s="23">
        <f t="shared" si="16"/>
        <v>1</v>
      </c>
      <c r="L84" s="719"/>
      <c r="M84" s="23">
        <f t="shared" si="17"/>
        <v>1</v>
      </c>
      <c r="N84" s="719"/>
      <c r="O84" s="23">
        <f t="shared" si="18"/>
        <v>1</v>
      </c>
      <c r="P84" s="719"/>
      <c r="Q84" s="23">
        <f t="shared" si="19"/>
        <v>1</v>
      </c>
      <c r="R84" s="715">
        <f t="shared" ca="1" si="20"/>
        <v>9960</v>
      </c>
      <c r="S84" s="360">
        <f t="shared" ca="1" si="22"/>
        <v>52</v>
      </c>
      <c r="T84" s="3019">
        <f>办公清单!F66</f>
        <v>2.74</v>
      </c>
    </row>
    <row r="85" spans="1:20">
      <c r="A85" s="3002" t="str">
        <f>'数据-基础表'!C74</f>
        <v>20层2006号</v>
      </c>
      <c r="B85" s="945">
        <f>'数据-基础表'!I74</f>
        <v>52.17</v>
      </c>
      <c r="C85" s="23">
        <f t="shared" si="12"/>
        <v>1.01</v>
      </c>
      <c r="D85" s="2982" t="s">
        <v>4625</v>
      </c>
      <c r="E85" s="23">
        <f t="shared" si="13"/>
        <v>1.02</v>
      </c>
      <c r="F85" s="2982" t="s">
        <v>3332</v>
      </c>
      <c r="G85" s="23">
        <f t="shared" si="14"/>
        <v>1</v>
      </c>
      <c r="H85" s="719"/>
      <c r="I85" s="23">
        <f t="shared" si="15"/>
        <v>1</v>
      </c>
      <c r="J85" s="719"/>
      <c r="K85" s="23">
        <f t="shared" si="16"/>
        <v>1</v>
      </c>
      <c r="L85" s="719"/>
      <c r="M85" s="23">
        <f t="shared" si="17"/>
        <v>1</v>
      </c>
      <c r="N85" s="719"/>
      <c r="O85" s="23">
        <f t="shared" si="18"/>
        <v>1</v>
      </c>
      <c r="P85" s="719"/>
      <c r="Q85" s="23">
        <f t="shared" si="19"/>
        <v>1</v>
      </c>
      <c r="R85" s="715">
        <f t="shared" ca="1" si="20"/>
        <v>9960</v>
      </c>
      <c r="S85" s="360">
        <f t="shared" ca="1" si="22"/>
        <v>52</v>
      </c>
      <c r="T85" s="3019">
        <f>办公清单!F67</f>
        <v>2.74</v>
      </c>
    </row>
    <row r="86" spans="1:20">
      <c r="A86" s="3002" t="str">
        <f>'数据-基础表'!C75</f>
        <v>20层2007号</v>
      </c>
      <c r="B86" s="945">
        <f>'数据-基础表'!I75</f>
        <v>52.17</v>
      </c>
      <c r="C86" s="23">
        <f t="shared" si="12"/>
        <v>1.01</v>
      </c>
      <c r="D86" s="2982" t="s">
        <v>4625</v>
      </c>
      <c r="E86" s="23">
        <f t="shared" si="13"/>
        <v>1.02</v>
      </c>
      <c r="F86" s="2982" t="s">
        <v>3332</v>
      </c>
      <c r="G86" s="23">
        <f t="shared" si="14"/>
        <v>1</v>
      </c>
      <c r="H86" s="719"/>
      <c r="I86" s="23">
        <f t="shared" si="15"/>
        <v>1</v>
      </c>
      <c r="J86" s="719"/>
      <c r="K86" s="23">
        <f t="shared" si="16"/>
        <v>1</v>
      </c>
      <c r="L86" s="719"/>
      <c r="M86" s="23">
        <f t="shared" si="17"/>
        <v>1</v>
      </c>
      <c r="N86" s="719"/>
      <c r="O86" s="23">
        <f t="shared" si="18"/>
        <v>1</v>
      </c>
      <c r="P86" s="719"/>
      <c r="Q86" s="23">
        <f t="shared" si="19"/>
        <v>1</v>
      </c>
      <c r="R86" s="715">
        <f t="shared" ca="1" si="20"/>
        <v>9960</v>
      </c>
      <c r="S86" s="360">
        <f t="shared" ca="1" si="22"/>
        <v>52</v>
      </c>
      <c r="T86" s="3019">
        <f>办公清单!F68</f>
        <v>2.74</v>
      </c>
    </row>
    <row r="87" spans="1:20">
      <c r="A87" s="3002" t="str">
        <f>'数据-基础表'!C76</f>
        <v>20层2008号</v>
      </c>
      <c r="B87" s="945">
        <f>'数据-基础表'!I76</f>
        <v>52.17</v>
      </c>
      <c r="C87" s="23">
        <f t="shared" si="12"/>
        <v>1.01</v>
      </c>
      <c r="D87" s="2982" t="s">
        <v>4625</v>
      </c>
      <c r="E87" s="23">
        <f t="shared" si="13"/>
        <v>1.02</v>
      </c>
      <c r="F87" s="2982" t="s">
        <v>3332</v>
      </c>
      <c r="G87" s="23">
        <f t="shared" si="14"/>
        <v>1</v>
      </c>
      <c r="H87" s="719"/>
      <c r="I87" s="23">
        <f t="shared" si="15"/>
        <v>1</v>
      </c>
      <c r="J87" s="719"/>
      <c r="K87" s="23">
        <f t="shared" si="16"/>
        <v>1</v>
      </c>
      <c r="L87" s="719"/>
      <c r="M87" s="23">
        <f t="shared" si="17"/>
        <v>1</v>
      </c>
      <c r="N87" s="719"/>
      <c r="O87" s="23">
        <f t="shared" si="18"/>
        <v>1</v>
      </c>
      <c r="P87" s="719"/>
      <c r="Q87" s="23">
        <f t="shared" si="19"/>
        <v>1</v>
      </c>
      <c r="R87" s="715">
        <f t="shared" ca="1" si="20"/>
        <v>9960</v>
      </c>
      <c r="S87" s="360">
        <f t="shared" ca="1" si="22"/>
        <v>52</v>
      </c>
      <c r="T87" s="3019">
        <f>办公清单!F69</f>
        <v>2.74</v>
      </c>
    </row>
    <row r="88" spans="1:20">
      <c r="A88" s="3002" t="str">
        <f>'数据-基础表'!C77</f>
        <v>20层2009号</v>
      </c>
      <c r="B88" s="945">
        <f>'数据-基础表'!I77</f>
        <v>52.17</v>
      </c>
      <c r="C88" s="23">
        <f t="shared" si="12"/>
        <v>1.01</v>
      </c>
      <c r="D88" s="2982" t="s">
        <v>4625</v>
      </c>
      <c r="E88" s="23">
        <f t="shared" si="13"/>
        <v>1.02</v>
      </c>
      <c r="F88" s="2982" t="s">
        <v>3332</v>
      </c>
      <c r="G88" s="23">
        <f t="shared" si="14"/>
        <v>1</v>
      </c>
      <c r="H88" s="719"/>
      <c r="I88" s="23">
        <f t="shared" si="15"/>
        <v>1</v>
      </c>
      <c r="J88" s="719"/>
      <c r="K88" s="23">
        <f t="shared" si="16"/>
        <v>1</v>
      </c>
      <c r="L88" s="719"/>
      <c r="M88" s="23">
        <f t="shared" si="17"/>
        <v>1</v>
      </c>
      <c r="N88" s="719"/>
      <c r="O88" s="23">
        <f t="shared" si="18"/>
        <v>1</v>
      </c>
      <c r="P88" s="719"/>
      <c r="Q88" s="23">
        <f t="shared" si="19"/>
        <v>1</v>
      </c>
      <c r="R88" s="715">
        <f t="shared" ca="1" si="20"/>
        <v>9960</v>
      </c>
      <c r="S88" s="360">
        <f t="shared" ca="1" si="22"/>
        <v>52</v>
      </c>
      <c r="T88" s="3019">
        <f>办公清单!F70</f>
        <v>2.74</v>
      </c>
    </row>
    <row r="89" spans="1:20">
      <c r="A89" s="3002" t="str">
        <f>'数据-基础表'!C78</f>
        <v>20层2010号</v>
      </c>
      <c r="B89" s="945">
        <f>'数据-基础表'!I78</f>
        <v>52.17</v>
      </c>
      <c r="C89" s="23">
        <f t="shared" si="12"/>
        <v>1.01</v>
      </c>
      <c r="D89" s="2982" t="s">
        <v>4625</v>
      </c>
      <c r="E89" s="23">
        <f t="shared" si="13"/>
        <v>1.02</v>
      </c>
      <c r="F89" s="2982" t="s">
        <v>3332</v>
      </c>
      <c r="G89" s="23">
        <f t="shared" si="14"/>
        <v>1</v>
      </c>
      <c r="H89" s="719"/>
      <c r="I89" s="23">
        <f t="shared" si="15"/>
        <v>1</v>
      </c>
      <c r="J89" s="719"/>
      <c r="K89" s="23">
        <f t="shared" si="16"/>
        <v>1</v>
      </c>
      <c r="L89" s="719"/>
      <c r="M89" s="23">
        <f t="shared" si="17"/>
        <v>1</v>
      </c>
      <c r="N89" s="719"/>
      <c r="O89" s="23">
        <f t="shared" si="18"/>
        <v>1</v>
      </c>
      <c r="P89" s="719"/>
      <c r="Q89" s="23">
        <f t="shared" si="19"/>
        <v>1</v>
      </c>
      <c r="R89" s="715">
        <f t="shared" ca="1" si="20"/>
        <v>9960</v>
      </c>
      <c r="S89" s="360">
        <f t="shared" ca="1" si="22"/>
        <v>52</v>
      </c>
      <c r="T89" s="3019">
        <f>办公清单!F71</f>
        <v>2.74</v>
      </c>
    </row>
    <row r="90" spans="1:20">
      <c r="A90" s="3002" t="str">
        <f>'数据-基础表'!C79</f>
        <v>20层2011号</v>
      </c>
      <c r="B90" s="945">
        <f>'数据-基础表'!I79</f>
        <v>52.17</v>
      </c>
      <c r="C90" s="23">
        <f t="shared" ref="C90:C153" si="23">IF(B90="",1,(LOOKUP(B90,$3:$3,$4:$4)-LOOKUP($B$24,$3:$3,$4:$4)+100)/100)</f>
        <v>1.01</v>
      </c>
      <c r="D90" s="2982" t="s">
        <v>4625</v>
      </c>
      <c r="E90" s="23">
        <f t="shared" ref="E90:E153" si="24">(SUMIF($5:$5,D90,$6:$6)-SUMIF($5:$5,$D$24,$6:$6)+100)/100</f>
        <v>1.02</v>
      </c>
      <c r="F90" s="2982" t="s">
        <v>3332</v>
      </c>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ca="1" si="31">IF(B90="",0,ROUND($R$24*C90*E90*G90*I90*K90*M90*O90*Q90,0))</f>
        <v>9960</v>
      </c>
      <c r="S90" s="360">
        <f t="shared" ca="1" si="22"/>
        <v>52</v>
      </c>
      <c r="T90" s="3019">
        <f>办公清单!F72</f>
        <v>2.74</v>
      </c>
    </row>
    <row r="91" spans="1:20">
      <c r="A91" s="3002" t="str">
        <f>'数据-基础表'!C80</f>
        <v>20层2012号</v>
      </c>
      <c r="B91" s="945">
        <f>'数据-基础表'!I80</f>
        <v>80.73</v>
      </c>
      <c r="C91" s="23">
        <f t="shared" si="23"/>
        <v>1</v>
      </c>
      <c r="D91" s="2982" t="s">
        <v>4625</v>
      </c>
      <c r="E91" s="23">
        <f t="shared" si="24"/>
        <v>1.02</v>
      </c>
      <c r="F91" s="2982" t="s">
        <v>3332</v>
      </c>
      <c r="G91" s="23">
        <f t="shared" si="25"/>
        <v>1</v>
      </c>
      <c r="H91" s="719"/>
      <c r="I91" s="23">
        <f t="shared" si="26"/>
        <v>1</v>
      </c>
      <c r="J91" s="719"/>
      <c r="K91" s="23">
        <f t="shared" si="27"/>
        <v>1</v>
      </c>
      <c r="L91" s="719"/>
      <c r="M91" s="23">
        <f t="shared" si="28"/>
        <v>1</v>
      </c>
      <c r="N91" s="719"/>
      <c r="O91" s="23">
        <f t="shared" si="29"/>
        <v>1</v>
      </c>
      <c r="P91" s="719"/>
      <c r="Q91" s="23">
        <f t="shared" si="30"/>
        <v>1</v>
      </c>
      <c r="R91" s="715">
        <f t="shared" ca="1" si="31"/>
        <v>9861</v>
      </c>
      <c r="S91" s="360">
        <f t="shared" ca="1" si="22"/>
        <v>80</v>
      </c>
      <c r="T91" s="3019">
        <f>办公清单!F73</f>
        <v>4.24</v>
      </c>
    </row>
    <row r="92" spans="1:20">
      <c r="A92" s="3002" t="str">
        <f>'数据-基础表'!C81</f>
        <v>20层2013号</v>
      </c>
      <c r="B92" s="945">
        <f>'数据-基础表'!I81</f>
        <v>66.040000000000006</v>
      </c>
      <c r="C92" s="23">
        <f t="shared" si="23"/>
        <v>1</v>
      </c>
      <c r="D92" s="2982" t="s">
        <v>4625</v>
      </c>
      <c r="E92" s="23">
        <f t="shared" si="24"/>
        <v>1.02</v>
      </c>
      <c r="F92" s="2982" t="s">
        <v>3332</v>
      </c>
      <c r="G92" s="23">
        <f t="shared" si="25"/>
        <v>1</v>
      </c>
      <c r="H92" s="719"/>
      <c r="I92" s="23">
        <f t="shared" si="26"/>
        <v>1</v>
      </c>
      <c r="J92" s="719"/>
      <c r="K92" s="23">
        <f t="shared" si="27"/>
        <v>1</v>
      </c>
      <c r="L92" s="719"/>
      <c r="M92" s="23">
        <f t="shared" si="28"/>
        <v>1</v>
      </c>
      <c r="N92" s="719"/>
      <c r="O92" s="23">
        <f t="shared" si="29"/>
        <v>1</v>
      </c>
      <c r="P92" s="719"/>
      <c r="Q92" s="23">
        <f t="shared" si="30"/>
        <v>1</v>
      </c>
      <c r="R92" s="715">
        <f t="shared" ca="1" si="31"/>
        <v>9861</v>
      </c>
      <c r="S92" s="360">
        <f t="shared" ca="1" si="22"/>
        <v>65</v>
      </c>
      <c r="T92" s="3019">
        <f>办公清单!F74</f>
        <v>3.47</v>
      </c>
    </row>
    <row r="93" spans="1:20">
      <c r="A93" s="3002" t="str">
        <f>'数据-基础表'!C82</f>
        <v>20层2014号</v>
      </c>
      <c r="B93" s="945">
        <f>'数据-基础表'!I82</f>
        <v>66.040000000000006</v>
      </c>
      <c r="C93" s="23">
        <f t="shared" si="23"/>
        <v>1</v>
      </c>
      <c r="D93" s="2982" t="s">
        <v>4625</v>
      </c>
      <c r="E93" s="23">
        <f t="shared" si="24"/>
        <v>1.02</v>
      </c>
      <c r="F93" s="2982" t="s">
        <v>3332</v>
      </c>
      <c r="G93" s="23">
        <f t="shared" si="25"/>
        <v>1</v>
      </c>
      <c r="H93" s="719"/>
      <c r="I93" s="23">
        <f t="shared" si="26"/>
        <v>1</v>
      </c>
      <c r="J93" s="719"/>
      <c r="K93" s="23">
        <f t="shared" si="27"/>
        <v>1</v>
      </c>
      <c r="L93" s="719"/>
      <c r="M93" s="23">
        <f t="shared" si="28"/>
        <v>1</v>
      </c>
      <c r="N93" s="719"/>
      <c r="O93" s="23">
        <f t="shared" si="29"/>
        <v>1</v>
      </c>
      <c r="P93" s="719"/>
      <c r="Q93" s="23">
        <f t="shared" si="30"/>
        <v>1</v>
      </c>
      <c r="R93" s="715">
        <f t="shared" ca="1" si="31"/>
        <v>9861</v>
      </c>
      <c r="S93" s="360">
        <f t="shared" ca="1" si="22"/>
        <v>65</v>
      </c>
      <c r="T93" s="3019">
        <f>办公清单!F75</f>
        <v>3.47</v>
      </c>
    </row>
    <row r="94" spans="1:20">
      <c r="A94" s="3002" t="str">
        <f>'数据-基础表'!C83</f>
        <v>20层2015号</v>
      </c>
      <c r="B94" s="945">
        <f>'数据-基础表'!I83</f>
        <v>80.73</v>
      </c>
      <c r="C94" s="23">
        <f t="shared" si="23"/>
        <v>1</v>
      </c>
      <c r="D94" s="2982" t="s">
        <v>4625</v>
      </c>
      <c r="E94" s="23">
        <f t="shared" si="24"/>
        <v>1.02</v>
      </c>
      <c r="F94" s="2982" t="s">
        <v>3332</v>
      </c>
      <c r="G94" s="23">
        <f t="shared" si="25"/>
        <v>1</v>
      </c>
      <c r="H94" s="719"/>
      <c r="I94" s="23">
        <f t="shared" si="26"/>
        <v>1</v>
      </c>
      <c r="J94" s="719"/>
      <c r="K94" s="23">
        <f t="shared" si="27"/>
        <v>1</v>
      </c>
      <c r="L94" s="719"/>
      <c r="M94" s="23">
        <f t="shared" si="28"/>
        <v>1</v>
      </c>
      <c r="N94" s="719"/>
      <c r="O94" s="23">
        <f t="shared" si="29"/>
        <v>1</v>
      </c>
      <c r="P94" s="719"/>
      <c r="Q94" s="23">
        <f t="shared" si="30"/>
        <v>1</v>
      </c>
      <c r="R94" s="715">
        <f t="shared" ca="1" si="31"/>
        <v>9861</v>
      </c>
      <c r="S94" s="360">
        <f t="shared" ca="1" si="22"/>
        <v>80</v>
      </c>
      <c r="T94" s="3019">
        <f>办公清单!F76</f>
        <v>4.24</v>
      </c>
    </row>
    <row r="95" spans="1:20">
      <c r="A95" s="3002" t="str">
        <f>'数据-基础表'!C84</f>
        <v>20层2016号</v>
      </c>
      <c r="B95" s="945">
        <f>'数据-基础表'!I84</f>
        <v>52.17</v>
      </c>
      <c r="C95" s="23">
        <f t="shared" si="23"/>
        <v>1.01</v>
      </c>
      <c r="D95" s="2982" t="s">
        <v>4625</v>
      </c>
      <c r="E95" s="23">
        <f t="shared" si="24"/>
        <v>1.02</v>
      </c>
      <c r="F95" s="2982" t="s">
        <v>3332</v>
      </c>
      <c r="G95" s="23">
        <f t="shared" si="25"/>
        <v>1</v>
      </c>
      <c r="H95" s="719"/>
      <c r="I95" s="23">
        <f t="shared" si="26"/>
        <v>1</v>
      </c>
      <c r="J95" s="719"/>
      <c r="K95" s="23">
        <f t="shared" si="27"/>
        <v>1</v>
      </c>
      <c r="L95" s="719"/>
      <c r="M95" s="23">
        <f t="shared" si="28"/>
        <v>1</v>
      </c>
      <c r="N95" s="719"/>
      <c r="O95" s="23">
        <f t="shared" si="29"/>
        <v>1</v>
      </c>
      <c r="P95" s="719"/>
      <c r="Q95" s="23">
        <f t="shared" si="30"/>
        <v>1</v>
      </c>
      <c r="R95" s="715">
        <f t="shared" ca="1" si="31"/>
        <v>9960</v>
      </c>
      <c r="S95" s="360">
        <f t="shared" ca="1" si="22"/>
        <v>52</v>
      </c>
      <c r="T95" s="3019">
        <f>办公清单!F77</f>
        <v>2.74</v>
      </c>
    </row>
    <row r="96" spans="1:20">
      <c r="A96" s="3002" t="str">
        <f>'数据-基础表'!C85</f>
        <v>20层2017号</v>
      </c>
      <c r="B96" s="945">
        <f>'数据-基础表'!I85</f>
        <v>52.17</v>
      </c>
      <c r="C96" s="23">
        <f t="shared" si="23"/>
        <v>1.01</v>
      </c>
      <c r="D96" s="2982" t="s">
        <v>4625</v>
      </c>
      <c r="E96" s="23">
        <f t="shared" si="24"/>
        <v>1.02</v>
      </c>
      <c r="F96" s="2982" t="s">
        <v>3332</v>
      </c>
      <c r="G96" s="23">
        <f t="shared" si="25"/>
        <v>1</v>
      </c>
      <c r="H96" s="719"/>
      <c r="I96" s="23">
        <f t="shared" si="26"/>
        <v>1</v>
      </c>
      <c r="J96" s="719"/>
      <c r="K96" s="23">
        <f t="shared" si="27"/>
        <v>1</v>
      </c>
      <c r="L96" s="719"/>
      <c r="M96" s="23">
        <f t="shared" si="28"/>
        <v>1</v>
      </c>
      <c r="N96" s="719"/>
      <c r="O96" s="23">
        <f t="shared" si="29"/>
        <v>1</v>
      </c>
      <c r="P96" s="719"/>
      <c r="Q96" s="23">
        <f t="shared" si="30"/>
        <v>1</v>
      </c>
      <c r="R96" s="715">
        <f t="shared" ca="1" si="31"/>
        <v>9960</v>
      </c>
      <c r="S96" s="360">
        <f t="shared" ca="1" si="22"/>
        <v>52</v>
      </c>
      <c r="T96" s="3019">
        <f>办公清单!F78</f>
        <v>2.74</v>
      </c>
    </row>
    <row r="97" spans="1:20">
      <c r="A97" s="3002" t="str">
        <f>'数据-基础表'!C86</f>
        <v>20层2018号</v>
      </c>
      <c r="B97" s="945">
        <f>'数据-基础表'!I86</f>
        <v>52.17</v>
      </c>
      <c r="C97" s="23">
        <f t="shared" si="23"/>
        <v>1.01</v>
      </c>
      <c r="D97" s="2982" t="s">
        <v>4625</v>
      </c>
      <c r="E97" s="23">
        <f t="shared" si="24"/>
        <v>1.02</v>
      </c>
      <c r="F97" s="2982" t="s">
        <v>3332</v>
      </c>
      <c r="G97" s="23">
        <f t="shared" si="25"/>
        <v>1</v>
      </c>
      <c r="H97" s="719"/>
      <c r="I97" s="23">
        <f t="shared" si="26"/>
        <v>1</v>
      </c>
      <c r="J97" s="719"/>
      <c r="K97" s="23">
        <f t="shared" si="27"/>
        <v>1</v>
      </c>
      <c r="L97" s="719"/>
      <c r="M97" s="23">
        <f t="shared" si="28"/>
        <v>1</v>
      </c>
      <c r="N97" s="719"/>
      <c r="O97" s="23">
        <f t="shared" si="29"/>
        <v>1</v>
      </c>
      <c r="P97" s="719"/>
      <c r="Q97" s="23">
        <f t="shared" si="30"/>
        <v>1</v>
      </c>
      <c r="R97" s="715">
        <f t="shared" ca="1" si="31"/>
        <v>9960</v>
      </c>
      <c r="S97" s="360">
        <f t="shared" ca="1" si="22"/>
        <v>52</v>
      </c>
      <c r="T97" s="3019">
        <f>办公清单!F79</f>
        <v>2.74</v>
      </c>
    </row>
    <row r="98" spans="1:20">
      <c r="A98" s="3002" t="str">
        <f>'数据-基础表'!C87</f>
        <v>20层2019号</v>
      </c>
      <c r="B98" s="945">
        <f>'数据-基础表'!I87</f>
        <v>52.17</v>
      </c>
      <c r="C98" s="23">
        <f t="shared" si="23"/>
        <v>1.01</v>
      </c>
      <c r="D98" s="2982" t="s">
        <v>4625</v>
      </c>
      <c r="E98" s="23">
        <f t="shared" si="24"/>
        <v>1.02</v>
      </c>
      <c r="F98" s="2982" t="s">
        <v>3332</v>
      </c>
      <c r="G98" s="23">
        <f t="shared" si="25"/>
        <v>1</v>
      </c>
      <c r="H98" s="719"/>
      <c r="I98" s="23">
        <f t="shared" si="26"/>
        <v>1</v>
      </c>
      <c r="J98" s="719"/>
      <c r="K98" s="23">
        <f t="shared" si="27"/>
        <v>1</v>
      </c>
      <c r="L98" s="719"/>
      <c r="M98" s="23">
        <f t="shared" si="28"/>
        <v>1</v>
      </c>
      <c r="N98" s="719"/>
      <c r="O98" s="23">
        <f t="shared" si="29"/>
        <v>1</v>
      </c>
      <c r="P98" s="719"/>
      <c r="Q98" s="23">
        <f t="shared" si="30"/>
        <v>1</v>
      </c>
      <c r="R98" s="715">
        <f t="shared" ca="1" si="31"/>
        <v>9960</v>
      </c>
      <c r="S98" s="360">
        <f t="shared" ca="1" si="22"/>
        <v>52</v>
      </c>
      <c r="T98" s="3019">
        <f>办公清单!F80</f>
        <v>2.74</v>
      </c>
    </row>
    <row r="99" spans="1:20">
      <c r="A99" s="3002" t="str">
        <f>'数据-基础表'!C88</f>
        <v>20层2020号</v>
      </c>
      <c r="B99" s="945">
        <f>'数据-基础表'!I88</f>
        <v>52.17</v>
      </c>
      <c r="C99" s="23">
        <f t="shared" si="23"/>
        <v>1.01</v>
      </c>
      <c r="D99" s="2982" t="s">
        <v>4625</v>
      </c>
      <c r="E99" s="23">
        <f t="shared" si="24"/>
        <v>1.02</v>
      </c>
      <c r="F99" s="2982" t="s">
        <v>3332</v>
      </c>
      <c r="G99" s="23">
        <f t="shared" si="25"/>
        <v>1</v>
      </c>
      <c r="H99" s="719"/>
      <c r="I99" s="23">
        <f t="shared" si="26"/>
        <v>1</v>
      </c>
      <c r="J99" s="719"/>
      <c r="K99" s="23">
        <f t="shared" si="27"/>
        <v>1</v>
      </c>
      <c r="L99" s="719"/>
      <c r="M99" s="23">
        <f t="shared" si="28"/>
        <v>1</v>
      </c>
      <c r="N99" s="719"/>
      <c r="O99" s="23">
        <f t="shared" si="29"/>
        <v>1</v>
      </c>
      <c r="P99" s="719"/>
      <c r="Q99" s="23">
        <f t="shared" si="30"/>
        <v>1</v>
      </c>
      <c r="R99" s="715">
        <f t="shared" ca="1" si="31"/>
        <v>9960</v>
      </c>
      <c r="S99" s="360">
        <f t="shared" ca="1" si="22"/>
        <v>52</v>
      </c>
      <c r="T99" s="3019">
        <f>办公清单!F81</f>
        <v>2.74</v>
      </c>
    </row>
    <row r="100" spans="1:20">
      <c r="A100" s="3002" t="str">
        <f>'数据-基础表'!C89</f>
        <v>20层2021号</v>
      </c>
      <c r="B100" s="945">
        <f>'数据-基础表'!I89</f>
        <v>52.17</v>
      </c>
      <c r="C100" s="23">
        <f t="shared" si="23"/>
        <v>1.01</v>
      </c>
      <c r="D100" s="2982" t="s">
        <v>4625</v>
      </c>
      <c r="E100" s="23">
        <f t="shared" si="24"/>
        <v>1.02</v>
      </c>
      <c r="F100" s="2982" t="s">
        <v>3332</v>
      </c>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ca="1" si="31"/>
        <v>9960</v>
      </c>
      <c r="S100" s="360">
        <f t="shared" ca="1" si="22"/>
        <v>52</v>
      </c>
      <c r="T100" s="3019">
        <f>办公清单!F82</f>
        <v>2.74</v>
      </c>
    </row>
    <row r="101" spans="1:20">
      <c r="A101" s="3002" t="str">
        <f>'数据-基础表'!C90</f>
        <v>20层2022号</v>
      </c>
      <c r="B101" s="945">
        <f>'数据-基础表'!I90</f>
        <v>52.17</v>
      </c>
      <c r="C101" s="23">
        <f t="shared" si="23"/>
        <v>1.01</v>
      </c>
      <c r="D101" s="2982" t="s">
        <v>4625</v>
      </c>
      <c r="E101" s="23">
        <f t="shared" si="24"/>
        <v>1.02</v>
      </c>
      <c r="F101" s="2982" t="s">
        <v>3332</v>
      </c>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ca="1" si="31"/>
        <v>9960</v>
      </c>
      <c r="S101" s="360">
        <f t="shared" ca="1" si="22"/>
        <v>52</v>
      </c>
      <c r="T101" s="3019">
        <f>办公清单!F83</f>
        <v>2.74</v>
      </c>
    </row>
    <row r="102" spans="1:20">
      <c r="A102" s="3002" t="str">
        <f>'数据-基础表'!C91</f>
        <v>20层2023号</v>
      </c>
      <c r="B102" s="945">
        <f>'数据-基础表'!I91</f>
        <v>52.17</v>
      </c>
      <c r="C102" s="23">
        <f t="shared" si="23"/>
        <v>1.01</v>
      </c>
      <c r="D102" s="2982" t="s">
        <v>4625</v>
      </c>
      <c r="E102" s="23">
        <f t="shared" si="24"/>
        <v>1.02</v>
      </c>
      <c r="F102" s="2982" t="s">
        <v>3332</v>
      </c>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ca="1" si="31"/>
        <v>9960</v>
      </c>
      <c r="S102" s="360">
        <f t="shared" ca="1" si="22"/>
        <v>52</v>
      </c>
      <c r="T102" s="3019">
        <f>办公清单!F84</f>
        <v>2.74</v>
      </c>
    </row>
    <row r="103" spans="1:20">
      <c r="A103" s="3002" t="str">
        <f>'数据-基础表'!C92</f>
        <v>20层2024号</v>
      </c>
      <c r="B103" s="945">
        <f>'数据-基础表'!I92</f>
        <v>52.17</v>
      </c>
      <c r="C103" s="23">
        <f t="shared" si="23"/>
        <v>1.01</v>
      </c>
      <c r="D103" s="2982" t="s">
        <v>4625</v>
      </c>
      <c r="E103" s="23">
        <f t="shared" si="24"/>
        <v>1.02</v>
      </c>
      <c r="F103" s="2982" t="s">
        <v>3332</v>
      </c>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ca="1" si="31"/>
        <v>9960</v>
      </c>
      <c r="S103" s="360">
        <f t="shared" ca="1" si="22"/>
        <v>52</v>
      </c>
      <c r="T103" s="3019">
        <f>办公清单!F85</f>
        <v>2.74</v>
      </c>
    </row>
    <row r="104" spans="1:20">
      <c r="A104" s="3002" t="str">
        <f>'数据-基础表'!C93</f>
        <v>20层2025号</v>
      </c>
      <c r="B104" s="945">
        <f>'数据-基础表'!I93</f>
        <v>52.17</v>
      </c>
      <c r="C104" s="23">
        <f t="shared" si="23"/>
        <v>1.01</v>
      </c>
      <c r="D104" s="2982" t="s">
        <v>4625</v>
      </c>
      <c r="E104" s="23">
        <f t="shared" si="24"/>
        <v>1.02</v>
      </c>
      <c r="F104" s="2982" t="s">
        <v>3332</v>
      </c>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ca="1" si="31"/>
        <v>9960</v>
      </c>
      <c r="S104" s="360">
        <f t="shared" ca="1" si="22"/>
        <v>52</v>
      </c>
      <c r="T104" s="3019">
        <f>办公清单!F86</f>
        <v>2.74</v>
      </c>
    </row>
    <row r="105" spans="1:20">
      <c r="A105" s="3002" t="str">
        <f>'数据-基础表'!C94</f>
        <v>20层2026号</v>
      </c>
      <c r="B105" s="945">
        <f>'数据-基础表'!I94</f>
        <v>80.73</v>
      </c>
      <c r="C105" s="23">
        <f t="shared" si="23"/>
        <v>1</v>
      </c>
      <c r="D105" s="2982" t="s">
        <v>4625</v>
      </c>
      <c r="E105" s="23">
        <f t="shared" si="24"/>
        <v>1.02</v>
      </c>
      <c r="F105" s="2982" t="s">
        <v>3332</v>
      </c>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ca="1" si="31"/>
        <v>9861</v>
      </c>
      <c r="S105" s="360">
        <f t="shared" ca="1" si="22"/>
        <v>80</v>
      </c>
      <c r="T105" s="3019">
        <f>办公清单!F87</f>
        <v>4.24</v>
      </c>
    </row>
    <row r="106" spans="1:20">
      <c r="A106" s="3002" t="str">
        <f>'数据-基础表'!C95</f>
        <v>20层2027号</v>
      </c>
      <c r="B106" s="945">
        <f>'数据-基础表'!I95</f>
        <v>93.08</v>
      </c>
      <c r="C106" s="23">
        <f t="shared" si="23"/>
        <v>1</v>
      </c>
      <c r="D106" s="2982" t="s">
        <v>4625</v>
      </c>
      <c r="E106" s="23">
        <f t="shared" si="24"/>
        <v>1.02</v>
      </c>
      <c r="F106" s="2982" t="s">
        <v>3332</v>
      </c>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ca="1" si="31"/>
        <v>9861</v>
      </c>
      <c r="S106" s="360">
        <f t="shared" ca="1" si="22"/>
        <v>92</v>
      </c>
      <c r="T106" s="3019">
        <f>办公清单!F88</f>
        <v>4.8899999999999997</v>
      </c>
    </row>
    <row r="107" spans="1:20">
      <c r="A107" s="3002" t="str">
        <f>'数据-基础表'!C96</f>
        <v>20层2028号</v>
      </c>
      <c r="B107" s="945">
        <f>'数据-基础表'!I96</f>
        <v>93.08</v>
      </c>
      <c r="C107" s="23">
        <f t="shared" si="23"/>
        <v>1</v>
      </c>
      <c r="D107" s="2982" t="s">
        <v>4625</v>
      </c>
      <c r="E107" s="23">
        <f t="shared" si="24"/>
        <v>1.02</v>
      </c>
      <c r="F107" s="2982" t="s">
        <v>3332</v>
      </c>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ca="1" si="31"/>
        <v>9861</v>
      </c>
      <c r="S107" s="360">
        <f t="shared" ca="1" si="22"/>
        <v>92</v>
      </c>
      <c r="T107" s="3019">
        <f>办公清单!F89</f>
        <v>4.8899999999999997</v>
      </c>
    </row>
    <row r="108" spans="1:20">
      <c r="A108" s="3002" t="str">
        <f>'数据-基础表'!C97</f>
        <v>21层2101号</v>
      </c>
      <c r="B108" s="945">
        <f>'数据-基础表'!I97</f>
        <v>80.73</v>
      </c>
      <c r="C108" s="23">
        <f t="shared" si="23"/>
        <v>1</v>
      </c>
      <c r="D108" s="2982" t="s">
        <v>4625</v>
      </c>
      <c r="E108" s="23">
        <f t="shared" si="24"/>
        <v>1.02</v>
      </c>
      <c r="F108" s="2982" t="s">
        <v>3332</v>
      </c>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ca="1" si="31"/>
        <v>9861</v>
      </c>
      <c r="S108" s="360">
        <f t="shared" ca="1" si="22"/>
        <v>80</v>
      </c>
      <c r="T108" s="3019">
        <f>办公清单!F90</f>
        <v>4.24</v>
      </c>
    </row>
    <row r="109" spans="1:20">
      <c r="A109" s="3002" t="str">
        <f>'数据-基础表'!C98</f>
        <v>21层2102号</v>
      </c>
      <c r="B109" s="945">
        <f>'数据-基础表'!I98</f>
        <v>52.17</v>
      </c>
      <c r="C109" s="23">
        <f t="shared" si="23"/>
        <v>1.01</v>
      </c>
      <c r="D109" s="2982" t="s">
        <v>4625</v>
      </c>
      <c r="E109" s="23">
        <f t="shared" si="24"/>
        <v>1.02</v>
      </c>
      <c r="F109" s="2982" t="s">
        <v>3332</v>
      </c>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ca="1" si="31"/>
        <v>9960</v>
      </c>
      <c r="S109" s="360">
        <f t="shared" ca="1" si="22"/>
        <v>52</v>
      </c>
      <c r="T109" s="3019">
        <f>办公清单!F91</f>
        <v>2.74</v>
      </c>
    </row>
    <row r="110" spans="1:20">
      <c r="A110" s="3002" t="str">
        <f>'数据-基础表'!C99</f>
        <v>21层2103号</v>
      </c>
      <c r="B110" s="945">
        <f>'数据-基础表'!I99</f>
        <v>52.17</v>
      </c>
      <c r="C110" s="23">
        <f t="shared" si="23"/>
        <v>1.01</v>
      </c>
      <c r="D110" s="2982" t="s">
        <v>4625</v>
      </c>
      <c r="E110" s="23">
        <f t="shared" si="24"/>
        <v>1.02</v>
      </c>
      <c r="F110" s="2982" t="s">
        <v>3332</v>
      </c>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ca="1" si="31"/>
        <v>9960</v>
      </c>
      <c r="S110" s="360">
        <f t="shared" ca="1" si="22"/>
        <v>52</v>
      </c>
      <c r="T110" s="3019">
        <f>办公清单!F92</f>
        <v>2.74</v>
      </c>
    </row>
    <row r="111" spans="1:20">
      <c r="A111" s="3002" t="str">
        <f>'数据-基础表'!C100</f>
        <v>21层2104号</v>
      </c>
      <c r="B111" s="945">
        <f>'数据-基础表'!I100</f>
        <v>52.17</v>
      </c>
      <c r="C111" s="23">
        <f t="shared" si="23"/>
        <v>1.01</v>
      </c>
      <c r="D111" s="2982" t="s">
        <v>4625</v>
      </c>
      <c r="E111" s="23">
        <f t="shared" si="24"/>
        <v>1.02</v>
      </c>
      <c r="F111" s="2982" t="s">
        <v>3332</v>
      </c>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ca="1" si="31"/>
        <v>9960</v>
      </c>
      <c r="S111" s="360">
        <f t="shared" ca="1" si="22"/>
        <v>52</v>
      </c>
      <c r="T111" s="3019">
        <f>办公清单!F93</f>
        <v>2.74</v>
      </c>
    </row>
    <row r="112" spans="1:20">
      <c r="A112" s="3002" t="str">
        <f>'数据-基础表'!C101</f>
        <v>21层2105号</v>
      </c>
      <c r="B112" s="945">
        <f>'数据-基础表'!I101</f>
        <v>52.17</v>
      </c>
      <c r="C112" s="23">
        <f t="shared" si="23"/>
        <v>1.01</v>
      </c>
      <c r="D112" s="2982" t="s">
        <v>4625</v>
      </c>
      <c r="E112" s="23">
        <f t="shared" si="24"/>
        <v>1.02</v>
      </c>
      <c r="F112" s="2982" t="s">
        <v>3332</v>
      </c>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ca="1" si="31"/>
        <v>9960</v>
      </c>
      <c r="S112" s="360">
        <f t="shared" ca="1" si="22"/>
        <v>52</v>
      </c>
      <c r="T112" s="3019">
        <f>办公清单!F94</f>
        <v>2.74</v>
      </c>
    </row>
    <row r="113" spans="1:20">
      <c r="A113" s="3002" t="str">
        <f>'数据-基础表'!C102</f>
        <v>21层2106号</v>
      </c>
      <c r="B113" s="945">
        <f>'数据-基础表'!I102</f>
        <v>52.17</v>
      </c>
      <c r="C113" s="23">
        <f t="shared" si="23"/>
        <v>1.01</v>
      </c>
      <c r="D113" s="2982" t="s">
        <v>4625</v>
      </c>
      <c r="E113" s="23">
        <f t="shared" si="24"/>
        <v>1.02</v>
      </c>
      <c r="F113" s="2982" t="s">
        <v>3332</v>
      </c>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ca="1" si="31"/>
        <v>9960</v>
      </c>
      <c r="S113" s="360">
        <f t="shared" ca="1" si="22"/>
        <v>52</v>
      </c>
      <c r="T113" s="3019">
        <f>办公清单!F95</f>
        <v>2.74</v>
      </c>
    </row>
    <row r="114" spans="1:20">
      <c r="A114" s="3002" t="str">
        <f>'数据-基础表'!C103</f>
        <v>21层2107号</v>
      </c>
      <c r="B114" s="945">
        <f>'数据-基础表'!I103</f>
        <v>52.17</v>
      </c>
      <c r="C114" s="23">
        <f t="shared" si="23"/>
        <v>1.01</v>
      </c>
      <c r="D114" s="2982" t="s">
        <v>4625</v>
      </c>
      <c r="E114" s="23">
        <f t="shared" si="24"/>
        <v>1.02</v>
      </c>
      <c r="F114" s="2982" t="s">
        <v>3332</v>
      </c>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ca="1" si="31"/>
        <v>9960</v>
      </c>
      <c r="S114" s="360">
        <f t="shared" ca="1" si="22"/>
        <v>52</v>
      </c>
      <c r="T114" s="3019">
        <f>办公清单!F96</f>
        <v>2.74</v>
      </c>
    </row>
    <row r="115" spans="1:20">
      <c r="A115" s="3002" t="str">
        <f>'数据-基础表'!C104</f>
        <v>21层2108号</v>
      </c>
      <c r="B115" s="945">
        <f>'数据-基础表'!I104</f>
        <v>52.17</v>
      </c>
      <c r="C115" s="23">
        <f t="shared" si="23"/>
        <v>1.01</v>
      </c>
      <c r="D115" s="2982" t="s">
        <v>4625</v>
      </c>
      <c r="E115" s="23">
        <f t="shared" si="24"/>
        <v>1.02</v>
      </c>
      <c r="F115" s="2982" t="s">
        <v>3332</v>
      </c>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ca="1" si="31"/>
        <v>9960</v>
      </c>
      <c r="S115" s="360">
        <f t="shared" ca="1" si="22"/>
        <v>52</v>
      </c>
      <c r="T115" s="3019">
        <f>办公清单!F97</f>
        <v>2.74</v>
      </c>
    </row>
    <row r="116" spans="1:20">
      <c r="A116" s="3002" t="str">
        <f>'数据-基础表'!C105</f>
        <v>21层2109号</v>
      </c>
      <c r="B116" s="945">
        <f>'数据-基础表'!I105</f>
        <v>52.17</v>
      </c>
      <c r="C116" s="23">
        <f t="shared" si="23"/>
        <v>1.01</v>
      </c>
      <c r="D116" s="2982" t="s">
        <v>4625</v>
      </c>
      <c r="E116" s="23">
        <f t="shared" si="24"/>
        <v>1.02</v>
      </c>
      <c r="F116" s="2982" t="s">
        <v>3332</v>
      </c>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ca="1" si="31"/>
        <v>9960</v>
      </c>
      <c r="S116" s="360">
        <f t="shared" ca="1" si="22"/>
        <v>52</v>
      </c>
      <c r="T116" s="3019">
        <f>办公清单!F98</f>
        <v>2.74</v>
      </c>
    </row>
    <row r="117" spans="1:20">
      <c r="A117" s="3002" t="str">
        <f>'数据-基础表'!C106</f>
        <v>21层2110号</v>
      </c>
      <c r="B117" s="945">
        <f>'数据-基础表'!I106</f>
        <v>52.17</v>
      </c>
      <c r="C117" s="23">
        <f t="shared" si="23"/>
        <v>1.01</v>
      </c>
      <c r="D117" s="2982" t="s">
        <v>4625</v>
      </c>
      <c r="E117" s="23">
        <f t="shared" si="24"/>
        <v>1.02</v>
      </c>
      <c r="F117" s="2982" t="s">
        <v>3332</v>
      </c>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ca="1" si="31"/>
        <v>9960</v>
      </c>
      <c r="S117" s="360">
        <f t="shared" ca="1" si="22"/>
        <v>52</v>
      </c>
      <c r="T117" s="3019">
        <f>办公清单!F99</f>
        <v>2.74</v>
      </c>
    </row>
    <row r="118" spans="1:20">
      <c r="A118" s="3002" t="str">
        <f>'数据-基础表'!C107</f>
        <v>21层2111号</v>
      </c>
      <c r="B118" s="945">
        <f>'数据-基础表'!I107</f>
        <v>52.17</v>
      </c>
      <c r="C118" s="23">
        <f t="shared" si="23"/>
        <v>1.01</v>
      </c>
      <c r="D118" s="2982" t="s">
        <v>4625</v>
      </c>
      <c r="E118" s="23">
        <f t="shared" si="24"/>
        <v>1.02</v>
      </c>
      <c r="F118" s="2982" t="s">
        <v>3332</v>
      </c>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ca="1" si="31"/>
        <v>9960</v>
      </c>
      <c r="S118" s="360">
        <f t="shared" ca="1" si="22"/>
        <v>52</v>
      </c>
      <c r="T118" s="3019">
        <f>办公清单!F100</f>
        <v>2.74</v>
      </c>
    </row>
    <row r="119" spans="1:20">
      <c r="A119" s="3002" t="str">
        <f>'数据-基础表'!C108</f>
        <v>21层2112号</v>
      </c>
      <c r="B119" s="945">
        <f>'数据-基础表'!I108</f>
        <v>80.73</v>
      </c>
      <c r="C119" s="23">
        <f t="shared" si="23"/>
        <v>1</v>
      </c>
      <c r="D119" s="2982" t="s">
        <v>4625</v>
      </c>
      <c r="E119" s="23">
        <f t="shared" si="24"/>
        <v>1.02</v>
      </c>
      <c r="F119" s="2982" t="s">
        <v>3332</v>
      </c>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ca="1" si="31"/>
        <v>9861</v>
      </c>
      <c r="S119" s="360">
        <f t="shared" ca="1" si="22"/>
        <v>80</v>
      </c>
      <c r="T119" s="3019">
        <f>办公清单!F101</f>
        <v>4.24</v>
      </c>
    </row>
    <row r="120" spans="1:20">
      <c r="A120" s="3002" t="str">
        <f>'数据-基础表'!C109</f>
        <v>21层2113号</v>
      </c>
      <c r="B120" s="945">
        <f>'数据-基础表'!I109</f>
        <v>66.040000000000006</v>
      </c>
      <c r="C120" s="23">
        <f t="shared" si="23"/>
        <v>1</v>
      </c>
      <c r="D120" s="2982" t="s">
        <v>4625</v>
      </c>
      <c r="E120" s="23">
        <f t="shared" si="24"/>
        <v>1.02</v>
      </c>
      <c r="F120" s="2982" t="s">
        <v>3332</v>
      </c>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ca="1" si="31"/>
        <v>9861</v>
      </c>
      <c r="S120" s="360">
        <f t="shared" ca="1" si="22"/>
        <v>65</v>
      </c>
      <c r="T120" s="3019">
        <f>办公清单!F102</f>
        <v>3.47</v>
      </c>
    </row>
    <row r="121" spans="1:20">
      <c r="A121" s="3002" t="str">
        <f>'数据-基础表'!C110</f>
        <v>21层2114号</v>
      </c>
      <c r="B121" s="945">
        <f>'数据-基础表'!I110</f>
        <v>66.040000000000006</v>
      </c>
      <c r="C121" s="23">
        <f t="shared" si="23"/>
        <v>1</v>
      </c>
      <c r="D121" s="2982" t="s">
        <v>4625</v>
      </c>
      <c r="E121" s="23">
        <f t="shared" si="24"/>
        <v>1.02</v>
      </c>
      <c r="F121" s="2982" t="s">
        <v>3332</v>
      </c>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ca="1" si="31"/>
        <v>9861</v>
      </c>
      <c r="S121" s="360">
        <f t="shared" ca="1" si="22"/>
        <v>65</v>
      </c>
      <c r="T121" s="3019">
        <f>办公清单!F103</f>
        <v>3.47</v>
      </c>
    </row>
    <row r="122" spans="1:20">
      <c r="A122" s="3002" t="str">
        <f>'数据-基础表'!C111</f>
        <v>21层2115号</v>
      </c>
      <c r="B122" s="945">
        <f>'数据-基础表'!I111</f>
        <v>80.73</v>
      </c>
      <c r="C122" s="23">
        <f t="shared" si="23"/>
        <v>1</v>
      </c>
      <c r="D122" s="2982" t="s">
        <v>4625</v>
      </c>
      <c r="E122" s="23">
        <f t="shared" si="24"/>
        <v>1.02</v>
      </c>
      <c r="F122" s="2982" t="s">
        <v>3332</v>
      </c>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ca="1" si="31"/>
        <v>9861</v>
      </c>
      <c r="S122" s="360">
        <f t="shared" ca="1" si="22"/>
        <v>80</v>
      </c>
      <c r="T122" s="3019">
        <f>办公清单!F104</f>
        <v>4.24</v>
      </c>
    </row>
    <row r="123" spans="1:20">
      <c r="A123" s="3002" t="str">
        <f>'数据-基础表'!C112</f>
        <v>21层2116号</v>
      </c>
      <c r="B123" s="945">
        <f>'数据-基础表'!I112</f>
        <v>52.17</v>
      </c>
      <c r="C123" s="23">
        <f t="shared" si="23"/>
        <v>1.01</v>
      </c>
      <c r="D123" s="2982" t="s">
        <v>4625</v>
      </c>
      <c r="E123" s="23">
        <f t="shared" si="24"/>
        <v>1.02</v>
      </c>
      <c r="F123" s="2982" t="s">
        <v>3332</v>
      </c>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ca="1" si="31"/>
        <v>9960</v>
      </c>
      <c r="S123" s="360">
        <f t="shared" ref="S123:S186" ca="1" si="32">ROUND(R123*B123/10000,0)</f>
        <v>52</v>
      </c>
      <c r="T123" s="3019">
        <f>办公清单!F105</f>
        <v>2.74</v>
      </c>
    </row>
    <row r="124" spans="1:20">
      <c r="A124" s="3002" t="str">
        <f>'数据-基础表'!C113</f>
        <v>21层2117号</v>
      </c>
      <c r="B124" s="945">
        <f>'数据-基础表'!I113</f>
        <v>52.17</v>
      </c>
      <c r="C124" s="23">
        <f t="shared" si="23"/>
        <v>1.01</v>
      </c>
      <c r="D124" s="2982" t="s">
        <v>4625</v>
      </c>
      <c r="E124" s="23">
        <f t="shared" si="24"/>
        <v>1.02</v>
      </c>
      <c r="F124" s="2982" t="s">
        <v>3332</v>
      </c>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ca="1" si="31"/>
        <v>9960</v>
      </c>
      <c r="S124" s="360">
        <f t="shared" ca="1" si="32"/>
        <v>52</v>
      </c>
      <c r="T124" s="3019">
        <f>办公清单!F106</f>
        <v>2.74</v>
      </c>
    </row>
    <row r="125" spans="1:20">
      <c r="A125" s="3002" t="str">
        <f>'数据-基础表'!C114</f>
        <v>21层2118号</v>
      </c>
      <c r="B125" s="945">
        <f>'数据-基础表'!I114</f>
        <v>52.17</v>
      </c>
      <c r="C125" s="23">
        <f t="shared" si="23"/>
        <v>1.01</v>
      </c>
      <c r="D125" s="2982" t="s">
        <v>4625</v>
      </c>
      <c r="E125" s="23">
        <f t="shared" si="24"/>
        <v>1.02</v>
      </c>
      <c r="F125" s="2982" t="s">
        <v>3332</v>
      </c>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ca="1" si="31"/>
        <v>9960</v>
      </c>
      <c r="S125" s="360">
        <f t="shared" ca="1" si="32"/>
        <v>52</v>
      </c>
      <c r="T125" s="3019">
        <f>办公清单!F107</f>
        <v>2.74</v>
      </c>
    </row>
    <row r="126" spans="1:20">
      <c r="A126" s="3002" t="str">
        <f>'数据-基础表'!C115</f>
        <v>21层2119号</v>
      </c>
      <c r="B126" s="945">
        <f>'数据-基础表'!I115</f>
        <v>52.17</v>
      </c>
      <c r="C126" s="23">
        <f t="shared" si="23"/>
        <v>1.01</v>
      </c>
      <c r="D126" s="2982" t="s">
        <v>4625</v>
      </c>
      <c r="E126" s="23">
        <f t="shared" si="24"/>
        <v>1.02</v>
      </c>
      <c r="F126" s="2982" t="s">
        <v>3332</v>
      </c>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ca="1" si="31"/>
        <v>9960</v>
      </c>
      <c r="S126" s="360">
        <f t="shared" ca="1" si="32"/>
        <v>52</v>
      </c>
      <c r="T126" s="3019">
        <f>办公清单!F108</f>
        <v>2.74</v>
      </c>
    </row>
    <row r="127" spans="1:20">
      <c r="A127" s="3002" t="str">
        <f>'数据-基础表'!C116</f>
        <v>21层2120号</v>
      </c>
      <c r="B127" s="945">
        <f>'数据-基础表'!I116</f>
        <v>52.17</v>
      </c>
      <c r="C127" s="23">
        <f t="shared" si="23"/>
        <v>1.01</v>
      </c>
      <c r="D127" s="2982" t="s">
        <v>4625</v>
      </c>
      <c r="E127" s="23">
        <f t="shared" si="24"/>
        <v>1.02</v>
      </c>
      <c r="F127" s="2982" t="s">
        <v>3332</v>
      </c>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ca="1" si="31"/>
        <v>9960</v>
      </c>
      <c r="S127" s="360">
        <f t="shared" ca="1" si="32"/>
        <v>52</v>
      </c>
      <c r="T127" s="3019">
        <f>办公清单!F109</f>
        <v>2.74</v>
      </c>
    </row>
    <row r="128" spans="1:20">
      <c r="A128" s="3002" t="str">
        <f>'数据-基础表'!C117</f>
        <v>21层2121号</v>
      </c>
      <c r="B128" s="945">
        <f>'数据-基础表'!I117</f>
        <v>52.17</v>
      </c>
      <c r="C128" s="23">
        <f t="shared" si="23"/>
        <v>1.01</v>
      </c>
      <c r="D128" s="2982" t="s">
        <v>4625</v>
      </c>
      <c r="E128" s="23">
        <f t="shared" si="24"/>
        <v>1.02</v>
      </c>
      <c r="F128" s="2982" t="s">
        <v>3332</v>
      </c>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ca="1" si="31"/>
        <v>9960</v>
      </c>
      <c r="S128" s="360">
        <f t="shared" ca="1" si="32"/>
        <v>52</v>
      </c>
      <c r="T128" s="3019">
        <f>办公清单!F110</f>
        <v>2.74</v>
      </c>
    </row>
    <row r="129" spans="1:20">
      <c r="A129" s="3002" t="str">
        <f>'数据-基础表'!C118</f>
        <v>21层2122号</v>
      </c>
      <c r="B129" s="945">
        <f>'数据-基础表'!I118</f>
        <v>52.17</v>
      </c>
      <c r="C129" s="23">
        <f t="shared" si="23"/>
        <v>1.01</v>
      </c>
      <c r="D129" s="2982" t="s">
        <v>4625</v>
      </c>
      <c r="E129" s="23">
        <f t="shared" si="24"/>
        <v>1.02</v>
      </c>
      <c r="F129" s="2982" t="s">
        <v>3332</v>
      </c>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ca="1" si="31"/>
        <v>9960</v>
      </c>
      <c r="S129" s="360">
        <f t="shared" ca="1" si="32"/>
        <v>52</v>
      </c>
      <c r="T129" s="3019">
        <f>办公清单!F111</f>
        <v>2.74</v>
      </c>
    </row>
    <row r="130" spans="1:20">
      <c r="A130" s="3002" t="str">
        <f>'数据-基础表'!C119</f>
        <v>21层2123号</v>
      </c>
      <c r="B130" s="945">
        <f>'数据-基础表'!I119</f>
        <v>52.17</v>
      </c>
      <c r="C130" s="23">
        <f t="shared" si="23"/>
        <v>1.01</v>
      </c>
      <c r="D130" s="2982" t="s">
        <v>4625</v>
      </c>
      <c r="E130" s="23">
        <f t="shared" si="24"/>
        <v>1.02</v>
      </c>
      <c r="F130" s="2982" t="s">
        <v>3332</v>
      </c>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ca="1" si="31"/>
        <v>9960</v>
      </c>
      <c r="S130" s="360">
        <f t="shared" ca="1" si="32"/>
        <v>52</v>
      </c>
      <c r="T130" s="3019">
        <f>办公清单!F112</f>
        <v>2.74</v>
      </c>
    </row>
    <row r="131" spans="1:20">
      <c r="A131" s="3002" t="str">
        <f>'数据-基础表'!C120</f>
        <v>21层2124号</v>
      </c>
      <c r="B131" s="945">
        <f>'数据-基础表'!I120</f>
        <v>52.17</v>
      </c>
      <c r="C131" s="23">
        <f t="shared" si="23"/>
        <v>1.01</v>
      </c>
      <c r="D131" s="2982" t="s">
        <v>4625</v>
      </c>
      <c r="E131" s="23">
        <f t="shared" si="24"/>
        <v>1.02</v>
      </c>
      <c r="F131" s="2982" t="s">
        <v>3332</v>
      </c>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ca="1" si="31"/>
        <v>9960</v>
      </c>
      <c r="S131" s="360">
        <f t="shared" ca="1" si="32"/>
        <v>52</v>
      </c>
      <c r="T131" s="3019">
        <f>办公清单!F113</f>
        <v>2.74</v>
      </c>
    </row>
    <row r="132" spans="1:20">
      <c r="A132" s="3002" t="str">
        <f>'数据-基础表'!C121</f>
        <v>21层2125号</v>
      </c>
      <c r="B132" s="945">
        <f>'数据-基础表'!I121</f>
        <v>52.17</v>
      </c>
      <c r="C132" s="23">
        <f t="shared" si="23"/>
        <v>1.01</v>
      </c>
      <c r="D132" s="2982" t="s">
        <v>4625</v>
      </c>
      <c r="E132" s="23">
        <f t="shared" si="24"/>
        <v>1.02</v>
      </c>
      <c r="F132" s="2982" t="s">
        <v>3332</v>
      </c>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ca="1" si="31"/>
        <v>9960</v>
      </c>
      <c r="S132" s="360">
        <f t="shared" ca="1" si="32"/>
        <v>52</v>
      </c>
      <c r="T132" s="3019">
        <f>办公清单!F114</f>
        <v>2.74</v>
      </c>
    </row>
    <row r="133" spans="1:20">
      <c r="A133" s="3002" t="str">
        <f>'数据-基础表'!C122</f>
        <v>21层2126号</v>
      </c>
      <c r="B133" s="945">
        <f>'数据-基础表'!I122</f>
        <v>80.73</v>
      </c>
      <c r="C133" s="23">
        <f t="shared" si="23"/>
        <v>1</v>
      </c>
      <c r="D133" s="2982" t="s">
        <v>4625</v>
      </c>
      <c r="E133" s="23">
        <f t="shared" si="24"/>
        <v>1.02</v>
      </c>
      <c r="F133" s="2982" t="s">
        <v>3332</v>
      </c>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ca="1" si="31"/>
        <v>9861</v>
      </c>
      <c r="S133" s="360">
        <f t="shared" ca="1" si="32"/>
        <v>80</v>
      </c>
      <c r="T133" s="3019">
        <f>办公清单!F115</f>
        <v>4.24</v>
      </c>
    </row>
    <row r="134" spans="1:20">
      <c r="A134" s="3002" t="str">
        <f>'数据-基础表'!C123</f>
        <v>21层2127号</v>
      </c>
      <c r="B134" s="945">
        <f>'数据-基础表'!I123</f>
        <v>93.08</v>
      </c>
      <c r="C134" s="23">
        <f t="shared" si="23"/>
        <v>1</v>
      </c>
      <c r="D134" s="2982" t="s">
        <v>4625</v>
      </c>
      <c r="E134" s="23">
        <f t="shared" si="24"/>
        <v>1.02</v>
      </c>
      <c r="F134" s="2982" t="s">
        <v>3332</v>
      </c>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ca="1" si="31"/>
        <v>9861</v>
      </c>
      <c r="S134" s="360">
        <f t="shared" ca="1" si="32"/>
        <v>92</v>
      </c>
      <c r="T134" s="3019">
        <f>办公清单!F116</f>
        <v>4.8899999999999997</v>
      </c>
    </row>
    <row r="135" spans="1:20">
      <c r="A135" s="3002" t="str">
        <f>'数据-基础表'!C124</f>
        <v>21层2128号</v>
      </c>
      <c r="B135" s="945">
        <f>'数据-基础表'!I124</f>
        <v>93.08</v>
      </c>
      <c r="C135" s="23">
        <f t="shared" si="23"/>
        <v>1</v>
      </c>
      <c r="D135" s="2982" t="s">
        <v>4625</v>
      </c>
      <c r="E135" s="23">
        <f t="shared" si="24"/>
        <v>1.02</v>
      </c>
      <c r="F135" s="2982" t="s">
        <v>3332</v>
      </c>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ca="1" si="31"/>
        <v>9861</v>
      </c>
      <c r="S135" s="360">
        <f t="shared" ca="1" si="32"/>
        <v>92</v>
      </c>
      <c r="T135" s="3019">
        <f>办公清单!F117</f>
        <v>4.8899999999999997</v>
      </c>
    </row>
    <row r="136" spans="1:20">
      <c r="A136" s="3002" t="str">
        <f>'数据-基础表'!C125</f>
        <v>22层2201号</v>
      </c>
      <c r="B136" s="945">
        <f>'数据-基础表'!I125</f>
        <v>80.73</v>
      </c>
      <c r="C136" s="23">
        <f t="shared" si="23"/>
        <v>1</v>
      </c>
      <c r="D136" s="2982" t="s">
        <v>4625</v>
      </c>
      <c r="E136" s="23">
        <f t="shared" si="24"/>
        <v>1.02</v>
      </c>
      <c r="F136" s="2982" t="s">
        <v>3332</v>
      </c>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ca="1" si="31"/>
        <v>9861</v>
      </c>
      <c r="S136" s="360">
        <f t="shared" ca="1" si="32"/>
        <v>80</v>
      </c>
      <c r="T136" s="3019">
        <f>办公清单!F118</f>
        <v>4.24</v>
      </c>
    </row>
    <row r="137" spans="1:20">
      <c r="A137" s="3002" t="str">
        <f>'数据-基础表'!C126</f>
        <v>22层2202号</v>
      </c>
      <c r="B137" s="945">
        <f>'数据-基础表'!I126</f>
        <v>52.17</v>
      </c>
      <c r="C137" s="23">
        <f t="shared" si="23"/>
        <v>1.01</v>
      </c>
      <c r="D137" s="2982" t="s">
        <v>4625</v>
      </c>
      <c r="E137" s="23">
        <f t="shared" si="24"/>
        <v>1.02</v>
      </c>
      <c r="F137" s="2982" t="s">
        <v>3332</v>
      </c>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ca="1" si="31"/>
        <v>9960</v>
      </c>
      <c r="S137" s="360">
        <f t="shared" ca="1" si="32"/>
        <v>52</v>
      </c>
      <c r="T137" s="3019">
        <f>办公清单!F119</f>
        <v>2.74</v>
      </c>
    </row>
    <row r="138" spans="1:20">
      <c r="A138" s="3002" t="str">
        <f>'数据-基础表'!C127</f>
        <v>22层2203号</v>
      </c>
      <c r="B138" s="945">
        <f>'数据-基础表'!I127</f>
        <v>52.17</v>
      </c>
      <c r="C138" s="23">
        <f t="shared" si="23"/>
        <v>1.01</v>
      </c>
      <c r="D138" s="2982" t="s">
        <v>4625</v>
      </c>
      <c r="E138" s="23">
        <f t="shared" si="24"/>
        <v>1.02</v>
      </c>
      <c r="F138" s="2982" t="s">
        <v>3332</v>
      </c>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ca="1" si="31"/>
        <v>9960</v>
      </c>
      <c r="S138" s="360">
        <f t="shared" ca="1" si="32"/>
        <v>52</v>
      </c>
      <c r="T138" s="3019">
        <f>办公清单!F120</f>
        <v>2.74</v>
      </c>
    </row>
    <row r="139" spans="1:20">
      <c r="A139" s="3002" t="str">
        <f>'数据-基础表'!C128</f>
        <v>22层2204号</v>
      </c>
      <c r="B139" s="945">
        <f>'数据-基础表'!I128</f>
        <v>52.17</v>
      </c>
      <c r="C139" s="23">
        <f t="shared" si="23"/>
        <v>1.01</v>
      </c>
      <c r="D139" s="2982" t="s">
        <v>4625</v>
      </c>
      <c r="E139" s="23">
        <f t="shared" si="24"/>
        <v>1.02</v>
      </c>
      <c r="F139" s="2982" t="s">
        <v>3332</v>
      </c>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ca="1" si="31"/>
        <v>9960</v>
      </c>
      <c r="S139" s="360">
        <f t="shared" ca="1" si="32"/>
        <v>52</v>
      </c>
      <c r="T139" s="3019">
        <f>办公清单!F121</f>
        <v>2.74</v>
      </c>
    </row>
    <row r="140" spans="1:20">
      <c r="A140" s="3002" t="str">
        <f>'数据-基础表'!C129</f>
        <v>22层2205号</v>
      </c>
      <c r="B140" s="945">
        <f>'数据-基础表'!I129</f>
        <v>52.17</v>
      </c>
      <c r="C140" s="23">
        <f t="shared" si="23"/>
        <v>1.01</v>
      </c>
      <c r="D140" s="2982" t="s">
        <v>4625</v>
      </c>
      <c r="E140" s="23">
        <f t="shared" si="24"/>
        <v>1.02</v>
      </c>
      <c r="F140" s="2982" t="s">
        <v>3332</v>
      </c>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ca="1" si="31"/>
        <v>9960</v>
      </c>
      <c r="S140" s="360">
        <f t="shared" ca="1" si="32"/>
        <v>52</v>
      </c>
      <c r="T140" s="3019">
        <f>办公清单!F122</f>
        <v>2.74</v>
      </c>
    </row>
    <row r="141" spans="1:20">
      <c r="A141" s="3002" t="str">
        <f>'数据-基础表'!C130</f>
        <v>22层2206号</v>
      </c>
      <c r="B141" s="945">
        <f>'数据-基础表'!I130</f>
        <v>52.17</v>
      </c>
      <c r="C141" s="23">
        <f t="shared" si="23"/>
        <v>1.01</v>
      </c>
      <c r="D141" s="2982" t="s">
        <v>4625</v>
      </c>
      <c r="E141" s="23">
        <f t="shared" si="24"/>
        <v>1.02</v>
      </c>
      <c r="F141" s="2982" t="s">
        <v>3332</v>
      </c>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ca="1" si="31"/>
        <v>9960</v>
      </c>
      <c r="S141" s="360">
        <f t="shared" ca="1" si="32"/>
        <v>52</v>
      </c>
      <c r="T141" s="3019">
        <f>办公清单!F123</f>
        <v>2.74</v>
      </c>
    </row>
    <row r="142" spans="1:20">
      <c r="A142" s="3002" t="str">
        <f>'数据-基础表'!C131</f>
        <v>22层2207号</v>
      </c>
      <c r="B142" s="945">
        <f>'数据-基础表'!I131</f>
        <v>52.17</v>
      </c>
      <c r="C142" s="23">
        <f t="shared" si="23"/>
        <v>1.01</v>
      </c>
      <c r="D142" s="2982" t="s">
        <v>4625</v>
      </c>
      <c r="E142" s="23">
        <f t="shared" si="24"/>
        <v>1.02</v>
      </c>
      <c r="F142" s="2982" t="s">
        <v>3332</v>
      </c>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ca="1" si="31"/>
        <v>9960</v>
      </c>
      <c r="S142" s="360">
        <f t="shared" ca="1" si="32"/>
        <v>52</v>
      </c>
      <c r="T142" s="3019">
        <f>办公清单!F124</f>
        <v>2.74</v>
      </c>
    </row>
    <row r="143" spans="1:20">
      <c r="A143" s="3002" t="str">
        <f>'数据-基础表'!C132</f>
        <v>22层2208号</v>
      </c>
      <c r="B143" s="945">
        <f>'数据-基础表'!I132</f>
        <v>52.17</v>
      </c>
      <c r="C143" s="23">
        <f t="shared" si="23"/>
        <v>1.01</v>
      </c>
      <c r="D143" s="2982" t="s">
        <v>4625</v>
      </c>
      <c r="E143" s="23">
        <f t="shared" si="24"/>
        <v>1.02</v>
      </c>
      <c r="F143" s="2982" t="s">
        <v>3332</v>
      </c>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ca="1" si="31"/>
        <v>9960</v>
      </c>
      <c r="S143" s="360">
        <f t="shared" ca="1" si="32"/>
        <v>52</v>
      </c>
      <c r="T143" s="3019">
        <f>办公清单!F125</f>
        <v>2.74</v>
      </c>
    </row>
    <row r="144" spans="1:20">
      <c r="A144" s="3002" t="str">
        <f>'数据-基础表'!C133</f>
        <v>22层2209号</v>
      </c>
      <c r="B144" s="945">
        <f>'数据-基础表'!I133</f>
        <v>52.17</v>
      </c>
      <c r="C144" s="23">
        <f t="shared" si="23"/>
        <v>1.01</v>
      </c>
      <c r="D144" s="2982" t="s">
        <v>4625</v>
      </c>
      <c r="E144" s="23">
        <f t="shared" si="24"/>
        <v>1.02</v>
      </c>
      <c r="F144" s="2982" t="s">
        <v>3332</v>
      </c>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ca="1" si="31"/>
        <v>9960</v>
      </c>
      <c r="S144" s="360">
        <f t="shared" ca="1" si="32"/>
        <v>52</v>
      </c>
      <c r="T144" s="3019">
        <f>办公清单!F126</f>
        <v>2.74</v>
      </c>
    </row>
    <row r="145" spans="1:20">
      <c r="A145" s="3002" t="str">
        <f>'数据-基础表'!C134</f>
        <v>22层2210号</v>
      </c>
      <c r="B145" s="945">
        <f>'数据-基础表'!I134</f>
        <v>52.17</v>
      </c>
      <c r="C145" s="23">
        <f t="shared" si="23"/>
        <v>1.01</v>
      </c>
      <c r="D145" s="2982" t="s">
        <v>4625</v>
      </c>
      <c r="E145" s="23">
        <f t="shared" si="24"/>
        <v>1.02</v>
      </c>
      <c r="F145" s="2982" t="s">
        <v>3332</v>
      </c>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ca="1" si="31"/>
        <v>9960</v>
      </c>
      <c r="S145" s="360">
        <f t="shared" ca="1" si="32"/>
        <v>52</v>
      </c>
      <c r="T145" s="3019">
        <f>办公清单!F127</f>
        <v>2.74</v>
      </c>
    </row>
    <row r="146" spans="1:20">
      <c r="A146" s="3002" t="str">
        <f>'数据-基础表'!C135</f>
        <v>22层2211号</v>
      </c>
      <c r="B146" s="945">
        <f>'数据-基础表'!I135</f>
        <v>52.17</v>
      </c>
      <c r="C146" s="23">
        <f t="shared" si="23"/>
        <v>1.01</v>
      </c>
      <c r="D146" s="2982" t="s">
        <v>4625</v>
      </c>
      <c r="E146" s="23">
        <f t="shared" si="24"/>
        <v>1.02</v>
      </c>
      <c r="F146" s="2982" t="s">
        <v>3332</v>
      </c>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ca="1" si="31"/>
        <v>9960</v>
      </c>
      <c r="S146" s="360">
        <f t="shared" ca="1" si="32"/>
        <v>52</v>
      </c>
      <c r="T146" s="3019">
        <f>办公清单!F128</f>
        <v>2.74</v>
      </c>
    </row>
    <row r="147" spans="1:20">
      <c r="A147" s="3002" t="str">
        <f>'数据-基础表'!C136</f>
        <v>22层2212号</v>
      </c>
      <c r="B147" s="945">
        <f>'数据-基础表'!I136</f>
        <v>80.73</v>
      </c>
      <c r="C147" s="23">
        <f t="shared" si="23"/>
        <v>1</v>
      </c>
      <c r="D147" s="2982" t="s">
        <v>4625</v>
      </c>
      <c r="E147" s="23">
        <f t="shared" si="24"/>
        <v>1.02</v>
      </c>
      <c r="F147" s="2982" t="s">
        <v>3332</v>
      </c>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ca="1" si="31"/>
        <v>9861</v>
      </c>
      <c r="S147" s="360">
        <f t="shared" ca="1" si="32"/>
        <v>80</v>
      </c>
      <c r="T147" s="3019">
        <f>办公清单!F129</f>
        <v>4.24</v>
      </c>
    </row>
    <row r="148" spans="1:20">
      <c r="A148" s="3002" t="str">
        <f>'数据-基础表'!C137</f>
        <v>22层2213号</v>
      </c>
      <c r="B148" s="945">
        <f>'数据-基础表'!I137</f>
        <v>67.36</v>
      </c>
      <c r="C148" s="23">
        <f t="shared" si="23"/>
        <v>1</v>
      </c>
      <c r="D148" s="2982" t="s">
        <v>4625</v>
      </c>
      <c r="E148" s="23">
        <f t="shared" si="24"/>
        <v>1.02</v>
      </c>
      <c r="F148" s="2982" t="s">
        <v>3332</v>
      </c>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ca="1" si="31"/>
        <v>9861</v>
      </c>
      <c r="S148" s="360">
        <f t="shared" ca="1" si="32"/>
        <v>66</v>
      </c>
      <c r="T148" s="3019">
        <f>办公清单!F130</f>
        <v>3.54</v>
      </c>
    </row>
    <row r="149" spans="1:20">
      <c r="A149" s="3002" t="str">
        <f>'数据-基础表'!C138</f>
        <v>22层2214号</v>
      </c>
      <c r="B149" s="945">
        <f>'数据-基础表'!I138</f>
        <v>67.36</v>
      </c>
      <c r="C149" s="23">
        <f t="shared" si="23"/>
        <v>1</v>
      </c>
      <c r="D149" s="2982" t="s">
        <v>4625</v>
      </c>
      <c r="E149" s="23">
        <f t="shared" si="24"/>
        <v>1.02</v>
      </c>
      <c r="F149" s="2982" t="s">
        <v>3332</v>
      </c>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ca="1" si="31"/>
        <v>9861</v>
      </c>
      <c r="S149" s="360">
        <f t="shared" ca="1" si="32"/>
        <v>66</v>
      </c>
      <c r="T149" s="3019">
        <f>办公清单!F131</f>
        <v>3.54</v>
      </c>
    </row>
    <row r="150" spans="1:20">
      <c r="A150" s="3002" t="str">
        <f>'数据-基础表'!C139</f>
        <v>22层2215号</v>
      </c>
      <c r="B150" s="945">
        <f>'数据-基础表'!I139</f>
        <v>80.73</v>
      </c>
      <c r="C150" s="23">
        <f t="shared" si="23"/>
        <v>1</v>
      </c>
      <c r="D150" s="2982" t="s">
        <v>4625</v>
      </c>
      <c r="E150" s="23">
        <f t="shared" si="24"/>
        <v>1.02</v>
      </c>
      <c r="F150" s="2982" t="s">
        <v>3332</v>
      </c>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ca="1" si="31"/>
        <v>9861</v>
      </c>
      <c r="S150" s="360">
        <f t="shared" ca="1" si="32"/>
        <v>80</v>
      </c>
      <c r="T150" s="3019">
        <f>办公清单!F132</f>
        <v>4.24</v>
      </c>
    </row>
    <row r="151" spans="1:20">
      <c r="A151" s="3002" t="str">
        <f>'数据-基础表'!C140</f>
        <v>22层2216号</v>
      </c>
      <c r="B151" s="945">
        <f>'数据-基础表'!I140</f>
        <v>52.17</v>
      </c>
      <c r="C151" s="23">
        <f t="shared" si="23"/>
        <v>1.01</v>
      </c>
      <c r="D151" s="2982" t="s">
        <v>4625</v>
      </c>
      <c r="E151" s="23">
        <f t="shared" si="24"/>
        <v>1.02</v>
      </c>
      <c r="F151" s="2982" t="s">
        <v>3332</v>
      </c>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ca="1" si="31"/>
        <v>9960</v>
      </c>
      <c r="S151" s="360">
        <f t="shared" ca="1" si="32"/>
        <v>52</v>
      </c>
      <c r="T151" s="3019">
        <f>办公清单!F133</f>
        <v>2.74</v>
      </c>
    </row>
    <row r="152" spans="1:20">
      <c r="A152" s="3002" t="str">
        <f>'数据-基础表'!C141</f>
        <v>22层2218号</v>
      </c>
      <c r="B152" s="945">
        <f>'数据-基础表'!I141</f>
        <v>52.17</v>
      </c>
      <c r="C152" s="23">
        <f t="shared" si="23"/>
        <v>1.01</v>
      </c>
      <c r="D152" s="2982" t="s">
        <v>4625</v>
      </c>
      <c r="E152" s="23">
        <f t="shared" si="24"/>
        <v>1.02</v>
      </c>
      <c r="F152" s="2982" t="s">
        <v>3332</v>
      </c>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ca="1" si="31"/>
        <v>9960</v>
      </c>
      <c r="S152" s="360">
        <f t="shared" ca="1" si="32"/>
        <v>52</v>
      </c>
      <c r="T152" s="3019">
        <f>办公清单!F134</f>
        <v>2.74</v>
      </c>
    </row>
    <row r="153" spans="1:20">
      <c r="A153" s="3002" t="str">
        <f>'数据-基础表'!C142</f>
        <v>22层2219号</v>
      </c>
      <c r="B153" s="945">
        <f>'数据-基础表'!I142</f>
        <v>52.17</v>
      </c>
      <c r="C153" s="23">
        <f t="shared" si="23"/>
        <v>1.01</v>
      </c>
      <c r="D153" s="2982" t="s">
        <v>4625</v>
      </c>
      <c r="E153" s="23">
        <f t="shared" si="24"/>
        <v>1.02</v>
      </c>
      <c r="F153" s="2982" t="s">
        <v>3332</v>
      </c>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ca="1" si="31"/>
        <v>9960</v>
      </c>
      <c r="S153" s="360">
        <f t="shared" ca="1" si="32"/>
        <v>52</v>
      </c>
      <c r="T153" s="3019">
        <f>办公清单!F135</f>
        <v>2.74</v>
      </c>
    </row>
    <row r="154" spans="1:20">
      <c r="A154" s="3002" t="str">
        <f>'数据-基础表'!C143</f>
        <v>22层2220号</v>
      </c>
      <c r="B154" s="945">
        <f>'数据-基础表'!I143</f>
        <v>52.17</v>
      </c>
      <c r="C154" s="23">
        <f t="shared" ref="C154:C217" si="33">IF(B154="",1,(LOOKUP(B154,$3:$3,$4:$4)-LOOKUP($B$24,$3:$3,$4:$4)+100)/100)</f>
        <v>1.01</v>
      </c>
      <c r="D154" s="2982" t="s">
        <v>4625</v>
      </c>
      <c r="E154" s="23">
        <f t="shared" ref="E154:E217" si="34">(SUMIF($5:$5,D154,$6:$6)-SUMIF($5:$5,$D$24,$6:$6)+100)/100</f>
        <v>1.02</v>
      </c>
      <c r="F154" s="2982" t="s">
        <v>3332</v>
      </c>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ca="1" si="41">IF(B154="",0,ROUND($R$24*C154*E154*G154*I154*K154*M154*O154*Q154,0))</f>
        <v>9960</v>
      </c>
      <c r="S154" s="360">
        <f t="shared" ca="1" si="32"/>
        <v>52</v>
      </c>
      <c r="T154" s="3019">
        <f>办公清单!F136</f>
        <v>2.74</v>
      </c>
    </row>
    <row r="155" spans="1:20">
      <c r="A155" s="3002" t="str">
        <f>'数据-基础表'!C144</f>
        <v>22层2221号</v>
      </c>
      <c r="B155" s="945">
        <f>'数据-基础表'!I144</f>
        <v>52.17</v>
      </c>
      <c r="C155" s="23">
        <f t="shared" si="33"/>
        <v>1.01</v>
      </c>
      <c r="D155" s="2982" t="s">
        <v>4625</v>
      </c>
      <c r="E155" s="23">
        <f t="shared" si="34"/>
        <v>1.02</v>
      </c>
      <c r="F155" s="2982" t="s">
        <v>3332</v>
      </c>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ca="1" si="41"/>
        <v>9960</v>
      </c>
      <c r="S155" s="360">
        <f t="shared" ca="1" si="32"/>
        <v>52</v>
      </c>
      <c r="T155" s="3019">
        <f>办公清单!F137</f>
        <v>2.74</v>
      </c>
    </row>
    <row r="156" spans="1:20">
      <c r="A156" s="3002" t="str">
        <f>'数据-基础表'!C145</f>
        <v>22层2222号</v>
      </c>
      <c r="B156" s="945">
        <f>'数据-基础表'!I145</f>
        <v>52.17</v>
      </c>
      <c r="C156" s="23">
        <f t="shared" si="33"/>
        <v>1.01</v>
      </c>
      <c r="D156" s="2982" t="s">
        <v>4625</v>
      </c>
      <c r="E156" s="23">
        <f t="shared" si="34"/>
        <v>1.02</v>
      </c>
      <c r="F156" s="2982" t="s">
        <v>3332</v>
      </c>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ca="1" si="41"/>
        <v>9960</v>
      </c>
      <c r="S156" s="360">
        <f t="shared" ca="1" si="32"/>
        <v>52</v>
      </c>
      <c r="T156" s="3019">
        <f>办公清单!F138</f>
        <v>2.74</v>
      </c>
    </row>
    <row r="157" spans="1:20">
      <c r="A157" s="3002" t="str">
        <f>'数据-基础表'!C146</f>
        <v>22层2223号</v>
      </c>
      <c r="B157" s="945">
        <f>'数据-基础表'!I146</f>
        <v>52.17</v>
      </c>
      <c r="C157" s="23">
        <f t="shared" si="33"/>
        <v>1.01</v>
      </c>
      <c r="D157" s="2982" t="s">
        <v>4625</v>
      </c>
      <c r="E157" s="23">
        <f t="shared" si="34"/>
        <v>1.02</v>
      </c>
      <c r="F157" s="2982" t="s">
        <v>3332</v>
      </c>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ca="1" si="41"/>
        <v>9960</v>
      </c>
      <c r="S157" s="360">
        <f t="shared" ca="1" si="32"/>
        <v>52</v>
      </c>
      <c r="T157" s="3019">
        <f>办公清单!F139</f>
        <v>2.74</v>
      </c>
    </row>
    <row r="158" spans="1:20">
      <c r="A158" s="3002" t="str">
        <f>'数据-基础表'!C147</f>
        <v>22层2224号</v>
      </c>
      <c r="B158" s="945">
        <f>'数据-基础表'!I147</f>
        <v>52.17</v>
      </c>
      <c r="C158" s="23">
        <f t="shared" si="33"/>
        <v>1.01</v>
      </c>
      <c r="D158" s="2982" t="s">
        <v>4625</v>
      </c>
      <c r="E158" s="23">
        <f t="shared" si="34"/>
        <v>1.02</v>
      </c>
      <c r="F158" s="2982" t="s">
        <v>3332</v>
      </c>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ca="1" si="41"/>
        <v>9960</v>
      </c>
      <c r="S158" s="360">
        <f t="shared" ca="1" si="32"/>
        <v>52</v>
      </c>
      <c r="T158" s="3019">
        <f>办公清单!F140</f>
        <v>2.74</v>
      </c>
    </row>
    <row r="159" spans="1:20">
      <c r="A159" s="3002" t="str">
        <f>'数据-基础表'!C148</f>
        <v>22层2225号</v>
      </c>
      <c r="B159" s="945">
        <f>'数据-基础表'!I148</f>
        <v>52.17</v>
      </c>
      <c r="C159" s="23">
        <f t="shared" si="33"/>
        <v>1.01</v>
      </c>
      <c r="D159" s="2982" t="s">
        <v>4625</v>
      </c>
      <c r="E159" s="23">
        <f t="shared" si="34"/>
        <v>1.02</v>
      </c>
      <c r="F159" s="2982" t="s">
        <v>3332</v>
      </c>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ca="1" si="41"/>
        <v>9960</v>
      </c>
      <c r="S159" s="360">
        <f t="shared" ca="1" si="32"/>
        <v>52</v>
      </c>
      <c r="T159" s="3019">
        <f>办公清单!F141</f>
        <v>2.74</v>
      </c>
    </row>
    <row r="160" spans="1:20">
      <c r="A160" s="3002" t="str">
        <f>'数据-基础表'!C149</f>
        <v>22层2226号</v>
      </c>
      <c r="B160" s="945">
        <f>'数据-基础表'!I149</f>
        <v>80.73</v>
      </c>
      <c r="C160" s="23">
        <f t="shared" si="33"/>
        <v>1</v>
      </c>
      <c r="D160" s="2982" t="s">
        <v>4625</v>
      </c>
      <c r="E160" s="23">
        <f t="shared" si="34"/>
        <v>1.02</v>
      </c>
      <c r="F160" s="2982" t="s">
        <v>3332</v>
      </c>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ca="1" si="41"/>
        <v>9861</v>
      </c>
      <c r="S160" s="360">
        <f t="shared" ca="1" si="32"/>
        <v>80</v>
      </c>
      <c r="T160" s="3019">
        <f>办公清单!F142</f>
        <v>4.24</v>
      </c>
    </row>
    <row r="161" spans="1:20">
      <c r="A161" s="3002" t="str">
        <f>'数据-基础表'!C150</f>
        <v>22层2227号</v>
      </c>
      <c r="B161" s="945">
        <f>'数据-基础表'!I150</f>
        <v>93.08</v>
      </c>
      <c r="C161" s="23">
        <f t="shared" si="33"/>
        <v>1</v>
      </c>
      <c r="D161" s="2982" t="s">
        <v>4625</v>
      </c>
      <c r="E161" s="23">
        <f t="shared" si="34"/>
        <v>1.02</v>
      </c>
      <c r="F161" s="2982" t="s">
        <v>3332</v>
      </c>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ca="1" si="41"/>
        <v>9861</v>
      </c>
      <c r="S161" s="360">
        <f t="shared" ca="1" si="32"/>
        <v>92</v>
      </c>
      <c r="T161" s="3019">
        <f>办公清单!F143</f>
        <v>4.8899999999999997</v>
      </c>
    </row>
    <row r="162" spans="1:20">
      <c r="A162" s="3002" t="str">
        <f>'数据-基础表'!C151</f>
        <v>22层2228号</v>
      </c>
      <c r="B162" s="945">
        <f>'数据-基础表'!I151</f>
        <v>93.08</v>
      </c>
      <c r="C162" s="23">
        <f t="shared" si="33"/>
        <v>1</v>
      </c>
      <c r="D162" s="2982" t="s">
        <v>4625</v>
      </c>
      <c r="E162" s="23">
        <f t="shared" si="34"/>
        <v>1.02</v>
      </c>
      <c r="F162" s="2982" t="s">
        <v>3332</v>
      </c>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ca="1" si="41"/>
        <v>9861</v>
      </c>
      <c r="S162" s="360">
        <f t="shared" ca="1" si="32"/>
        <v>92</v>
      </c>
      <c r="T162" s="3019">
        <f>办公清单!F144</f>
        <v>4.8899999999999997</v>
      </c>
    </row>
    <row r="163" spans="1:20">
      <c r="A163" s="3002" t="str">
        <f>'数据-基础表'!C152</f>
        <v>23层2301号</v>
      </c>
      <c r="B163" s="945">
        <f>'数据-基础表'!I152</f>
        <v>80.73</v>
      </c>
      <c r="C163" s="23">
        <f t="shared" si="33"/>
        <v>1</v>
      </c>
      <c r="D163" s="2982" t="s">
        <v>4625</v>
      </c>
      <c r="E163" s="23">
        <f t="shared" si="34"/>
        <v>1.02</v>
      </c>
      <c r="F163" s="2982" t="s">
        <v>3332</v>
      </c>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ca="1" si="41"/>
        <v>9861</v>
      </c>
      <c r="S163" s="360">
        <f t="shared" ca="1" si="32"/>
        <v>80</v>
      </c>
      <c r="T163" s="3019">
        <f>办公清单!F145</f>
        <v>4.24</v>
      </c>
    </row>
    <row r="164" spans="1:20">
      <c r="A164" s="3002" t="str">
        <f>'数据-基础表'!C153</f>
        <v>23层2302号</v>
      </c>
      <c r="B164" s="945">
        <f>'数据-基础表'!I153</f>
        <v>52.17</v>
      </c>
      <c r="C164" s="23">
        <f t="shared" si="33"/>
        <v>1.01</v>
      </c>
      <c r="D164" s="2982" t="s">
        <v>4625</v>
      </c>
      <c r="E164" s="23">
        <f t="shared" si="34"/>
        <v>1.02</v>
      </c>
      <c r="F164" s="2982" t="s">
        <v>3332</v>
      </c>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ca="1" si="41"/>
        <v>9960</v>
      </c>
      <c r="S164" s="360">
        <f t="shared" ca="1" si="32"/>
        <v>52</v>
      </c>
      <c r="T164" s="3019">
        <f>办公清单!F146</f>
        <v>2.74</v>
      </c>
    </row>
    <row r="165" spans="1:20">
      <c r="A165" s="3002" t="str">
        <f>'数据-基础表'!C154</f>
        <v>23层2303号</v>
      </c>
      <c r="B165" s="945">
        <f>'数据-基础表'!I154</f>
        <v>52.17</v>
      </c>
      <c r="C165" s="23">
        <f t="shared" si="33"/>
        <v>1.01</v>
      </c>
      <c r="D165" s="2982" t="s">
        <v>4625</v>
      </c>
      <c r="E165" s="23">
        <f t="shared" si="34"/>
        <v>1.02</v>
      </c>
      <c r="F165" s="2982" t="s">
        <v>3332</v>
      </c>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ca="1" si="41"/>
        <v>9960</v>
      </c>
      <c r="S165" s="360">
        <f t="shared" ca="1" si="32"/>
        <v>52</v>
      </c>
      <c r="T165" s="3019">
        <f>办公清单!F147</f>
        <v>2.74</v>
      </c>
    </row>
    <row r="166" spans="1:20">
      <c r="A166" s="3002" t="str">
        <f>'数据-基础表'!C155</f>
        <v>23层2304号</v>
      </c>
      <c r="B166" s="945">
        <f>'数据-基础表'!I155</f>
        <v>52.17</v>
      </c>
      <c r="C166" s="23">
        <f t="shared" si="33"/>
        <v>1.01</v>
      </c>
      <c r="D166" s="2982" t="s">
        <v>4625</v>
      </c>
      <c r="E166" s="23">
        <f t="shared" si="34"/>
        <v>1.02</v>
      </c>
      <c r="F166" s="2982" t="s">
        <v>3332</v>
      </c>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ca="1" si="41"/>
        <v>9960</v>
      </c>
      <c r="S166" s="360">
        <f t="shared" ca="1" si="32"/>
        <v>52</v>
      </c>
      <c r="T166" s="3019">
        <f>办公清单!F148</f>
        <v>2.74</v>
      </c>
    </row>
    <row r="167" spans="1:20">
      <c r="A167" s="3002" t="str">
        <f>'数据-基础表'!C156</f>
        <v>23层2305号</v>
      </c>
      <c r="B167" s="945">
        <f>'数据-基础表'!I156</f>
        <v>52.17</v>
      </c>
      <c r="C167" s="23">
        <f t="shared" si="33"/>
        <v>1.01</v>
      </c>
      <c r="D167" s="2982" t="s">
        <v>4625</v>
      </c>
      <c r="E167" s="23">
        <f t="shared" si="34"/>
        <v>1.02</v>
      </c>
      <c r="F167" s="2982" t="s">
        <v>3332</v>
      </c>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ca="1" si="41"/>
        <v>9960</v>
      </c>
      <c r="S167" s="360">
        <f t="shared" ca="1" si="32"/>
        <v>52</v>
      </c>
      <c r="T167" s="3019">
        <f>办公清单!F149</f>
        <v>2.74</v>
      </c>
    </row>
    <row r="168" spans="1:20">
      <c r="A168" s="3002" t="str">
        <f>'数据-基础表'!C157</f>
        <v>23层2306号</v>
      </c>
      <c r="B168" s="945">
        <f>'数据-基础表'!I157</f>
        <v>52.17</v>
      </c>
      <c r="C168" s="23">
        <f t="shared" si="33"/>
        <v>1.01</v>
      </c>
      <c r="D168" s="2982" t="s">
        <v>4625</v>
      </c>
      <c r="E168" s="23">
        <f t="shared" si="34"/>
        <v>1.02</v>
      </c>
      <c r="F168" s="2982" t="s">
        <v>3332</v>
      </c>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ca="1" si="41"/>
        <v>9960</v>
      </c>
      <c r="S168" s="360">
        <f t="shared" ca="1" si="32"/>
        <v>52</v>
      </c>
      <c r="T168" s="3019">
        <f>办公清单!F150</f>
        <v>2.74</v>
      </c>
    </row>
    <row r="169" spans="1:20">
      <c r="A169" s="3002" t="str">
        <f>'数据-基础表'!C158</f>
        <v>23层2307号</v>
      </c>
      <c r="B169" s="945">
        <f>'数据-基础表'!I158</f>
        <v>52.17</v>
      </c>
      <c r="C169" s="23">
        <f t="shared" si="33"/>
        <v>1.01</v>
      </c>
      <c r="D169" s="2982" t="s">
        <v>4625</v>
      </c>
      <c r="E169" s="23">
        <f t="shared" si="34"/>
        <v>1.02</v>
      </c>
      <c r="F169" s="2982" t="s">
        <v>3332</v>
      </c>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ca="1" si="41"/>
        <v>9960</v>
      </c>
      <c r="S169" s="360">
        <f t="shared" ca="1" si="32"/>
        <v>52</v>
      </c>
      <c r="T169" s="3019">
        <f>办公清单!F151</f>
        <v>2.74</v>
      </c>
    </row>
    <row r="170" spans="1:20">
      <c r="A170" s="3002" t="str">
        <f>'数据-基础表'!C159</f>
        <v>23层2308号</v>
      </c>
      <c r="B170" s="945">
        <f>'数据-基础表'!I159</f>
        <v>52.17</v>
      </c>
      <c r="C170" s="23">
        <f t="shared" si="33"/>
        <v>1.01</v>
      </c>
      <c r="D170" s="2982" t="s">
        <v>4625</v>
      </c>
      <c r="E170" s="23">
        <f t="shared" si="34"/>
        <v>1.02</v>
      </c>
      <c r="F170" s="2982" t="s">
        <v>3332</v>
      </c>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ca="1" si="41"/>
        <v>9960</v>
      </c>
      <c r="S170" s="360">
        <f t="shared" ca="1" si="32"/>
        <v>52</v>
      </c>
      <c r="T170" s="3019">
        <f>办公清单!F152</f>
        <v>2.74</v>
      </c>
    </row>
    <row r="171" spans="1:20">
      <c r="A171" s="3002" t="str">
        <f>'数据-基础表'!C160</f>
        <v>23层2309号</v>
      </c>
      <c r="B171" s="945">
        <f>'数据-基础表'!I160</f>
        <v>52.17</v>
      </c>
      <c r="C171" s="23">
        <f t="shared" si="33"/>
        <v>1.01</v>
      </c>
      <c r="D171" s="2982" t="s">
        <v>4625</v>
      </c>
      <c r="E171" s="23">
        <f t="shared" si="34"/>
        <v>1.02</v>
      </c>
      <c r="F171" s="2982" t="s">
        <v>3332</v>
      </c>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ca="1" si="41"/>
        <v>9960</v>
      </c>
      <c r="S171" s="360">
        <f t="shared" ca="1" si="32"/>
        <v>52</v>
      </c>
      <c r="T171" s="3019">
        <f>办公清单!F153</f>
        <v>2.74</v>
      </c>
    </row>
    <row r="172" spans="1:20">
      <c r="A172" s="3002" t="str">
        <f>'数据-基础表'!C161</f>
        <v>23层2310号</v>
      </c>
      <c r="B172" s="945">
        <f>'数据-基础表'!I161</f>
        <v>52.17</v>
      </c>
      <c r="C172" s="23">
        <f t="shared" si="33"/>
        <v>1.01</v>
      </c>
      <c r="D172" s="2982" t="s">
        <v>4625</v>
      </c>
      <c r="E172" s="23">
        <f t="shared" si="34"/>
        <v>1.02</v>
      </c>
      <c r="F172" s="2982" t="s">
        <v>3332</v>
      </c>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ca="1" si="41"/>
        <v>9960</v>
      </c>
      <c r="S172" s="360">
        <f t="shared" ca="1" si="32"/>
        <v>52</v>
      </c>
      <c r="T172" s="3019">
        <f>办公清单!F154</f>
        <v>2.74</v>
      </c>
    </row>
    <row r="173" spans="1:20">
      <c r="A173" s="3002" t="str">
        <f>'数据-基础表'!C162</f>
        <v>23层2311号</v>
      </c>
      <c r="B173" s="945">
        <f>'数据-基础表'!I162</f>
        <v>52.17</v>
      </c>
      <c r="C173" s="23">
        <f t="shared" si="33"/>
        <v>1.01</v>
      </c>
      <c r="D173" s="2982" t="s">
        <v>4625</v>
      </c>
      <c r="E173" s="23">
        <f t="shared" si="34"/>
        <v>1.02</v>
      </c>
      <c r="F173" s="2982" t="s">
        <v>3332</v>
      </c>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ca="1" si="41"/>
        <v>9960</v>
      </c>
      <c r="S173" s="360">
        <f t="shared" ca="1" si="32"/>
        <v>52</v>
      </c>
      <c r="T173" s="3019">
        <f>办公清单!F155</f>
        <v>2.74</v>
      </c>
    </row>
    <row r="174" spans="1:20">
      <c r="A174" s="3002" t="str">
        <f>'数据-基础表'!C163</f>
        <v>23层2312号</v>
      </c>
      <c r="B174" s="945">
        <f>'数据-基础表'!I163</f>
        <v>80.73</v>
      </c>
      <c r="C174" s="23">
        <f t="shared" si="33"/>
        <v>1</v>
      </c>
      <c r="D174" s="2982" t="s">
        <v>4625</v>
      </c>
      <c r="E174" s="23">
        <f t="shared" si="34"/>
        <v>1.02</v>
      </c>
      <c r="F174" s="2982" t="s">
        <v>3332</v>
      </c>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ca="1" si="41"/>
        <v>9861</v>
      </c>
      <c r="S174" s="360">
        <f t="shared" ca="1" si="32"/>
        <v>80</v>
      </c>
      <c r="T174" s="3019">
        <f>办公清单!F156</f>
        <v>4.24</v>
      </c>
    </row>
    <row r="175" spans="1:20">
      <c r="A175" s="3002" t="str">
        <f>'数据-基础表'!C164</f>
        <v>23层2313号</v>
      </c>
      <c r="B175" s="945">
        <f>'数据-基础表'!I164</f>
        <v>67.36</v>
      </c>
      <c r="C175" s="23">
        <f t="shared" si="33"/>
        <v>1</v>
      </c>
      <c r="D175" s="2982" t="s">
        <v>4625</v>
      </c>
      <c r="E175" s="23">
        <f t="shared" si="34"/>
        <v>1.02</v>
      </c>
      <c r="F175" s="2982" t="s">
        <v>3332</v>
      </c>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ca="1" si="41"/>
        <v>9861</v>
      </c>
      <c r="S175" s="360">
        <f t="shared" ca="1" si="32"/>
        <v>66</v>
      </c>
      <c r="T175" s="3019">
        <f>办公清单!F157</f>
        <v>3.54</v>
      </c>
    </row>
    <row r="176" spans="1:20">
      <c r="A176" s="3002" t="str">
        <f>'数据-基础表'!C165</f>
        <v>23层2314号</v>
      </c>
      <c r="B176" s="945">
        <f>'数据-基础表'!I165</f>
        <v>67.36</v>
      </c>
      <c r="C176" s="23">
        <f t="shared" si="33"/>
        <v>1</v>
      </c>
      <c r="D176" s="2982" t="s">
        <v>4625</v>
      </c>
      <c r="E176" s="23">
        <f t="shared" si="34"/>
        <v>1.02</v>
      </c>
      <c r="F176" s="2982" t="s">
        <v>3332</v>
      </c>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ca="1" si="41"/>
        <v>9861</v>
      </c>
      <c r="S176" s="360">
        <f t="shared" ca="1" si="32"/>
        <v>66</v>
      </c>
      <c r="T176" s="3019">
        <f>办公清单!F158</f>
        <v>3.54</v>
      </c>
    </row>
    <row r="177" spans="1:20">
      <c r="A177" s="3002" t="str">
        <f>'数据-基础表'!C166</f>
        <v>23层2315号</v>
      </c>
      <c r="B177" s="945">
        <f>'数据-基础表'!I166</f>
        <v>80.73</v>
      </c>
      <c r="C177" s="23">
        <f t="shared" si="33"/>
        <v>1</v>
      </c>
      <c r="D177" s="2982" t="s">
        <v>4625</v>
      </c>
      <c r="E177" s="23">
        <f t="shared" si="34"/>
        <v>1.02</v>
      </c>
      <c r="F177" s="2982" t="s">
        <v>3332</v>
      </c>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ca="1" si="41"/>
        <v>9861</v>
      </c>
      <c r="S177" s="360">
        <f t="shared" ca="1" si="32"/>
        <v>80</v>
      </c>
      <c r="T177" s="3019">
        <f>办公清单!F159</f>
        <v>4.24</v>
      </c>
    </row>
    <row r="178" spans="1:20">
      <c r="A178" s="3002" t="str">
        <f>'数据-基础表'!C167</f>
        <v>23层2316号</v>
      </c>
      <c r="B178" s="945">
        <f>'数据-基础表'!I167</f>
        <v>52.17</v>
      </c>
      <c r="C178" s="23">
        <f t="shared" si="33"/>
        <v>1.01</v>
      </c>
      <c r="D178" s="2982" t="s">
        <v>4625</v>
      </c>
      <c r="E178" s="23">
        <f t="shared" si="34"/>
        <v>1.02</v>
      </c>
      <c r="F178" s="2982" t="s">
        <v>3332</v>
      </c>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ca="1" si="41"/>
        <v>9960</v>
      </c>
      <c r="S178" s="360">
        <f t="shared" ca="1" si="32"/>
        <v>52</v>
      </c>
      <c r="T178" s="3019">
        <f>办公清单!F160</f>
        <v>2.74</v>
      </c>
    </row>
    <row r="179" spans="1:20">
      <c r="A179" s="3002" t="str">
        <f>'数据-基础表'!C168</f>
        <v>23层2317号</v>
      </c>
      <c r="B179" s="945">
        <f>'数据-基础表'!I168</f>
        <v>52.17</v>
      </c>
      <c r="C179" s="23">
        <f t="shared" si="33"/>
        <v>1.01</v>
      </c>
      <c r="D179" s="2982" t="s">
        <v>4625</v>
      </c>
      <c r="E179" s="23">
        <f t="shared" si="34"/>
        <v>1.02</v>
      </c>
      <c r="F179" s="2982" t="s">
        <v>3332</v>
      </c>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ca="1" si="41"/>
        <v>9960</v>
      </c>
      <c r="S179" s="360">
        <f t="shared" ca="1" si="32"/>
        <v>52</v>
      </c>
      <c r="T179" s="3019">
        <f>办公清单!F161</f>
        <v>2.74</v>
      </c>
    </row>
    <row r="180" spans="1:20">
      <c r="A180" s="3002" t="str">
        <f>'数据-基础表'!C169</f>
        <v>23层2318号</v>
      </c>
      <c r="B180" s="945">
        <f>'数据-基础表'!I169</f>
        <v>52.17</v>
      </c>
      <c r="C180" s="23">
        <f t="shared" si="33"/>
        <v>1.01</v>
      </c>
      <c r="D180" s="2982" t="s">
        <v>4625</v>
      </c>
      <c r="E180" s="23">
        <f t="shared" si="34"/>
        <v>1.02</v>
      </c>
      <c r="F180" s="2982" t="s">
        <v>3332</v>
      </c>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ca="1" si="41"/>
        <v>9960</v>
      </c>
      <c r="S180" s="360">
        <f t="shared" ca="1" si="32"/>
        <v>52</v>
      </c>
      <c r="T180" s="3019">
        <f>办公清单!F162</f>
        <v>2.74</v>
      </c>
    </row>
    <row r="181" spans="1:20">
      <c r="A181" s="3002" t="str">
        <f>'数据-基础表'!C170</f>
        <v>23层2319号</v>
      </c>
      <c r="B181" s="945">
        <f>'数据-基础表'!I170</f>
        <v>52.17</v>
      </c>
      <c r="C181" s="23">
        <f t="shared" si="33"/>
        <v>1.01</v>
      </c>
      <c r="D181" s="2982" t="s">
        <v>4625</v>
      </c>
      <c r="E181" s="23">
        <f t="shared" si="34"/>
        <v>1.02</v>
      </c>
      <c r="F181" s="2982" t="s">
        <v>3332</v>
      </c>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ca="1" si="41"/>
        <v>9960</v>
      </c>
      <c r="S181" s="360">
        <f t="shared" ca="1" si="32"/>
        <v>52</v>
      </c>
      <c r="T181" s="3019">
        <f>办公清单!F163</f>
        <v>2.74</v>
      </c>
    </row>
    <row r="182" spans="1:20">
      <c r="A182" s="3002" t="str">
        <f>'数据-基础表'!C171</f>
        <v>23层2320号</v>
      </c>
      <c r="B182" s="945">
        <f>'数据-基础表'!I171</f>
        <v>52.17</v>
      </c>
      <c r="C182" s="23">
        <f t="shared" si="33"/>
        <v>1.01</v>
      </c>
      <c r="D182" s="2982" t="s">
        <v>4625</v>
      </c>
      <c r="E182" s="23">
        <f t="shared" si="34"/>
        <v>1.02</v>
      </c>
      <c r="F182" s="2982" t="s">
        <v>3332</v>
      </c>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ca="1" si="41"/>
        <v>9960</v>
      </c>
      <c r="S182" s="360">
        <f t="shared" ca="1" si="32"/>
        <v>52</v>
      </c>
      <c r="T182" s="3019">
        <f>办公清单!F164</f>
        <v>2.74</v>
      </c>
    </row>
    <row r="183" spans="1:20">
      <c r="A183" s="3002" t="str">
        <f>'数据-基础表'!C172</f>
        <v>23层2321号</v>
      </c>
      <c r="B183" s="945">
        <f>'数据-基础表'!I172</f>
        <v>52.17</v>
      </c>
      <c r="C183" s="23">
        <f t="shared" si="33"/>
        <v>1.01</v>
      </c>
      <c r="D183" s="2982" t="s">
        <v>4625</v>
      </c>
      <c r="E183" s="23">
        <f t="shared" si="34"/>
        <v>1.02</v>
      </c>
      <c r="F183" s="2982" t="s">
        <v>3332</v>
      </c>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ca="1" si="41"/>
        <v>9960</v>
      </c>
      <c r="S183" s="360">
        <f t="shared" ca="1" si="32"/>
        <v>52</v>
      </c>
      <c r="T183" s="3019">
        <f>办公清单!F165</f>
        <v>2.74</v>
      </c>
    </row>
    <row r="184" spans="1:20">
      <c r="A184" s="3002" t="str">
        <f>'数据-基础表'!C173</f>
        <v>23层2322号</v>
      </c>
      <c r="B184" s="945">
        <f>'数据-基础表'!I173</f>
        <v>52.17</v>
      </c>
      <c r="C184" s="23">
        <f t="shared" si="33"/>
        <v>1.01</v>
      </c>
      <c r="D184" s="2982" t="s">
        <v>4625</v>
      </c>
      <c r="E184" s="23">
        <f t="shared" si="34"/>
        <v>1.02</v>
      </c>
      <c r="F184" s="2982" t="s">
        <v>3332</v>
      </c>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ca="1" si="41"/>
        <v>9960</v>
      </c>
      <c r="S184" s="360">
        <f t="shared" ca="1" si="32"/>
        <v>52</v>
      </c>
      <c r="T184" s="3019">
        <f>办公清单!F166</f>
        <v>2.74</v>
      </c>
    </row>
    <row r="185" spans="1:20">
      <c r="A185" s="3002" t="str">
        <f>'数据-基础表'!C174</f>
        <v>23层2323号</v>
      </c>
      <c r="B185" s="945">
        <f>'数据-基础表'!I174</f>
        <v>52.17</v>
      </c>
      <c r="C185" s="23">
        <f t="shared" si="33"/>
        <v>1.01</v>
      </c>
      <c r="D185" s="2982" t="s">
        <v>4625</v>
      </c>
      <c r="E185" s="23">
        <f t="shared" si="34"/>
        <v>1.02</v>
      </c>
      <c r="F185" s="2982" t="s">
        <v>3332</v>
      </c>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ca="1" si="41"/>
        <v>9960</v>
      </c>
      <c r="S185" s="360">
        <f t="shared" ca="1" si="32"/>
        <v>52</v>
      </c>
      <c r="T185" s="3019">
        <f>办公清单!F167</f>
        <v>2.74</v>
      </c>
    </row>
    <row r="186" spans="1:20">
      <c r="A186" s="3002" t="str">
        <f>'数据-基础表'!C175</f>
        <v>23层2324号</v>
      </c>
      <c r="B186" s="945">
        <f>'数据-基础表'!I175</f>
        <v>52.17</v>
      </c>
      <c r="C186" s="23">
        <f t="shared" si="33"/>
        <v>1.01</v>
      </c>
      <c r="D186" s="2982" t="s">
        <v>4625</v>
      </c>
      <c r="E186" s="23">
        <f t="shared" si="34"/>
        <v>1.02</v>
      </c>
      <c r="F186" s="2982" t="s">
        <v>3332</v>
      </c>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ca="1" si="41"/>
        <v>9960</v>
      </c>
      <c r="S186" s="360">
        <f t="shared" ca="1" si="32"/>
        <v>52</v>
      </c>
      <c r="T186" s="3019">
        <f>办公清单!F168</f>
        <v>2.74</v>
      </c>
    </row>
    <row r="187" spans="1:20">
      <c r="A187" s="3002" t="str">
        <f>'数据-基础表'!C176</f>
        <v>23层2325号</v>
      </c>
      <c r="B187" s="945">
        <f>'数据-基础表'!I176</f>
        <v>52.17</v>
      </c>
      <c r="C187" s="23">
        <f t="shared" si="33"/>
        <v>1.01</v>
      </c>
      <c r="D187" s="2982" t="s">
        <v>4625</v>
      </c>
      <c r="E187" s="23">
        <f t="shared" si="34"/>
        <v>1.02</v>
      </c>
      <c r="F187" s="2982" t="s">
        <v>3332</v>
      </c>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ca="1" si="41"/>
        <v>9960</v>
      </c>
      <c r="S187" s="360">
        <f t="shared" ref="S187:S222" ca="1" si="42">ROUND(R187*B187/10000,0)</f>
        <v>52</v>
      </c>
      <c r="T187" s="3019">
        <f>办公清单!F169</f>
        <v>2.74</v>
      </c>
    </row>
    <row r="188" spans="1:20">
      <c r="A188" s="3002" t="str">
        <f>'数据-基础表'!C177</f>
        <v>23层2326号</v>
      </c>
      <c r="B188" s="945">
        <f>'数据-基础表'!I177</f>
        <v>80.73</v>
      </c>
      <c r="C188" s="23">
        <f t="shared" si="33"/>
        <v>1</v>
      </c>
      <c r="D188" s="2982" t="s">
        <v>4625</v>
      </c>
      <c r="E188" s="23">
        <f t="shared" si="34"/>
        <v>1.02</v>
      </c>
      <c r="F188" s="2982" t="s">
        <v>3332</v>
      </c>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ca="1" si="41"/>
        <v>9861</v>
      </c>
      <c r="S188" s="360">
        <f t="shared" ca="1" si="42"/>
        <v>80</v>
      </c>
      <c r="T188" s="3019">
        <f>办公清单!F170</f>
        <v>4.24</v>
      </c>
    </row>
    <row r="189" spans="1:20">
      <c r="A189" s="3002" t="str">
        <f>'数据-基础表'!C178</f>
        <v>23层2327号</v>
      </c>
      <c r="B189" s="945">
        <f>'数据-基础表'!I178</f>
        <v>93.08</v>
      </c>
      <c r="C189" s="23">
        <f t="shared" si="33"/>
        <v>1</v>
      </c>
      <c r="D189" s="2982" t="s">
        <v>4625</v>
      </c>
      <c r="E189" s="23">
        <f t="shared" si="34"/>
        <v>1.02</v>
      </c>
      <c r="F189" s="2982" t="s">
        <v>3332</v>
      </c>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ca="1" si="41"/>
        <v>9861</v>
      </c>
      <c r="S189" s="360">
        <f t="shared" ca="1" si="42"/>
        <v>92</v>
      </c>
      <c r="T189" s="3019">
        <f>办公清单!F171</f>
        <v>4.8899999999999997</v>
      </c>
    </row>
    <row r="190" spans="1:20">
      <c r="A190" s="3002" t="str">
        <f>'数据-基础表'!C179</f>
        <v>23层2328号</v>
      </c>
      <c r="B190" s="945">
        <f>'数据-基础表'!I179</f>
        <v>93.08</v>
      </c>
      <c r="C190" s="23">
        <f t="shared" si="33"/>
        <v>1</v>
      </c>
      <c r="D190" s="2982" t="s">
        <v>4625</v>
      </c>
      <c r="E190" s="23">
        <f t="shared" si="34"/>
        <v>1.02</v>
      </c>
      <c r="F190" s="2982" t="s">
        <v>3332</v>
      </c>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ca="1" si="41"/>
        <v>9861</v>
      </c>
      <c r="S190" s="360">
        <f t="shared" ca="1" si="42"/>
        <v>92</v>
      </c>
      <c r="T190" s="3019">
        <f>办公清单!F172</f>
        <v>4.8899999999999997</v>
      </c>
    </row>
    <row r="191" spans="1:20">
      <c r="A191" s="3002" t="str">
        <f>'数据-基础表'!C180</f>
        <v>24层2401号</v>
      </c>
      <c r="B191" s="945">
        <f>'数据-基础表'!I180</f>
        <v>80.73</v>
      </c>
      <c r="C191" s="23">
        <f t="shared" si="33"/>
        <v>1</v>
      </c>
      <c r="D191" s="2982" t="s">
        <v>4625</v>
      </c>
      <c r="E191" s="23">
        <f t="shared" si="34"/>
        <v>1.02</v>
      </c>
      <c r="F191" s="2982" t="s">
        <v>3332</v>
      </c>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ca="1" si="41"/>
        <v>9861</v>
      </c>
      <c r="S191" s="360">
        <f t="shared" ca="1" si="42"/>
        <v>80</v>
      </c>
      <c r="T191" s="3019">
        <f>办公清单!F173</f>
        <v>4.24</v>
      </c>
    </row>
    <row r="192" spans="1:20">
      <c r="A192" s="3002" t="str">
        <f>'数据-基础表'!C181</f>
        <v>24层2402号</v>
      </c>
      <c r="B192" s="945">
        <f>'数据-基础表'!I181</f>
        <v>52.17</v>
      </c>
      <c r="C192" s="23">
        <f t="shared" si="33"/>
        <v>1.01</v>
      </c>
      <c r="D192" s="2982" t="s">
        <v>4625</v>
      </c>
      <c r="E192" s="23">
        <f t="shared" si="34"/>
        <v>1.02</v>
      </c>
      <c r="F192" s="2982" t="s">
        <v>3332</v>
      </c>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ca="1" si="41"/>
        <v>9960</v>
      </c>
      <c r="S192" s="360">
        <f t="shared" ca="1" si="42"/>
        <v>52</v>
      </c>
      <c r="T192" s="3019">
        <f>办公清单!F174</f>
        <v>2.74</v>
      </c>
    </row>
    <row r="193" spans="1:20">
      <c r="A193" s="3002" t="str">
        <f>'数据-基础表'!C182</f>
        <v>24层2403号</v>
      </c>
      <c r="B193" s="945">
        <f>'数据-基础表'!I182</f>
        <v>52.17</v>
      </c>
      <c r="C193" s="23">
        <f t="shared" si="33"/>
        <v>1.01</v>
      </c>
      <c r="D193" s="2982" t="s">
        <v>4625</v>
      </c>
      <c r="E193" s="23">
        <f t="shared" si="34"/>
        <v>1.02</v>
      </c>
      <c r="F193" s="2982" t="s">
        <v>3332</v>
      </c>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ca="1" si="41"/>
        <v>9960</v>
      </c>
      <c r="S193" s="360">
        <f t="shared" ca="1" si="42"/>
        <v>52</v>
      </c>
      <c r="T193" s="3019">
        <f>办公清单!F175</f>
        <v>2.74</v>
      </c>
    </row>
    <row r="194" spans="1:20">
      <c r="A194" s="3002" t="str">
        <f>'数据-基础表'!C183</f>
        <v>24层2404号</v>
      </c>
      <c r="B194" s="945">
        <f>'数据-基础表'!I183</f>
        <v>52.17</v>
      </c>
      <c r="C194" s="23">
        <f t="shared" si="33"/>
        <v>1.01</v>
      </c>
      <c r="D194" s="2982" t="s">
        <v>4625</v>
      </c>
      <c r="E194" s="23">
        <f t="shared" si="34"/>
        <v>1.02</v>
      </c>
      <c r="F194" s="2982" t="s">
        <v>3332</v>
      </c>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ca="1" si="41"/>
        <v>9960</v>
      </c>
      <c r="S194" s="360">
        <f t="shared" ca="1" si="42"/>
        <v>52</v>
      </c>
      <c r="T194" s="3019">
        <f>办公清单!F176</f>
        <v>2.74</v>
      </c>
    </row>
    <row r="195" spans="1:20">
      <c r="A195" s="3002" t="str">
        <f>'数据-基础表'!C184</f>
        <v>24层2405号</v>
      </c>
      <c r="B195" s="945">
        <f>'数据-基础表'!I184</f>
        <v>52.17</v>
      </c>
      <c r="C195" s="23">
        <f t="shared" si="33"/>
        <v>1.01</v>
      </c>
      <c r="D195" s="2982" t="s">
        <v>4625</v>
      </c>
      <c r="E195" s="23">
        <f t="shared" si="34"/>
        <v>1.02</v>
      </c>
      <c r="F195" s="2982" t="s">
        <v>3332</v>
      </c>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ca="1" si="41"/>
        <v>9960</v>
      </c>
      <c r="S195" s="360">
        <f t="shared" ca="1" si="42"/>
        <v>52</v>
      </c>
      <c r="T195" s="3019">
        <f>办公清单!F177</f>
        <v>2.74</v>
      </c>
    </row>
    <row r="196" spans="1:20">
      <c r="A196" s="3002" t="str">
        <f>'数据-基础表'!C185</f>
        <v>24层2406号</v>
      </c>
      <c r="B196" s="945">
        <f>'数据-基础表'!I185</f>
        <v>52.17</v>
      </c>
      <c r="C196" s="23">
        <f t="shared" si="33"/>
        <v>1.01</v>
      </c>
      <c r="D196" s="2982" t="s">
        <v>4625</v>
      </c>
      <c r="E196" s="23">
        <f t="shared" si="34"/>
        <v>1.02</v>
      </c>
      <c r="F196" s="2982" t="s">
        <v>3332</v>
      </c>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ca="1" si="41"/>
        <v>9960</v>
      </c>
      <c r="S196" s="360">
        <f t="shared" ca="1" si="42"/>
        <v>52</v>
      </c>
      <c r="T196" s="3019">
        <f>办公清单!F178</f>
        <v>2.74</v>
      </c>
    </row>
    <row r="197" spans="1:20">
      <c r="A197" s="3002" t="str">
        <f>'数据-基础表'!C186</f>
        <v>24层2407号</v>
      </c>
      <c r="B197" s="945">
        <f>'数据-基础表'!I186</f>
        <v>52.17</v>
      </c>
      <c r="C197" s="23">
        <f t="shared" si="33"/>
        <v>1.01</v>
      </c>
      <c r="D197" s="2982" t="s">
        <v>4625</v>
      </c>
      <c r="E197" s="23">
        <f t="shared" si="34"/>
        <v>1.02</v>
      </c>
      <c r="F197" s="2982" t="s">
        <v>3332</v>
      </c>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ca="1" si="41"/>
        <v>9960</v>
      </c>
      <c r="S197" s="360">
        <f t="shared" ca="1" si="42"/>
        <v>52</v>
      </c>
      <c r="T197" s="3019">
        <f>办公清单!F179</f>
        <v>2.74</v>
      </c>
    </row>
    <row r="198" spans="1:20">
      <c r="A198" s="3002" t="str">
        <f>'数据-基础表'!C187</f>
        <v>24层2408号</v>
      </c>
      <c r="B198" s="945">
        <f>'数据-基础表'!I187</f>
        <v>52.17</v>
      </c>
      <c r="C198" s="23">
        <f t="shared" si="33"/>
        <v>1.01</v>
      </c>
      <c r="D198" s="2982" t="s">
        <v>4625</v>
      </c>
      <c r="E198" s="23">
        <f t="shared" si="34"/>
        <v>1.02</v>
      </c>
      <c r="F198" s="2982" t="s">
        <v>3332</v>
      </c>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ca="1" si="41"/>
        <v>9960</v>
      </c>
      <c r="S198" s="360">
        <f t="shared" ca="1" si="42"/>
        <v>52</v>
      </c>
      <c r="T198" s="3019">
        <f>办公清单!F180</f>
        <v>2.74</v>
      </c>
    </row>
    <row r="199" spans="1:20">
      <c r="A199" s="3002" t="str">
        <f>'数据-基础表'!C188</f>
        <v>24层2409号</v>
      </c>
      <c r="B199" s="945">
        <f>'数据-基础表'!I188</f>
        <v>52.17</v>
      </c>
      <c r="C199" s="23">
        <f t="shared" si="33"/>
        <v>1.01</v>
      </c>
      <c r="D199" s="2982" t="s">
        <v>4625</v>
      </c>
      <c r="E199" s="23">
        <f t="shared" si="34"/>
        <v>1.02</v>
      </c>
      <c r="F199" s="2982" t="s">
        <v>3332</v>
      </c>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ca="1" si="41"/>
        <v>9960</v>
      </c>
      <c r="S199" s="360">
        <f t="shared" ca="1" si="42"/>
        <v>52</v>
      </c>
      <c r="T199" s="3019">
        <f>办公清单!F181</f>
        <v>2.74</v>
      </c>
    </row>
    <row r="200" spans="1:20">
      <c r="A200" s="3002" t="str">
        <f>'数据-基础表'!C189</f>
        <v>24层2410号</v>
      </c>
      <c r="B200" s="945">
        <f>'数据-基础表'!I189</f>
        <v>52.17</v>
      </c>
      <c r="C200" s="23">
        <f t="shared" si="33"/>
        <v>1.01</v>
      </c>
      <c r="D200" s="2982" t="s">
        <v>4625</v>
      </c>
      <c r="E200" s="23">
        <f t="shared" si="34"/>
        <v>1.02</v>
      </c>
      <c r="F200" s="2982" t="s">
        <v>3332</v>
      </c>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ca="1" si="41"/>
        <v>9960</v>
      </c>
      <c r="S200" s="360">
        <f t="shared" ca="1" si="42"/>
        <v>52</v>
      </c>
      <c r="T200" s="3019">
        <f>办公清单!F182</f>
        <v>2.74</v>
      </c>
    </row>
    <row r="201" spans="1:20">
      <c r="A201" s="3002" t="str">
        <f>'数据-基础表'!C190</f>
        <v>24层2411号</v>
      </c>
      <c r="B201" s="945">
        <f>'数据-基础表'!I190</f>
        <v>52.17</v>
      </c>
      <c r="C201" s="23">
        <f t="shared" si="33"/>
        <v>1.01</v>
      </c>
      <c r="D201" s="2982" t="s">
        <v>4625</v>
      </c>
      <c r="E201" s="23">
        <f t="shared" si="34"/>
        <v>1.02</v>
      </c>
      <c r="F201" s="2982" t="s">
        <v>3332</v>
      </c>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ca="1" si="41"/>
        <v>9960</v>
      </c>
      <c r="S201" s="360">
        <f t="shared" ca="1" si="42"/>
        <v>52</v>
      </c>
      <c r="T201" s="3019">
        <f>办公清单!F183</f>
        <v>2.74</v>
      </c>
    </row>
    <row r="202" spans="1:20">
      <c r="A202" s="3002" t="str">
        <f>'数据-基础表'!C191</f>
        <v>24层2412号</v>
      </c>
      <c r="B202" s="945">
        <f>'数据-基础表'!I191</f>
        <v>80.73</v>
      </c>
      <c r="C202" s="23">
        <f t="shared" si="33"/>
        <v>1</v>
      </c>
      <c r="D202" s="2982" t="s">
        <v>4625</v>
      </c>
      <c r="E202" s="23">
        <f t="shared" si="34"/>
        <v>1.02</v>
      </c>
      <c r="F202" s="2982" t="s">
        <v>3332</v>
      </c>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ca="1" si="41"/>
        <v>9861</v>
      </c>
      <c r="S202" s="360">
        <f t="shared" ca="1" si="42"/>
        <v>80</v>
      </c>
      <c r="T202" s="3019">
        <f>办公清单!F184</f>
        <v>4.24</v>
      </c>
    </row>
    <row r="203" spans="1:20">
      <c r="A203" s="3002" t="str">
        <f>'数据-基础表'!C192</f>
        <v>24层2413号</v>
      </c>
      <c r="B203" s="945">
        <f>'数据-基础表'!I192</f>
        <v>67.36</v>
      </c>
      <c r="C203" s="23">
        <f t="shared" si="33"/>
        <v>1</v>
      </c>
      <c r="D203" s="2982" t="s">
        <v>4625</v>
      </c>
      <c r="E203" s="23">
        <f t="shared" si="34"/>
        <v>1.02</v>
      </c>
      <c r="F203" s="2982" t="s">
        <v>3332</v>
      </c>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ca="1" si="41"/>
        <v>9861</v>
      </c>
      <c r="S203" s="360">
        <f t="shared" ca="1" si="42"/>
        <v>66</v>
      </c>
      <c r="T203" s="3019">
        <f>办公清单!F185</f>
        <v>3.54</v>
      </c>
    </row>
    <row r="204" spans="1:20">
      <c r="A204" s="3002" t="str">
        <f>'数据-基础表'!C193</f>
        <v>24层2414号</v>
      </c>
      <c r="B204" s="945">
        <f>'数据-基础表'!I193</f>
        <v>67.36</v>
      </c>
      <c r="C204" s="23">
        <f t="shared" si="33"/>
        <v>1</v>
      </c>
      <c r="D204" s="2982" t="s">
        <v>4625</v>
      </c>
      <c r="E204" s="23">
        <f t="shared" si="34"/>
        <v>1.02</v>
      </c>
      <c r="F204" s="2982" t="s">
        <v>3332</v>
      </c>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ca="1" si="41"/>
        <v>9861</v>
      </c>
      <c r="S204" s="360">
        <f t="shared" ca="1" si="42"/>
        <v>66</v>
      </c>
      <c r="T204" s="3019">
        <f>办公清单!F186</f>
        <v>3.54</v>
      </c>
    </row>
    <row r="205" spans="1:20">
      <c r="A205" s="3002" t="str">
        <f>'数据-基础表'!C194</f>
        <v>24层2415号</v>
      </c>
      <c r="B205" s="945">
        <f>'数据-基础表'!I194</f>
        <v>80.73</v>
      </c>
      <c r="C205" s="23">
        <f t="shared" si="33"/>
        <v>1</v>
      </c>
      <c r="D205" s="2982" t="s">
        <v>4625</v>
      </c>
      <c r="E205" s="23">
        <f t="shared" si="34"/>
        <v>1.02</v>
      </c>
      <c r="F205" s="2982" t="s">
        <v>3332</v>
      </c>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ca="1" si="41"/>
        <v>9861</v>
      </c>
      <c r="S205" s="360">
        <f t="shared" ca="1" si="42"/>
        <v>80</v>
      </c>
      <c r="T205" s="3019">
        <f>办公清单!F187</f>
        <v>4.24</v>
      </c>
    </row>
    <row r="206" spans="1:20">
      <c r="A206" s="3002" t="str">
        <f>'数据-基础表'!C195</f>
        <v>24层2416号</v>
      </c>
      <c r="B206" s="945">
        <f>'数据-基础表'!I195</f>
        <v>52.17</v>
      </c>
      <c r="C206" s="23">
        <f t="shared" si="33"/>
        <v>1.01</v>
      </c>
      <c r="D206" s="2982" t="s">
        <v>4625</v>
      </c>
      <c r="E206" s="23">
        <f t="shared" si="34"/>
        <v>1.02</v>
      </c>
      <c r="F206" s="2982" t="s">
        <v>3332</v>
      </c>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ca="1" si="41"/>
        <v>9960</v>
      </c>
      <c r="S206" s="360">
        <f t="shared" ca="1" si="42"/>
        <v>52</v>
      </c>
      <c r="T206" s="3019">
        <f>办公清单!F188</f>
        <v>2.74</v>
      </c>
    </row>
    <row r="207" spans="1:20">
      <c r="A207" s="3002" t="str">
        <f>'数据-基础表'!C196</f>
        <v>24层2417号</v>
      </c>
      <c r="B207" s="945">
        <f>'数据-基础表'!I196</f>
        <v>52.17</v>
      </c>
      <c r="C207" s="23">
        <f t="shared" si="33"/>
        <v>1.01</v>
      </c>
      <c r="D207" s="2982" t="s">
        <v>4625</v>
      </c>
      <c r="E207" s="23">
        <f t="shared" si="34"/>
        <v>1.02</v>
      </c>
      <c r="F207" s="2982" t="s">
        <v>3332</v>
      </c>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ca="1" si="41"/>
        <v>9960</v>
      </c>
      <c r="S207" s="360">
        <f t="shared" ca="1" si="42"/>
        <v>52</v>
      </c>
      <c r="T207" s="3019">
        <f>办公清单!F189</f>
        <v>2.74</v>
      </c>
    </row>
    <row r="208" spans="1:20">
      <c r="A208" s="3002" t="str">
        <f>'数据-基础表'!C197</f>
        <v>24层2418号</v>
      </c>
      <c r="B208" s="945">
        <f>'数据-基础表'!I197</f>
        <v>52.17</v>
      </c>
      <c r="C208" s="23">
        <f t="shared" si="33"/>
        <v>1.01</v>
      </c>
      <c r="D208" s="2982" t="s">
        <v>4625</v>
      </c>
      <c r="E208" s="23">
        <f t="shared" si="34"/>
        <v>1.02</v>
      </c>
      <c r="F208" s="2982" t="s">
        <v>3332</v>
      </c>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ca="1" si="41"/>
        <v>9960</v>
      </c>
      <c r="S208" s="360">
        <f t="shared" ca="1" si="42"/>
        <v>52</v>
      </c>
      <c r="T208" s="3019">
        <f>办公清单!F190</f>
        <v>2.74</v>
      </c>
    </row>
    <row r="209" spans="1:20">
      <c r="A209" s="3002" t="str">
        <f>'数据-基础表'!C198</f>
        <v>24层2419号</v>
      </c>
      <c r="B209" s="945">
        <f>'数据-基础表'!I198</f>
        <v>52.17</v>
      </c>
      <c r="C209" s="23">
        <f t="shared" si="33"/>
        <v>1.01</v>
      </c>
      <c r="D209" s="2982" t="s">
        <v>4625</v>
      </c>
      <c r="E209" s="23">
        <f t="shared" si="34"/>
        <v>1.02</v>
      </c>
      <c r="F209" s="2982" t="s">
        <v>3332</v>
      </c>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ca="1" si="41"/>
        <v>9960</v>
      </c>
      <c r="S209" s="360">
        <f t="shared" ca="1" si="42"/>
        <v>52</v>
      </c>
      <c r="T209" s="3019">
        <f>办公清单!F191</f>
        <v>2.74</v>
      </c>
    </row>
    <row r="210" spans="1:20">
      <c r="A210" s="3002" t="str">
        <f>'数据-基础表'!C199</f>
        <v>24层2420号</v>
      </c>
      <c r="B210" s="945">
        <f>'数据-基础表'!I199</f>
        <v>52.17</v>
      </c>
      <c r="C210" s="23">
        <f t="shared" si="33"/>
        <v>1.01</v>
      </c>
      <c r="D210" s="2982" t="s">
        <v>4625</v>
      </c>
      <c r="E210" s="23">
        <f t="shared" si="34"/>
        <v>1.02</v>
      </c>
      <c r="F210" s="2982" t="s">
        <v>3332</v>
      </c>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ca="1" si="41"/>
        <v>9960</v>
      </c>
      <c r="S210" s="360">
        <f t="shared" ca="1" si="42"/>
        <v>52</v>
      </c>
      <c r="T210" s="3019">
        <f>办公清单!F192</f>
        <v>2.74</v>
      </c>
    </row>
    <row r="211" spans="1:20">
      <c r="A211" s="3002" t="str">
        <f>'数据-基础表'!C200</f>
        <v>24层2421号</v>
      </c>
      <c r="B211" s="945">
        <f>'数据-基础表'!I200</f>
        <v>52.17</v>
      </c>
      <c r="C211" s="23">
        <f t="shared" si="33"/>
        <v>1.01</v>
      </c>
      <c r="D211" s="2982" t="s">
        <v>4625</v>
      </c>
      <c r="E211" s="23">
        <f t="shared" si="34"/>
        <v>1.02</v>
      </c>
      <c r="F211" s="2982" t="s">
        <v>3332</v>
      </c>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ca="1" si="41"/>
        <v>9960</v>
      </c>
      <c r="S211" s="360">
        <f t="shared" ca="1" si="42"/>
        <v>52</v>
      </c>
      <c r="T211" s="3019">
        <f>办公清单!F193</f>
        <v>2.74</v>
      </c>
    </row>
    <row r="212" spans="1:20">
      <c r="A212" s="3002" t="str">
        <f>'数据-基础表'!C201</f>
        <v>24层2422号</v>
      </c>
      <c r="B212" s="945">
        <f>'数据-基础表'!I201</f>
        <v>52.17</v>
      </c>
      <c r="C212" s="23">
        <f t="shared" si="33"/>
        <v>1.01</v>
      </c>
      <c r="D212" s="2982" t="s">
        <v>4625</v>
      </c>
      <c r="E212" s="23">
        <f t="shared" si="34"/>
        <v>1.02</v>
      </c>
      <c r="F212" s="2982" t="s">
        <v>3332</v>
      </c>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ca="1" si="41"/>
        <v>9960</v>
      </c>
      <c r="S212" s="360">
        <f t="shared" ca="1" si="42"/>
        <v>52</v>
      </c>
      <c r="T212" s="3019">
        <f>办公清单!F194</f>
        <v>2.74</v>
      </c>
    </row>
    <row r="213" spans="1:20">
      <c r="A213" s="3002" t="str">
        <f>'数据-基础表'!C202</f>
        <v>24层2423号</v>
      </c>
      <c r="B213" s="945">
        <f>'数据-基础表'!I202</f>
        <v>52.17</v>
      </c>
      <c r="C213" s="23">
        <f t="shared" si="33"/>
        <v>1.01</v>
      </c>
      <c r="D213" s="2982" t="s">
        <v>4625</v>
      </c>
      <c r="E213" s="23">
        <f t="shared" si="34"/>
        <v>1.02</v>
      </c>
      <c r="F213" s="2982" t="s">
        <v>3332</v>
      </c>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ca="1" si="41"/>
        <v>9960</v>
      </c>
      <c r="S213" s="360">
        <f t="shared" ca="1" si="42"/>
        <v>52</v>
      </c>
      <c r="T213" s="3019">
        <f>办公清单!F195</f>
        <v>2.74</v>
      </c>
    </row>
    <row r="214" spans="1:20">
      <c r="A214" s="3002" t="str">
        <f>'数据-基础表'!C203</f>
        <v>24层2424号</v>
      </c>
      <c r="B214" s="945">
        <f>'数据-基础表'!I203</f>
        <v>52.17</v>
      </c>
      <c r="C214" s="23">
        <f t="shared" si="33"/>
        <v>1.01</v>
      </c>
      <c r="D214" s="2982" t="s">
        <v>4625</v>
      </c>
      <c r="E214" s="23">
        <f t="shared" si="34"/>
        <v>1.02</v>
      </c>
      <c r="F214" s="2982" t="s">
        <v>3332</v>
      </c>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ca="1" si="41"/>
        <v>9960</v>
      </c>
      <c r="S214" s="360">
        <f t="shared" ca="1" si="42"/>
        <v>52</v>
      </c>
      <c r="T214" s="3019">
        <f>办公清单!F196</f>
        <v>2.74</v>
      </c>
    </row>
    <row r="215" spans="1:20">
      <c r="A215" s="3002" t="str">
        <f>'数据-基础表'!C204</f>
        <v>24层2425号</v>
      </c>
      <c r="B215" s="945">
        <f>'数据-基础表'!I204</f>
        <v>52.17</v>
      </c>
      <c r="C215" s="23">
        <f t="shared" si="33"/>
        <v>1.01</v>
      </c>
      <c r="D215" s="2982" t="s">
        <v>4625</v>
      </c>
      <c r="E215" s="23">
        <f t="shared" si="34"/>
        <v>1.02</v>
      </c>
      <c r="F215" s="2982" t="s">
        <v>3332</v>
      </c>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ca="1" si="41"/>
        <v>9960</v>
      </c>
      <c r="S215" s="360">
        <f t="shared" ca="1" si="42"/>
        <v>52</v>
      </c>
      <c r="T215" s="3019">
        <f>办公清单!F197</f>
        <v>2.74</v>
      </c>
    </row>
    <row r="216" spans="1:20">
      <c r="A216" s="3002" t="str">
        <f>'数据-基础表'!C205</f>
        <v>24层2426号</v>
      </c>
      <c r="B216" s="945">
        <f>'数据-基础表'!I205</f>
        <v>80.73</v>
      </c>
      <c r="C216" s="23">
        <f t="shared" si="33"/>
        <v>1</v>
      </c>
      <c r="D216" s="2982" t="s">
        <v>4625</v>
      </c>
      <c r="E216" s="23">
        <f t="shared" si="34"/>
        <v>1.02</v>
      </c>
      <c r="F216" s="2982" t="s">
        <v>3332</v>
      </c>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ca="1" si="41"/>
        <v>9861</v>
      </c>
      <c r="S216" s="360">
        <f t="shared" ca="1" si="42"/>
        <v>80</v>
      </c>
      <c r="T216" s="3019">
        <f>办公清单!F198</f>
        <v>4.24</v>
      </c>
    </row>
    <row r="217" spans="1:20">
      <c r="A217" s="3002" t="str">
        <f>'数据-基础表'!C206</f>
        <v>24层2427号</v>
      </c>
      <c r="B217" s="945">
        <f>'数据-基础表'!I206</f>
        <v>93.08</v>
      </c>
      <c r="C217" s="23">
        <f t="shared" si="33"/>
        <v>1</v>
      </c>
      <c r="D217" s="2982" t="s">
        <v>4625</v>
      </c>
      <c r="E217" s="23">
        <f t="shared" si="34"/>
        <v>1.02</v>
      </c>
      <c r="F217" s="2982" t="s">
        <v>3332</v>
      </c>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ca="1" si="41"/>
        <v>9861</v>
      </c>
      <c r="S217" s="360">
        <f t="shared" ca="1" si="42"/>
        <v>92</v>
      </c>
      <c r="T217" s="3019">
        <f>办公清单!F199</f>
        <v>4.8899999999999997</v>
      </c>
    </row>
    <row r="218" spans="1:20">
      <c r="A218" s="3002" t="str">
        <f>'数据-基础表'!C207</f>
        <v>24层2428号</v>
      </c>
      <c r="B218" s="945">
        <f>'数据-基础表'!I207</f>
        <v>93.08</v>
      </c>
      <c r="C218" s="23">
        <f t="shared" ref="C218:C281" si="43">IF(B218="",1,(LOOKUP(B218,$3:$3,$4:$4)-LOOKUP($B$24,$3:$3,$4:$4)+100)/100)</f>
        <v>1</v>
      </c>
      <c r="D218" s="2982" t="s">
        <v>4625</v>
      </c>
      <c r="E218" s="23">
        <f t="shared" ref="E218:E281" si="44">(SUMIF($5:$5,D218,$6:$6)-SUMIF($5:$5,$D$24,$6:$6)+100)/100</f>
        <v>1.02</v>
      </c>
      <c r="F218" s="2982" t="s">
        <v>3332</v>
      </c>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ca="1" si="51">IF(B218="",0,ROUND($R$24*C218*E218*G218*I218*K218*M218*O218*Q218,0))</f>
        <v>9861</v>
      </c>
      <c r="S218" s="360">
        <f t="shared" ca="1" si="42"/>
        <v>92</v>
      </c>
      <c r="T218" s="3019">
        <f>办公清单!F200</f>
        <v>4.8899999999999997</v>
      </c>
    </row>
    <row r="219" spans="1:20">
      <c r="A219" s="3002" t="str">
        <f>'数据-基础表'!C208</f>
        <v>25层2501号</v>
      </c>
      <c r="B219" s="945">
        <f>'数据-基础表'!I208</f>
        <v>80.73</v>
      </c>
      <c r="C219" s="23">
        <f t="shared" si="43"/>
        <v>1</v>
      </c>
      <c r="D219" s="2982" t="s">
        <v>4625</v>
      </c>
      <c r="E219" s="23">
        <f t="shared" si="44"/>
        <v>1.02</v>
      </c>
      <c r="F219" s="2982" t="s">
        <v>3332</v>
      </c>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ca="1" si="51"/>
        <v>9861</v>
      </c>
      <c r="S219" s="360">
        <f t="shared" ca="1" si="42"/>
        <v>80</v>
      </c>
      <c r="T219" s="3019">
        <f>办公清单!F201</f>
        <v>4.24</v>
      </c>
    </row>
    <row r="220" spans="1:20">
      <c r="A220" s="3002" t="str">
        <f>'数据-基础表'!C209</f>
        <v>25层2502号</v>
      </c>
      <c r="B220" s="945">
        <f>'数据-基础表'!I209</f>
        <v>52.17</v>
      </c>
      <c r="C220" s="23">
        <f t="shared" si="43"/>
        <v>1.01</v>
      </c>
      <c r="D220" s="2982" t="s">
        <v>4625</v>
      </c>
      <c r="E220" s="23">
        <f t="shared" si="44"/>
        <v>1.02</v>
      </c>
      <c r="F220" s="2982" t="s">
        <v>3332</v>
      </c>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ca="1" si="51"/>
        <v>9960</v>
      </c>
      <c r="S220" s="360">
        <f t="shared" ca="1" si="42"/>
        <v>52</v>
      </c>
      <c r="T220" s="3019" t="str">
        <f>办公清单!F202</f>
        <v>2.74.</v>
      </c>
    </row>
    <row r="221" spans="1:20">
      <c r="A221" s="3002" t="str">
        <f>'数据-基础表'!C210</f>
        <v>25层2503号</v>
      </c>
      <c r="B221" s="945">
        <f>'数据-基础表'!I210</f>
        <v>52.17</v>
      </c>
      <c r="C221" s="23">
        <f t="shared" si="43"/>
        <v>1.01</v>
      </c>
      <c r="D221" s="2982" t="s">
        <v>4625</v>
      </c>
      <c r="E221" s="23">
        <f t="shared" si="44"/>
        <v>1.02</v>
      </c>
      <c r="F221" s="2982" t="s">
        <v>3332</v>
      </c>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ca="1" si="51"/>
        <v>9960</v>
      </c>
      <c r="S221" s="360">
        <f t="shared" ca="1" si="42"/>
        <v>52</v>
      </c>
      <c r="T221" s="3019">
        <f>办公清单!F203</f>
        <v>2.74</v>
      </c>
    </row>
    <row r="222" spans="1:20">
      <c r="A222" s="3002" t="str">
        <f>'数据-基础表'!C211</f>
        <v>25层2504号</v>
      </c>
      <c r="B222" s="945">
        <f>'数据-基础表'!I211</f>
        <v>52.17</v>
      </c>
      <c r="C222" s="23">
        <f t="shared" si="43"/>
        <v>1.01</v>
      </c>
      <c r="D222" s="2982" t="s">
        <v>4625</v>
      </c>
      <c r="E222" s="23">
        <f t="shared" si="44"/>
        <v>1.02</v>
      </c>
      <c r="F222" s="2982" t="s">
        <v>3332</v>
      </c>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ca="1" si="51"/>
        <v>9960</v>
      </c>
      <c r="S222" s="360">
        <f t="shared" ca="1" si="42"/>
        <v>52</v>
      </c>
      <c r="T222" s="3019">
        <f>办公清单!F204</f>
        <v>2.74</v>
      </c>
    </row>
    <row r="223" spans="1:20">
      <c r="A223" s="3002" t="str">
        <f>'数据-基础表'!C212</f>
        <v>25层2505号</v>
      </c>
      <c r="B223" s="945">
        <f>'数据-基础表'!I212</f>
        <v>52.17</v>
      </c>
      <c r="C223" s="23">
        <f t="shared" si="43"/>
        <v>1.01</v>
      </c>
      <c r="D223" s="2982" t="s">
        <v>4625</v>
      </c>
      <c r="E223" s="23">
        <f t="shared" si="44"/>
        <v>1.02</v>
      </c>
      <c r="F223" s="2982" t="s">
        <v>3332</v>
      </c>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ca="1" si="51"/>
        <v>9960</v>
      </c>
      <c r="S223" s="360">
        <f t="shared" ref="S223:S286" ca="1" si="52">ROUND(R223*B223/10000,0)</f>
        <v>52</v>
      </c>
      <c r="T223" s="3019">
        <f>办公清单!F205</f>
        <v>2.74</v>
      </c>
    </row>
    <row r="224" spans="1:20">
      <c r="A224" s="3002" t="str">
        <f>'数据-基础表'!C213</f>
        <v>25层2506号</v>
      </c>
      <c r="B224" s="945">
        <f>'数据-基础表'!I213</f>
        <v>52.17</v>
      </c>
      <c r="C224" s="23">
        <f t="shared" si="43"/>
        <v>1.01</v>
      </c>
      <c r="D224" s="2982" t="s">
        <v>4625</v>
      </c>
      <c r="E224" s="23">
        <f t="shared" si="44"/>
        <v>1.02</v>
      </c>
      <c r="F224" s="2982" t="s">
        <v>3332</v>
      </c>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ca="1" si="51"/>
        <v>9960</v>
      </c>
      <c r="S224" s="360">
        <f t="shared" ca="1" si="52"/>
        <v>52</v>
      </c>
      <c r="T224" s="3019">
        <f>办公清单!F206</f>
        <v>2.74</v>
      </c>
    </row>
    <row r="225" spans="1:20">
      <c r="A225" s="3002" t="str">
        <f>'数据-基础表'!C214</f>
        <v>25层2507号</v>
      </c>
      <c r="B225" s="945">
        <f>'数据-基础表'!I214</f>
        <v>52.17</v>
      </c>
      <c r="C225" s="23">
        <f t="shared" si="43"/>
        <v>1.01</v>
      </c>
      <c r="D225" s="2982" t="s">
        <v>4625</v>
      </c>
      <c r="E225" s="23">
        <f t="shared" si="44"/>
        <v>1.02</v>
      </c>
      <c r="F225" s="2982" t="s">
        <v>3332</v>
      </c>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ca="1" si="51"/>
        <v>9960</v>
      </c>
      <c r="S225" s="360">
        <f t="shared" ca="1" si="52"/>
        <v>52</v>
      </c>
      <c r="T225" s="3019">
        <f>办公清单!F207</f>
        <v>2.74</v>
      </c>
    </row>
    <row r="226" spans="1:20">
      <c r="A226" s="3002" t="str">
        <f>'数据-基础表'!C215</f>
        <v>25层2508号</v>
      </c>
      <c r="B226" s="945">
        <f>'数据-基础表'!I215</f>
        <v>52.17</v>
      </c>
      <c r="C226" s="23">
        <f t="shared" si="43"/>
        <v>1.01</v>
      </c>
      <c r="D226" s="2982" t="s">
        <v>4625</v>
      </c>
      <c r="E226" s="23">
        <f t="shared" si="44"/>
        <v>1.02</v>
      </c>
      <c r="F226" s="2982" t="s">
        <v>3332</v>
      </c>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ca="1" si="51"/>
        <v>9960</v>
      </c>
      <c r="S226" s="360">
        <f t="shared" ca="1" si="52"/>
        <v>52</v>
      </c>
      <c r="T226" s="3019">
        <f>办公清单!F208</f>
        <v>2.74</v>
      </c>
    </row>
    <row r="227" spans="1:20">
      <c r="A227" s="3002" t="str">
        <f>'数据-基础表'!C216</f>
        <v>25层2509号</v>
      </c>
      <c r="B227" s="945">
        <f>'数据-基础表'!I216</f>
        <v>52.17</v>
      </c>
      <c r="C227" s="23">
        <f t="shared" si="43"/>
        <v>1.01</v>
      </c>
      <c r="D227" s="2982" t="s">
        <v>4625</v>
      </c>
      <c r="E227" s="23">
        <f t="shared" si="44"/>
        <v>1.02</v>
      </c>
      <c r="F227" s="2982" t="s">
        <v>3332</v>
      </c>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ca="1" si="51"/>
        <v>9960</v>
      </c>
      <c r="S227" s="360">
        <f t="shared" ca="1" si="52"/>
        <v>52</v>
      </c>
      <c r="T227" s="3019">
        <f>办公清单!F209</f>
        <v>2.74</v>
      </c>
    </row>
    <row r="228" spans="1:20">
      <c r="A228" s="3002" t="str">
        <f>'数据-基础表'!C217</f>
        <v>25层2510号</v>
      </c>
      <c r="B228" s="945">
        <f>'数据-基础表'!I217</f>
        <v>52.17</v>
      </c>
      <c r="C228" s="23">
        <f t="shared" si="43"/>
        <v>1.01</v>
      </c>
      <c r="D228" s="2982" t="s">
        <v>4625</v>
      </c>
      <c r="E228" s="23">
        <f t="shared" si="44"/>
        <v>1.02</v>
      </c>
      <c r="F228" s="2982" t="s">
        <v>3332</v>
      </c>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ca="1" si="51"/>
        <v>9960</v>
      </c>
      <c r="S228" s="360">
        <f t="shared" ca="1" si="52"/>
        <v>52</v>
      </c>
      <c r="T228" s="3019">
        <f>办公清单!F210</f>
        <v>2.74</v>
      </c>
    </row>
    <row r="229" spans="1:20">
      <c r="A229" s="3002" t="str">
        <f>'数据-基础表'!C218</f>
        <v>25层2511号</v>
      </c>
      <c r="B229" s="945">
        <f>'数据-基础表'!I218</f>
        <v>52.17</v>
      </c>
      <c r="C229" s="23">
        <f t="shared" si="43"/>
        <v>1.01</v>
      </c>
      <c r="D229" s="2982" t="s">
        <v>4625</v>
      </c>
      <c r="E229" s="23">
        <f t="shared" si="44"/>
        <v>1.02</v>
      </c>
      <c r="F229" s="2982" t="s">
        <v>3332</v>
      </c>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ca="1" si="51"/>
        <v>9960</v>
      </c>
      <c r="S229" s="360">
        <f t="shared" ca="1" si="52"/>
        <v>52</v>
      </c>
      <c r="T229" s="3019">
        <f>办公清单!F211</f>
        <v>2.74</v>
      </c>
    </row>
    <row r="230" spans="1:20">
      <c r="A230" s="3002" t="str">
        <f>'数据-基础表'!C219</f>
        <v>25层2512号</v>
      </c>
      <c r="B230" s="945">
        <f>'数据-基础表'!I219</f>
        <v>80.73</v>
      </c>
      <c r="C230" s="23">
        <f t="shared" si="43"/>
        <v>1</v>
      </c>
      <c r="D230" s="2982" t="s">
        <v>4625</v>
      </c>
      <c r="E230" s="23">
        <f t="shared" si="44"/>
        <v>1.02</v>
      </c>
      <c r="F230" s="2982" t="s">
        <v>3332</v>
      </c>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ca="1" si="51"/>
        <v>9861</v>
      </c>
      <c r="S230" s="360">
        <f t="shared" ca="1" si="52"/>
        <v>80</v>
      </c>
      <c r="T230" s="3019">
        <f>办公清单!F212</f>
        <v>4.24</v>
      </c>
    </row>
    <row r="231" spans="1:20">
      <c r="A231" s="3002" t="str">
        <f>'数据-基础表'!C220</f>
        <v>25层2513号</v>
      </c>
      <c r="B231" s="945">
        <f>'数据-基础表'!I220</f>
        <v>67.36</v>
      </c>
      <c r="C231" s="23">
        <f t="shared" si="43"/>
        <v>1</v>
      </c>
      <c r="D231" s="2982" t="s">
        <v>4625</v>
      </c>
      <c r="E231" s="23">
        <f t="shared" si="44"/>
        <v>1.02</v>
      </c>
      <c r="F231" s="2982" t="s">
        <v>3332</v>
      </c>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ca="1" si="51"/>
        <v>9861</v>
      </c>
      <c r="S231" s="360">
        <f t="shared" ca="1" si="52"/>
        <v>66</v>
      </c>
      <c r="T231" s="3019">
        <f>办公清单!F213</f>
        <v>3.54</v>
      </c>
    </row>
    <row r="232" spans="1:20">
      <c r="A232" s="3002" t="str">
        <f>'数据-基础表'!C221</f>
        <v>25层2514号</v>
      </c>
      <c r="B232" s="945">
        <f>'数据-基础表'!I221</f>
        <v>67.36</v>
      </c>
      <c r="C232" s="23">
        <f t="shared" si="43"/>
        <v>1</v>
      </c>
      <c r="D232" s="2982" t="s">
        <v>4625</v>
      </c>
      <c r="E232" s="23">
        <f t="shared" si="44"/>
        <v>1.02</v>
      </c>
      <c r="F232" s="2982" t="s">
        <v>3332</v>
      </c>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ca="1" si="51"/>
        <v>9861</v>
      </c>
      <c r="S232" s="360">
        <f t="shared" ca="1" si="52"/>
        <v>66</v>
      </c>
      <c r="T232" s="3019">
        <f>办公清单!F214</f>
        <v>3.54</v>
      </c>
    </row>
    <row r="233" spans="1:20">
      <c r="A233" s="3002" t="str">
        <f>'数据-基础表'!C222</f>
        <v>25层2515号</v>
      </c>
      <c r="B233" s="945">
        <f>'数据-基础表'!I222</f>
        <v>80.73</v>
      </c>
      <c r="C233" s="23">
        <f t="shared" si="43"/>
        <v>1</v>
      </c>
      <c r="D233" s="2982" t="s">
        <v>4625</v>
      </c>
      <c r="E233" s="23">
        <f t="shared" si="44"/>
        <v>1.02</v>
      </c>
      <c r="F233" s="2982" t="s">
        <v>3332</v>
      </c>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ca="1" si="51"/>
        <v>9861</v>
      </c>
      <c r="S233" s="360">
        <f t="shared" ca="1" si="52"/>
        <v>80</v>
      </c>
      <c r="T233" s="3019">
        <f>办公清单!F215</f>
        <v>4.24</v>
      </c>
    </row>
    <row r="234" spans="1:20">
      <c r="A234" s="3002" t="str">
        <f>'数据-基础表'!C223</f>
        <v>25层2516号</v>
      </c>
      <c r="B234" s="945">
        <f>'数据-基础表'!I223</f>
        <v>52.17</v>
      </c>
      <c r="C234" s="23">
        <f t="shared" si="43"/>
        <v>1.01</v>
      </c>
      <c r="D234" s="2982" t="s">
        <v>4625</v>
      </c>
      <c r="E234" s="23">
        <f t="shared" si="44"/>
        <v>1.02</v>
      </c>
      <c r="F234" s="2982" t="s">
        <v>3332</v>
      </c>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ca="1" si="51"/>
        <v>9960</v>
      </c>
      <c r="S234" s="360">
        <f t="shared" ca="1" si="52"/>
        <v>52</v>
      </c>
      <c r="T234" s="3019">
        <f>办公清单!F216</f>
        <v>2.74</v>
      </c>
    </row>
    <row r="235" spans="1:20">
      <c r="A235" s="3002" t="str">
        <f>'数据-基础表'!C224</f>
        <v>25层2517号</v>
      </c>
      <c r="B235" s="945">
        <f>'数据-基础表'!I224</f>
        <v>52.17</v>
      </c>
      <c r="C235" s="23">
        <f t="shared" si="43"/>
        <v>1.01</v>
      </c>
      <c r="D235" s="2982" t="s">
        <v>4625</v>
      </c>
      <c r="E235" s="23">
        <f t="shared" si="44"/>
        <v>1.02</v>
      </c>
      <c r="F235" s="2982" t="s">
        <v>3332</v>
      </c>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ca="1" si="51"/>
        <v>9960</v>
      </c>
      <c r="S235" s="360">
        <f t="shared" ca="1" si="52"/>
        <v>52</v>
      </c>
      <c r="T235" s="3019">
        <f>办公清单!F217</f>
        <v>2.74</v>
      </c>
    </row>
    <row r="236" spans="1:20">
      <c r="A236" s="3002" t="str">
        <f>'数据-基础表'!C225</f>
        <v>25层2518号</v>
      </c>
      <c r="B236" s="945">
        <f>'数据-基础表'!I225</f>
        <v>52.17</v>
      </c>
      <c r="C236" s="23">
        <f t="shared" si="43"/>
        <v>1.01</v>
      </c>
      <c r="D236" s="2982" t="s">
        <v>4625</v>
      </c>
      <c r="E236" s="23">
        <f t="shared" si="44"/>
        <v>1.02</v>
      </c>
      <c r="F236" s="2982" t="s">
        <v>3332</v>
      </c>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ca="1" si="51"/>
        <v>9960</v>
      </c>
      <c r="S236" s="360">
        <f t="shared" ca="1" si="52"/>
        <v>52</v>
      </c>
      <c r="T236" s="3019">
        <f>办公清单!F218</f>
        <v>2.74</v>
      </c>
    </row>
    <row r="237" spans="1:20">
      <c r="A237" s="3002" t="str">
        <f>'数据-基础表'!C226</f>
        <v>25层2519号</v>
      </c>
      <c r="B237" s="945">
        <f>'数据-基础表'!I226</f>
        <v>52.17</v>
      </c>
      <c r="C237" s="23">
        <f t="shared" si="43"/>
        <v>1.01</v>
      </c>
      <c r="D237" s="2982" t="s">
        <v>4625</v>
      </c>
      <c r="E237" s="23">
        <f t="shared" si="44"/>
        <v>1.02</v>
      </c>
      <c r="F237" s="2982" t="s">
        <v>3332</v>
      </c>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ca="1" si="51"/>
        <v>9960</v>
      </c>
      <c r="S237" s="360">
        <f t="shared" ca="1" si="52"/>
        <v>52</v>
      </c>
      <c r="T237" s="3019">
        <f>办公清单!F219</f>
        <v>2.74</v>
      </c>
    </row>
    <row r="238" spans="1:20">
      <c r="A238" s="3002" t="str">
        <f>'数据-基础表'!C227</f>
        <v>25层2520号</v>
      </c>
      <c r="B238" s="945">
        <f>'数据-基础表'!I227</f>
        <v>52.17</v>
      </c>
      <c r="C238" s="23">
        <f t="shared" si="43"/>
        <v>1.01</v>
      </c>
      <c r="D238" s="2982" t="s">
        <v>4625</v>
      </c>
      <c r="E238" s="23">
        <f t="shared" si="44"/>
        <v>1.02</v>
      </c>
      <c r="F238" s="2982" t="s">
        <v>3332</v>
      </c>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ca="1" si="51"/>
        <v>9960</v>
      </c>
      <c r="S238" s="360">
        <f t="shared" ca="1" si="52"/>
        <v>52</v>
      </c>
      <c r="T238" s="3019">
        <f>办公清单!F220</f>
        <v>2.74</v>
      </c>
    </row>
    <row r="239" spans="1:20">
      <c r="A239" s="3002" t="str">
        <f>'数据-基础表'!C228</f>
        <v>25层2521号</v>
      </c>
      <c r="B239" s="945">
        <f>'数据-基础表'!I228</f>
        <v>52.17</v>
      </c>
      <c r="C239" s="23">
        <f t="shared" si="43"/>
        <v>1.01</v>
      </c>
      <c r="D239" s="2982" t="s">
        <v>4625</v>
      </c>
      <c r="E239" s="23">
        <f t="shared" si="44"/>
        <v>1.02</v>
      </c>
      <c r="F239" s="2982" t="s">
        <v>3332</v>
      </c>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ca="1" si="51"/>
        <v>9960</v>
      </c>
      <c r="S239" s="360">
        <f t="shared" ca="1" si="52"/>
        <v>52</v>
      </c>
      <c r="T239" s="3019">
        <f>办公清单!F221</f>
        <v>2.74</v>
      </c>
    </row>
    <row r="240" spans="1:20">
      <c r="A240" s="3002" t="str">
        <f>'数据-基础表'!C229</f>
        <v>25层2522号</v>
      </c>
      <c r="B240" s="945">
        <f>'数据-基础表'!I229</f>
        <v>52.17</v>
      </c>
      <c r="C240" s="23">
        <f t="shared" si="43"/>
        <v>1.01</v>
      </c>
      <c r="D240" s="2982" t="s">
        <v>4625</v>
      </c>
      <c r="E240" s="23">
        <f t="shared" si="44"/>
        <v>1.02</v>
      </c>
      <c r="F240" s="2982" t="s">
        <v>3332</v>
      </c>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ca="1" si="51"/>
        <v>9960</v>
      </c>
      <c r="S240" s="360">
        <f t="shared" ca="1" si="52"/>
        <v>52</v>
      </c>
      <c r="T240" s="3019">
        <f>办公清单!F222</f>
        <v>2.74</v>
      </c>
    </row>
    <row r="241" spans="1:20">
      <c r="A241" s="3002" t="str">
        <f>'数据-基础表'!C230</f>
        <v>25层2523号</v>
      </c>
      <c r="B241" s="945">
        <f>'数据-基础表'!I230</f>
        <v>52.17</v>
      </c>
      <c r="C241" s="23">
        <f t="shared" si="43"/>
        <v>1.01</v>
      </c>
      <c r="D241" s="2982" t="s">
        <v>4625</v>
      </c>
      <c r="E241" s="23">
        <f t="shared" si="44"/>
        <v>1.02</v>
      </c>
      <c r="F241" s="2982" t="s">
        <v>3332</v>
      </c>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ca="1" si="51"/>
        <v>9960</v>
      </c>
      <c r="S241" s="360">
        <f t="shared" ca="1" si="52"/>
        <v>52</v>
      </c>
      <c r="T241" s="3019">
        <f>办公清单!F223</f>
        <v>2.74</v>
      </c>
    </row>
    <row r="242" spans="1:20">
      <c r="A242" s="3002" t="str">
        <f>'数据-基础表'!C231</f>
        <v>25层2524号</v>
      </c>
      <c r="B242" s="945">
        <f>'数据-基础表'!I231</f>
        <v>52.17</v>
      </c>
      <c r="C242" s="23">
        <f t="shared" si="43"/>
        <v>1.01</v>
      </c>
      <c r="D242" s="2982" t="s">
        <v>4625</v>
      </c>
      <c r="E242" s="23">
        <f t="shared" si="44"/>
        <v>1.02</v>
      </c>
      <c r="F242" s="2982" t="s">
        <v>3332</v>
      </c>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ca="1" si="51"/>
        <v>9960</v>
      </c>
      <c r="S242" s="360">
        <f t="shared" ca="1" si="52"/>
        <v>52</v>
      </c>
      <c r="T242" s="3019">
        <f>办公清单!F224</f>
        <v>2.74</v>
      </c>
    </row>
    <row r="243" spans="1:20">
      <c r="A243" s="3002" t="str">
        <f>'数据-基础表'!C232</f>
        <v>25层2525号</v>
      </c>
      <c r="B243" s="945">
        <f>'数据-基础表'!I232</f>
        <v>52.17</v>
      </c>
      <c r="C243" s="23">
        <f t="shared" si="43"/>
        <v>1.01</v>
      </c>
      <c r="D243" s="2982" t="s">
        <v>4625</v>
      </c>
      <c r="E243" s="23">
        <f t="shared" si="44"/>
        <v>1.02</v>
      </c>
      <c r="F243" s="2982" t="s">
        <v>3332</v>
      </c>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ca="1" si="51"/>
        <v>9960</v>
      </c>
      <c r="S243" s="360">
        <f t="shared" ca="1" si="52"/>
        <v>52</v>
      </c>
      <c r="T243" s="3019">
        <f>办公清单!F225</f>
        <v>2.74</v>
      </c>
    </row>
    <row r="244" spans="1:20">
      <c r="A244" s="3002" t="str">
        <f>'数据-基础表'!C233</f>
        <v>25层2526号</v>
      </c>
      <c r="B244" s="945">
        <f>'数据-基础表'!I233</f>
        <v>80.73</v>
      </c>
      <c r="C244" s="23">
        <f t="shared" si="43"/>
        <v>1</v>
      </c>
      <c r="D244" s="2982" t="s">
        <v>4625</v>
      </c>
      <c r="E244" s="23">
        <f t="shared" si="44"/>
        <v>1.02</v>
      </c>
      <c r="F244" s="2982" t="s">
        <v>3332</v>
      </c>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ca="1" si="51"/>
        <v>9861</v>
      </c>
      <c r="S244" s="360">
        <f t="shared" ca="1" si="52"/>
        <v>80</v>
      </c>
      <c r="T244" s="3019">
        <f>办公清单!F226</f>
        <v>4.24</v>
      </c>
    </row>
    <row r="245" spans="1:20">
      <c r="A245" s="3002" t="str">
        <f>'数据-基础表'!C234</f>
        <v>25层2527号</v>
      </c>
      <c r="B245" s="945">
        <f>'数据-基础表'!I234</f>
        <v>93.08</v>
      </c>
      <c r="C245" s="23">
        <f t="shared" si="43"/>
        <v>1</v>
      </c>
      <c r="D245" s="2982" t="s">
        <v>4625</v>
      </c>
      <c r="E245" s="23">
        <f t="shared" si="44"/>
        <v>1.02</v>
      </c>
      <c r="F245" s="2982" t="s">
        <v>3332</v>
      </c>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ca="1" si="51"/>
        <v>9861</v>
      </c>
      <c r="S245" s="360">
        <f t="shared" ca="1" si="52"/>
        <v>92</v>
      </c>
      <c r="T245" s="3019">
        <f>办公清单!F227</f>
        <v>4.8899999999999997</v>
      </c>
    </row>
    <row r="246" spans="1:20">
      <c r="A246" s="3002" t="str">
        <f>'数据-基础表'!C235</f>
        <v>25层2528号</v>
      </c>
      <c r="B246" s="945">
        <f>'数据-基础表'!I235</f>
        <v>93.08</v>
      </c>
      <c r="C246" s="23">
        <f t="shared" si="43"/>
        <v>1</v>
      </c>
      <c r="D246" s="2982" t="s">
        <v>4625</v>
      </c>
      <c r="E246" s="23">
        <f t="shared" si="44"/>
        <v>1.02</v>
      </c>
      <c r="F246" s="2982" t="s">
        <v>3332</v>
      </c>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ca="1" si="51"/>
        <v>9861</v>
      </c>
      <c r="S246" s="360">
        <f t="shared" ca="1" si="52"/>
        <v>92</v>
      </c>
      <c r="T246" s="3019">
        <f>办公清单!F228</f>
        <v>4.8899999999999997</v>
      </c>
    </row>
    <row r="247" spans="1:20">
      <c r="A247" s="3002" t="str">
        <f>'数据-基础表'!C236</f>
        <v>26层2601号</v>
      </c>
      <c r="B247" s="945">
        <f>'数据-基础表'!I236</f>
        <v>80.73</v>
      </c>
      <c r="C247" s="23">
        <f t="shared" si="43"/>
        <v>1</v>
      </c>
      <c r="D247" s="2982" t="s">
        <v>4625</v>
      </c>
      <c r="E247" s="23">
        <f t="shared" si="44"/>
        <v>1.02</v>
      </c>
      <c r="F247" s="2982" t="s">
        <v>3332</v>
      </c>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ca="1" si="51"/>
        <v>9861</v>
      </c>
      <c r="S247" s="360">
        <f t="shared" ca="1" si="52"/>
        <v>80</v>
      </c>
      <c r="T247" s="3019">
        <f>办公清单!F229</f>
        <v>4.24</v>
      </c>
    </row>
    <row r="248" spans="1:20">
      <c r="A248" s="3002" t="str">
        <f>'数据-基础表'!C237</f>
        <v>26层2602号</v>
      </c>
      <c r="B248" s="945">
        <f>'数据-基础表'!I237</f>
        <v>52.17</v>
      </c>
      <c r="C248" s="23">
        <f t="shared" si="43"/>
        <v>1.01</v>
      </c>
      <c r="D248" s="2982" t="s">
        <v>4625</v>
      </c>
      <c r="E248" s="23">
        <f t="shared" si="44"/>
        <v>1.02</v>
      </c>
      <c r="F248" s="2982" t="s">
        <v>3332</v>
      </c>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ca="1" si="51"/>
        <v>9960</v>
      </c>
      <c r="S248" s="360">
        <f t="shared" ca="1" si="52"/>
        <v>52</v>
      </c>
      <c r="T248" s="3019">
        <f>办公清单!F230</f>
        <v>2.74</v>
      </c>
    </row>
    <row r="249" spans="1:20">
      <c r="A249" s="3002" t="str">
        <f>'数据-基础表'!C238</f>
        <v>26层2603号</v>
      </c>
      <c r="B249" s="945">
        <f>'数据-基础表'!I238</f>
        <v>52.17</v>
      </c>
      <c r="C249" s="23">
        <f t="shared" si="43"/>
        <v>1.01</v>
      </c>
      <c r="D249" s="2982" t="s">
        <v>4625</v>
      </c>
      <c r="E249" s="23">
        <f t="shared" si="44"/>
        <v>1.02</v>
      </c>
      <c r="F249" s="2982" t="s">
        <v>3332</v>
      </c>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ca="1" si="51"/>
        <v>9960</v>
      </c>
      <c r="S249" s="360">
        <f t="shared" ca="1" si="52"/>
        <v>52</v>
      </c>
      <c r="T249" s="3019">
        <f>办公清单!F231</f>
        <v>2.74</v>
      </c>
    </row>
    <row r="250" spans="1:20">
      <c r="A250" s="3002" t="str">
        <f>'数据-基础表'!C239</f>
        <v>26层2604号</v>
      </c>
      <c r="B250" s="945">
        <f>'数据-基础表'!I239</f>
        <v>52.17</v>
      </c>
      <c r="C250" s="23">
        <f t="shared" si="43"/>
        <v>1.01</v>
      </c>
      <c r="D250" s="2982" t="s">
        <v>4625</v>
      </c>
      <c r="E250" s="23">
        <f t="shared" si="44"/>
        <v>1.02</v>
      </c>
      <c r="F250" s="2982" t="s">
        <v>3332</v>
      </c>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ca="1" si="51"/>
        <v>9960</v>
      </c>
      <c r="S250" s="360">
        <f t="shared" ca="1" si="52"/>
        <v>52</v>
      </c>
      <c r="T250" s="3019">
        <f>办公清单!F232</f>
        <v>2.74</v>
      </c>
    </row>
    <row r="251" spans="1:20">
      <c r="A251" s="3002" t="str">
        <f>'数据-基础表'!C240</f>
        <v>26层2605号</v>
      </c>
      <c r="B251" s="945">
        <f>'数据-基础表'!I240</f>
        <v>52.17</v>
      </c>
      <c r="C251" s="23">
        <f t="shared" si="43"/>
        <v>1.01</v>
      </c>
      <c r="D251" s="2982" t="s">
        <v>4625</v>
      </c>
      <c r="E251" s="23">
        <f t="shared" si="44"/>
        <v>1.02</v>
      </c>
      <c r="F251" s="2982" t="s">
        <v>3332</v>
      </c>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ca="1" si="51"/>
        <v>9960</v>
      </c>
      <c r="S251" s="360">
        <f t="shared" ca="1" si="52"/>
        <v>52</v>
      </c>
      <c r="T251" s="3019">
        <f>办公清单!F233</f>
        <v>2.74</v>
      </c>
    </row>
    <row r="252" spans="1:20">
      <c r="A252" s="3002" t="str">
        <f>'数据-基础表'!C241</f>
        <v>26层2606号</v>
      </c>
      <c r="B252" s="945">
        <f>'数据-基础表'!I241</f>
        <v>52.17</v>
      </c>
      <c r="C252" s="23">
        <f t="shared" si="43"/>
        <v>1.01</v>
      </c>
      <c r="D252" s="2982" t="s">
        <v>4625</v>
      </c>
      <c r="E252" s="23">
        <f t="shared" si="44"/>
        <v>1.02</v>
      </c>
      <c r="F252" s="2982" t="s">
        <v>3332</v>
      </c>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ca="1" si="51"/>
        <v>9960</v>
      </c>
      <c r="S252" s="360">
        <f t="shared" ca="1" si="52"/>
        <v>52</v>
      </c>
      <c r="T252" s="3019">
        <f>办公清单!F234</f>
        <v>2.74</v>
      </c>
    </row>
    <row r="253" spans="1:20">
      <c r="A253" s="3002" t="str">
        <f>'数据-基础表'!C242</f>
        <v>26层2607号</v>
      </c>
      <c r="B253" s="945">
        <f>'数据-基础表'!I242</f>
        <v>52.17</v>
      </c>
      <c r="C253" s="23">
        <f t="shared" si="43"/>
        <v>1.01</v>
      </c>
      <c r="D253" s="2982" t="s">
        <v>4625</v>
      </c>
      <c r="E253" s="23">
        <f t="shared" si="44"/>
        <v>1.02</v>
      </c>
      <c r="F253" s="2982" t="s">
        <v>3332</v>
      </c>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ca="1" si="51"/>
        <v>9960</v>
      </c>
      <c r="S253" s="360">
        <f t="shared" ca="1" si="52"/>
        <v>52</v>
      </c>
      <c r="T253" s="3019">
        <f>办公清单!F235</f>
        <v>2.74</v>
      </c>
    </row>
    <row r="254" spans="1:20">
      <c r="A254" s="3002" t="str">
        <f>'数据-基础表'!C243</f>
        <v>26层2608号</v>
      </c>
      <c r="B254" s="945">
        <f>'数据-基础表'!I243</f>
        <v>52.17</v>
      </c>
      <c r="C254" s="23">
        <f t="shared" si="43"/>
        <v>1.01</v>
      </c>
      <c r="D254" s="2982" t="s">
        <v>4625</v>
      </c>
      <c r="E254" s="23">
        <f t="shared" si="44"/>
        <v>1.02</v>
      </c>
      <c r="F254" s="2982" t="s">
        <v>3332</v>
      </c>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ca="1" si="51"/>
        <v>9960</v>
      </c>
      <c r="S254" s="360">
        <f t="shared" ca="1" si="52"/>
        <v>52</v>
      </c>
      <c r="T254" s="3019">
        <f>办公清单!F236</f>
        <v>2.74</v>
      </c>
    </row>
    <row r="255" spans="1:20">
      <c r="A255" s="3002" t="str">
        <f>'数据-基础表'!C244</f>
        <v>26层2609号</v>
      </c>
      <c r="B255" s="945">
        <f>'数据-基础表'!I244</f>
        <v>52.17</v>
      </c>
      <c r="C255" s="23">
        <f t="shared" si="43"/>
        <v>1.01</v>
      </c>
      <c r="D255" s="2982" t="s">
        <v>4625</v>
      </c>
      <c r="E255" s="23">
        <f t="shared" si="44"/>
        <v>1.02</v>
      </c>
      <c r="F255" s="2982" t="s">
        <v>3332</v>
      </c>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ca="1" si="51"/>
        <v>9960</v>
      </c>
      <c r="S255" s="360">
        <f t="shared" ca="1" si="52"/>
        <v>52</v>
      </c>
      <c r="T255" s="3019">
        <f>办公清单!F237</f>
        <v>2.74</v>
      </c>
    </row>
    <row r="256" spans="1:20">
      <c r="A256" s="3002" t="str">
        <f>'数据-基础表'!C245</f>
        <v>26层2610号</v>
      </c>
      <c r="B256" s="945">
        <f>'数据-基础表'!I245</f>
        <v>52.17</v>
      </c>
      <c r="C256" s="23">
        <f t="shared" si="43"/>
        <v>1.01</v>
      </c>
      <c r="D256" s="2982" t="s">
        <v>4625</v>
      </c>
      <c r="E256" s="23">
        <f t="shared" si="44"/>
        <v>1.02</v>
      </c>
      <c r="F256" s="2982" t="s">
        <v>3332</v>
      </c>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ca="1" si="51"/>
        <v>9960</v>
      </c>
      <c r="S256" s="360">
        <f t="shared" ca="1" si="52"/>
        <v>52</v>
      </c>
      <c r="T256" s="3019">
        <f>办公清单!F238</f>
        <v>2.74</v>
      </c>
    </row>
    <row r="257" spans="1:20">
      <c r="A257" s="3002" t="str">
        <f>'数据-基础表'!C246</f>
        <v>26层2611号</v>
      </c>
      <c r="B257" s="945">
        <f>'数据-基础表'!I246</f>
        <v>52.17</v>
      </c>
      <c r="C257" s="23">
        <f t="shared" si="43"/>
        <v>1.01</v>
      </c>
      <c r="D257" s="2982" t="s">
        <v>4625</v>
      </c>
      <c r="E257" s="23">
        <f t="shared" si="44"/>
        <v>1.02</v>
      </c>
      <c r="F257" s="2982" t="s">
        <v>3332</v>
      </c>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ca="1" si="51"/>
        <v>9960</v>
      </c>
      <c r="S257" s="360">
        <f t="shared" ca="1" si="52"/>
        <v>52</v>
      </c>
      <c r="T257" s="3019">
        <f>办公清单!F239</f>
        <v>2.74</v>
      </c>
    </row>
    <row r="258" spans="1:20">
      <c r="A258" s="3002" t="str">
        <f>'数据-基础表'!C247</f>
        <v>26层2612号</v>
      </c>
      <c r="B258" s="945">
        <f>'数据-基础表'!I247</f>
        <v>80.73</v>
      </c>
      <c r="C258" s="23">
        <f t="shared" si="43"/>
        <v>1</v>
      </c>
      <c r="D258" s="2982" t="s">
        <v>4625</v>
      </c>
      <c r="E258" s="23">
        <f t="shared" si="44"/>
        <v>1.02</v>
      </c>
      <c r="F258" s="2982" t="s">
        <v>3332</v>
      </c>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ca="1" si="51"/>
        <v>9861</v>
      </c>
      <c r="S258" s="360">
        <f t="shared" ca="1" si="52"/>
        <v>80</v>
      </c>
      <c r="T258" s="3019">
        <f>办公清单!F240</f>
        <v>4.24</v>
      </c>
    </row>
    <row r="259" spans="1:20">
      <c r="A259" s="3002" t="str">
        <f>'数据-基础表'!C248</f>
        <v>26层2613号</v>
      </c>
      <c r="B259" s="945">
        <f>'数据-基础表'!I248</f>
        <v>67.36</v>
      </c>
      <c r="C259" s="23">
        <f t="shared" si="43"/>
        <v>1</v>
      </c>
      <c r="D259" s="2982" t="s">
        <v>4625</v>
      </c>
      <c r="E259" s="23">
        <f t="shared" si="44"/>
        <v>1.02</v>
      </c>
      <c r="F259" s="2982" t="s">
        <v>3332</v>
      </c>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ca="1" si="51"/>
        <v>9861</v>
      </c>
      <c r="S259" s="360">
        <f t="shared" ca="1" si="52"/>
        <v>66</v>
      </c>
      <c r="T259" s="3019">
        <f>办公清单!F241</f>
        <v>3.54</v>
      </c>
    </row>
    <row r="260" spans="1:20">
      <c r="A260" s="3002" t="str">
        <f>'数据-基础表'!C249</f>
        <v>26层2614号</v>
      </c>
      <c r="B260" s="945">
        <f>'数据-基础表'!I249</f>
        <v>67.36</v>
      </c>
      <c r="C260" s="23">
        <f t="shared" si="43"/>
        <v>1</v>
      </c>
      <c r="D260" s="2982" t="s">
        <v>4625</v>
      </c>
      <c r="E260" s="23">
        <f t="shared" si="44"/>
        <v>1.02</v>
      </c>
      <c r="F260" s="2982" t="s">
        <v>3332</v>
      </c>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ca="1" si="51"/>
        <v>9861</v>
      </c>
      <c r="S260" s="360">
        <f t="shared" ca="1" si="52"/>
        <v>66</v>
      </c>
      <c r="T260" s="3019">
        <f>办公清单!F242</f>
        <v>3.54</v>
      </c>
    </row>
    <row r="261" spans="1:20">
      <c r="A261" s="3002" t="str">
        <f>'数据-基础表'!C250</f>
        <v>26层2615号</v>
      </c>
      <c r="B261" s="945">
        <f>'数据-基础表'!I250</f>
        <v>80.73</v>
      </c>
      <c r="C261" s="23">
        <f t="shared" si="43"/>
        <v>1</v>
      </c>
      <c r="D261" s="2982" t="s">
        <v>4625</v>
      </c>
      <c r="E261" s="23">
        <f t="shared" si="44"/>
        <v>1.02</v>
      </c>
      <c r="F261" s="2982" t="s">
        <v>3332</v>
      </c>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ca="1" si="51"/>
        <v>9861</v>
      </c>
      <c r="S261" s="360">
        <f t="shared" ca="1" si="52"/>
        <v>80</v>
      </c>
      <c r="T261" s="3019">
        <f>办公清单!F243</f>
        <v>4.24</v>
      </c>
    </row>
    <row r="262" spans="1:20">
      <c r="A262" s="3002" t="str">
        <f>'数据-基础表'!C251</f>
        <v>26层2616号</v>
      </c>
      <c r="B262" s="945">
        <f>'数据-基础表'!I251</f>
        <v>52.17</v>
      </c>
      <c r="C262" s="23">
        <f t="shared" si="43"/>
        <v>1.01</v>
      </c>
      <c r="D262" s="2982" t="s">
        <v>4625</v>
      </c>
      <c r="E262" s="23">
        <f t="shared" si="44"/>
        <v>1.02</v>
      </c>
      <c r="F262" s="2982" t="s">
        <v>3332</v>
      </c>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ca="1" si="51"/>
        <v>9960</v>
      </c>
      <c r="S262" s="360">
        <f t="shared" ca="1" si="52"/>
        <v>52</v>
      </c>
      <c r="T262" s="3019">
        <f>办公清单!F244</f>
        <v>2.74</v>
      </c>
    </row>
    <row r="263" spans="1:20">
      <c r="A263" s="3002" t="str">
        <f>'数据-基础表'!C252</f>
        <v>26层2617号</v>
      </c>
      <c r="B263" s="945">
        <f>'数据-基础表'!I252</f>
        <v>52.17</v>
      </c>
      <c r="C263" s="23">
        <f t="shared" si="43"/>
        <v>1.01</v>
      </c>
      <c r="D263" s="2982" t="s">
        <v>4625</v>
      </c>
      <c r="E263" s="23">
        <f t="shared" si="44"/>
        <v>1.02</v>
      </c>
      <c r="F263" s="2982" t="s">
        <v>3332</v>
      </c>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ca="1" si="51"/>
        <v>9960</v>
      </c>
      <c r="S263" s="360">
        <f t="shared" ca="1" si="52"/>
        <v>52</v>
      </c>
      <c r="T263" s="3019">
        <f>办公清单!F245</f>
        <v>2.74</v>
      </c>
    </row>
    <row r="264" spans="1:20">
      <c r="A264" s="3002" t="str">
        <f>'数据-基础表'!C253</f>
        <v>26层2618号</v>
      </c>
      <c r="B264" s="945">
        <f>'数据-基础表'!I253</f>
        <v>52.17</v>
      </c>
      <c r="C264" s="23">
        <f t="shared" si="43"/>
        <v>1.01</v>
      </c>
      <c r="D264" s="2982" t="s">
        <v>4625</v>
      </c>
      <c r="E264" s="23">
        <f t="shared" si="44"/>
        <v>1.02</v>
      </c>
      <c r="F264" s="2982" t="s">
        <v>3332</v>
      </c>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ca="1" si="51"/>
        <v>9960</v>
      </c>
      <c r="S264" s="360">
        <f t="shared" ca="1" si="52"/>
        <v>52</v>
      </c>
      <c r="T264" s="3019">
        <f>办公清单!F246</f>
        <v>2.74</v>
      </c>
    </row>
    <row r="265" spans="1:20">
      <c r="A265" s="3002" t="str">
        <f>'数据-基础表'!C254</f>
        <v>26层2619号</v>
      </c>
      <c r="B265" s="945">
        <f>'数据-基础表'!I254</f>
        <v>52.17</v>
      </c>
      <c r="C265" s="23">
        <f t="shared" si="43"/>
        <v>1.01</v>
      </c>
      <c r="D265" s="2982" t="s">
        <v>4625</v>
      </c>
      <c r="E265" s="23">
        <f t="shared" si="44"/>
        <v>1.02</v>
      </c>
      <c r="F265" s="2982" t="s">
        <v>3332</v>
      </c>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ca="1" si="51"/>
        <v>9960</v>
      </c>
      <c r="S265" s="360">
        <f t="shared" ca="1" si="52"/>
        <v>52</v>
      </c>
      <c r="T265" s="3019">
        <f>办公清单!F247</f>
        <v>2.74</v>
      </c>
    </row>
    <row r="266" spans="1:20">
      <c r="A266" s="3002" t="str">
        <f>'数据-基础表'!C255</f>
        <v>26层2620号</v>
      </c>
      <c r="B266" s="945">
        <f>'数据-基础表'!I255</f>
        <v>52.17</v>
      </c>
      <c r="C266" s="23">
        <f t="shared" si="43"/>
        <v>1.01</v>
      </c>
      <c r="D266" s="2982" t="s">
        <v>4625</v>
      </c>
      <c r="E266" s="23">
        <f t="shared" si="44"/>
        <v>1.02</v>
      </c>
      <c r="F266" s="2982" t="s">
        <v>3332</v>
      </c>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ca="1" si="51"/>
        <v>9960</v>
      </c>
      <c r="S266" s="360">
        <f t="shared" ca="1" si="52"/>
        <v>52</v>
      </c>
      <c r="T266" s="3019">
        <f>办公清单!F248</f>
        <v>2.74</v>
      </c>
    </row>
    <row r="267" spans="1:20">
      <c r="A267" s="3002" t="str">
        <f>'数据-基础表'!C256</f>
        <v>26层2621号</v>
      </c>
      <c r="B267" s="945">
        <f>'数据-基础表'!I256</f>
        <v>52.17</v>
      </c>
      <c r="C267" s="23">
        <f t="shared" si="43"/>
        <v>1.01</v>
      </c>
      <c r="D267" s="2982" t="s">
        <v>4625</v>
      </c>
      <c r="E267" s="23">
        <f t="shared" si="44"/>
        <v>1.02</v>
      </c>
      <c r="F267" s="2982" t="s">
        <v>3332</v>
      </c>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ca="1" si="51"/>
        <v>9960</v>
      </c>
      <c r="S267" s="360">
        <f t="shared" ca="1" si="52"/>
        <v>52</v>
      </c>
      <c r="T267" s="3019">
        <f>办公清单!F249</f>
        <v>2.74</v>
      </c>
    </row>
    <row r="268" spans="1:20">
      <c r="A268" s="3002" t="str">
        <f>'数据-基础表'!C257</f>
        <v>26层2622号</v>
      </c>
      <c r="B268" s="945">
        <f>'数据-基础表'!I257</f>
        <v>52.17</v>
      </c>
      <c r="C268" s="23">
        <f t="shared" si="43"/>
        <v>1.01</v>
      </c>
      <c r="D268" s="2982" t="s">
        <v>4625</v>
      </c>
      <c r="E268" s="23">
        <f t="shared" si="44"/>
        <v>1.02</v>
      </c>
      <c r="F268" s="2982" t="s">
        <v>3332</v>
      </c>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ca="1" si="51"/>
        <v>9960</v>
      </c>
      <c r="S268" s="360">
        <f t="shared" ca="1" si="52"/>
        <v>52</v>
      </c>
      <c r="T268" s="3019">
        <f>办公清单!F250</f>
        <v>2.74</v>
      </c>
    </row>
    <row r="269" spans="1:20">
      <c r="A269" s="3002" t="str">
        <f>'数据-基础表'!C258</f>
        <v>26层2623号</v>
      </c>
      <c r="B269" s="945">
        <f>'数据-基础表'!I258</f>
        <v>52.17</v>
      </c>
      <c r="C269" s="23">
        <f t="shared" si="43"/>
        <v>1.01</v>
      </c>
      <c r="D269" s="2982" t="s">
        <v>4625</v>
      </c>
      <c r="E269" s="23">
        <f t="shared" si="44"/>
        <v>1.02</v>
      </c>
      <c r="F269" s="2982" t="s">
        <v>3332</v>
      </c>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ca="1" si="51"/>
        <v>9960</v>
      </c>
      <c r="S269" s="360">
        <f t="shared" ca="1" si="52"/>
        <v>52</v>
      </c>
      <c r="T269" s="3019">
        <f>办公清单!F251</f>
        <v>2.74</v>
      </c>
    </row>
    <row r="270" spans="1:20">
      <c r="A270" s="3002" t="str">
        <f>'数据-基础表'!C259</f>
        <v>26层2624号</v>
      </c>
      <c r="B270" s="945">
        <f>'数据-基础表'!I259</f>
        <v>52.17</v>
      </c>
      <c r="C270" s="23">
        <f t="shared" si="43"/>
        <v>1.01</v>
      </c>
      <c r="D270" s="2982" t="s">
        <v>4625</v>
      </c>
      <c r="E270" s="23">
        <f t="shared" si="44"/>
        <v>1.02</v>
      </c>
      <c r="F270" s="2982" t="s">
        <v>3332</v>
      </c>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ca="1" si="51"/>
        <v>9960</v>
      </c>
      <c r="S270" s="360">
        <f t="shared" ca="1" si="52"/>
        <v>52</v>
      </c>
      <c r="T270" s="3019">
        <f>办公清单!F252</f>
        <v>2.74</v>
      </c>
    </row>
    <row r="271" spans="1:20">
      <c r="A271" s="3002" t="str">
        <f>'数据-基础表'!C260</f>
        <v>26层2625号</v>
      </c>
      <c r="B271" s="945">
        <f>'数据-基础表'!I260</f>
        <v>52.17</v>
      </c>
      <c r="C271" s="23">
        <f t="shared" si="43"/>
        <v>1.01</v>
      </c>
      <c r="D271" s="2982" t="s">
        <v>4625</v>
      </c>
      <c r="E271" s="23">
        <f t="shared" si="44"/>
        <v>1.02</v>
      </c>
      <c r="F271" s="2982" t="s">
        <v>3332</v>
      </c>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ca="1" si="51"/>
        <v>9960</v>
      </c>
      <c r="S271" s="360">
        <f t="shared" ca="1" si="52"/>
        <v>52</v>
      </c>
      <c r="T271" s="3019">
        <f>办公清单!F253</f>
        <v>2.74</v>
      </c>
    </row>
    <row r="272" spans="1:20">
      <c r="A272" s="3002" t="str">
        <f>'数据-基础表'!C261</f>
        <v>26层2626号</v>
      </c>
      <c r="B272" s="945">
        <f>'数据-基础表'!I261</f>
        <v>80.73</v>
      </c>
      <c r="C272" s="23">
        <f t="shared" si="43"/>
        <v>1</v>
      </c>
      <c r="D272" s="2982" t="s">
        <v>4625</v>
      </c>
      <c r="E272" s="23">
        <f t="shared" si="44"/>
        <v>1.02</v>
      </c>
      <c r="F272" s="2982" t="s">
        <v>3332</v>
      </c>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ca="1" si="51"/>
        <v>9861</v>
      </c>
      <c r="S272" s="360">
        <f t="shared" ca="1" si="52"/>
        <v>80</v>
      </c>
      <c r="T272" s="3019">
        <f>办公清单!F254</f>
        <v>4.24</v>
      </c>
    </row>
    <row r="273" spans="1:20">
      <c r="A273" s="3002" t="str">
        <f>'数据-基础表'!C262</f>
        <v>26层2627号</v>
      </c>
      <c r="B273" s="945">
        <f>'数据-基础表'!I262</f>
        <v>93.08</v>
      </c>
      <c r="C273" s="23">
        <f t="shared" si="43"/>
        <v>1</v>
      </c>
      <c r="D273" s="2982" t="s">
        <v>4625</v>
      </c>
      <c r="E273" s="23">
        <f t="shared" si="44"/>
        <v>1.02</v>
      </c>
      <c r="F273" s="2982" t="s">
        <v>3332</v>
      </c>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ca="1" si="51"/>
        <v>9861</v>
      </c>
      <c r="S273" s="360">
        <f t="shared" ca="1" si="52"/>
        <v>92</v>
      </c>
      <c r="T273" s="3019">
        <f>办公清单!F255</f>
        <v>4.8899999999999997</v>
      </c>
    </row>
    <row r="274" spans="1:20">
      <c r="A274" s="3002" t="str">
        <f>'数据-基础表'!C263</f>
        <v>26层2628号</v>
      </c>
      <c r="B274" s="945">
        <f>'数据-基础表'!I263</f>
        <v>93.08</v>
      </c>
      <c r="C274" s="23">
        <f t="shared" si="43"/>
        <v>1</v>
      </c>
      <c r="D274" s="2982" t="s">
        <v>4625</v>
      </c>
      <c r="E274" s="23">
        <f t="shared" si="44"/>
        <v>1.02</v>
      </c>
      <c r="F274" s="2982" t="s">
        <v>3332</v>
      </c>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ca="1" si="51"/>
        <v>9861</v>
      </c>
      <c r="S274" s="360">
        <f t="shared" ca="1" si="52"/>
        <v>92</v>
      </c>
      <c r="T274" s="3019">
        <f>办公清单!F256</f>
        <v>4.8899999999999997</v>
      </c>
    </row>
    <row r="275" spans="1:20">
      <c r="A275" s="3002" t="str">
        <f>'数据-基础表'!C264</f>
        <v>27层2701号</v>
      </c>
      <c r="B275" s="945">
        <f>'数据-基础表'!I264</f>
        <v>80.73</v>
      </c>
      <c r="C275" s="23">
        <f t="shared" si="43"/>
        <v>1</v>
      </c>
      <c r="D275" s="2982" t="s">
        <v>4625</v>
      </c>
      <c r="E275" s="23">
        <f t="shared" si="44"/>
        <v>1.02</v>
      </c>
      <c r="F275" s="2982" t="s">
        <v>3332</v>
      </c>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ca="1" si="51"/>
        <v>9861</v>
      </c>
      <c r="S275" s="360">
        <f t="shared" ca="1" si="52"/>
        <v>80</v>
      </c>
      <c r="T275" s="3019">
        <f>办公清单!F257</f>
        <v>4.24</v>
      </c>
    </row>
    <row r="276" spans="1:20">
      <c r="A276" s="3002" t="str">
        <f>'数据-基础表'!C265</f>
        <v>27层2702号</v>
      </c>
      <c r="B276" s="945">
        <f>'数据-基础表'!I265</f>
        <v>52.17</v>
      </c>
      <c r="C276" s="23">
        <f t="shared" si="43"/>
        <v>1.01</v>
      </c>
      <c r="D276" s="2982" t="s">
        <v>4625</v>
      </c>
      <c r="E276" s="23">
        <f t="shared" si="44"/>
        <v>1.02</v>
      </c>
      <c r="F276" s="2982" t="s">
        <v>3332</v>
      </c>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ca="1" si="51"/>
        <v>9960</v>
      </c>
      <c r="S276" s="360">
        <f t="shared" ca="1" si="52"/>
        <v>52</v>
      </c>
      <c r="T276" s="3019">
        <f>办公清单!F258</f>
        <v>2.74</v>
      </c>
    </row>
    <row r="277" spans="1:20">
      <c r="A277" s="3002" t="str">
        <f>'数据-基础表'!C266</f>
        <v>27层2703号</v>
      </c>
      <c r="B277" s="945">
        <f>'数据-基础表'!I266</f>
        <v>52.17</v>
      </c>
      <c r="C277" s="23">
        <f t="shared" si="43"/>
        <v>1.01</v>
      </c>
      <c r="D277" s="2982" t="s">
        <v>4625</v>
      </c>
      <c r="E277" s="23">
        <f t="shared" si="44"/>
        <v>1.02</v>
      </c>
      <c r="F277" s="2982" t="s">
        <v>3332</v>
      </c>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ca="1" si="51"/>
        <v>9960</v>
      </c>
      <c r="S277" s="360">
        <f t="shared" ca="1" si="52"/>
        <v>52</v>
      </c>
      <c r="T277" s="3019">
        <f>办公清单!F259</f>
        <v>2.74</v>
      </c>
    </row>
    <row r="278" spans="1:20">
      <c r="A278" s="3002" t="str">
        <f>'数据-基础表'!C267</f>
        <v>27层2704号</v>
      </c>
      <c r="B278" s="945">
        <f>'数据-基础表'!I267</f>
        <v>52.17</v>
      </c>
      <c r="C278" s="23">
        <f t="shared" si="43"/>
        <v>1.01</v>
      </c>
      <c r="D278" s="2982" t="s">
        <v>4625</v>
      </c>
      <c r="E278" s="23">
        <f t="shared" si="44"/>
        <v>1.02</v>
      </c>
      <c r="F278" s="2982" t="s">
        <v>3332</v>
      </c>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ca="1" si="51"/>
        <v>9960</v>
      </c>
      <c r="S278" s="360">
        <f t="shared" ca="1" si="52"/>
        <v>52</v>
      </c>
      <c r="T278" s="3019">
        <f>办公清单!F260</f>
        <v>2.74</v>
      </c>
    </row>
    <row r="279" spans="1:20">
      <c r="A279" s="3002" t="str">
        <f>'数据-基础表'!C268</f>
        <v>27层2705号</v>
      </c>
      <c r="B279" s="945">
        <f>'数据-基础表'!I268</f>
        <v>52.17</v>
      </c>
      <c r="C279" s="23">
        <f t="shared" si="43"/>
        <v>1.01</v>
      </c>
      <c r="D279" s="2982" t="s">
        <v>4625</v>
      </c>
      <c r="E279" s="23">
        <f t="shared" si="44"/>
        <v>1.02</v>
      </c>
      <c r="F279" s="2982" t="s">
        <v>3332</v>
      </c>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ca="1" si="51"/>
        <v>9960</v>
      </c>
      <c r="S279" s="360">
        <f t="shared" ca="1" si="52"/>
        <v>52</v>
      </c>
      <c r="T279" s="3019">
        <f>办公清单!F261</f>
        <v>2.74</v>
      </c>
    </row>
    <row r="280" spans="1:20">
      <c r="A280" s="3002" t="str">
        <f>'数据-基础表'!C269</f>
        <v>27层2706号</v>
      </c>
      <c r="B280" s="945">
        <f>'数据-基础表'!I269</f>
        <v>52.17</v>
      </c>
      <c r="C280" s="23">
        <f t="shared" si="43"/>
        <v>1.01</v>
      </c>
      <c r="D280" s="2982" t="s">
        <v>4625</v>
      </c>
      <c r="E280" s="23">
        <f t="shared" si="44"/>
        <v>1.02</v>
      </c>
      <c r="F280" s="2982" t="s">
        <v>3332</v>
      </c>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ca="1" si="51"/>
        <v>9960</v>
      </c>
      <c r="S280" s="360">
        <f t="shared" ca="1" si="52"/>
        <v>52</v>
      </c>
      <c r="T280" s="3019">
        <f>办公清单!F262</f>
        <v>2.74</v>
      </c>
    </row>
    <row r="281" spans="1:20">
      <c r="A281" s="3002" t="str">
        <f>'数据-基础表'!C270</f>
        <v>27层2707号</v>
      </c>
      <c r="B281" s="945">
        <f>'数据-基础表'!I270</f>
        <v>52.17</v>
      </c>
      <c r="C281" s="23">
        <f t="shared" si="43"/>
        <v>1.01</v>
      </c>
      <c r="D281" s="2982" t="s">
        <v>4625</v>
      </c>
      <c r="E281" s="23">
        <f t="shared" si="44"/>
        <v>1.02</v>
      </c>
      <c r="F281" s="2982" t="s">
        <v>3332</v>
      </c>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ca="1" si="51"/>
        <v>9960</v>
      </c>
      <c r="S281" s="360">
        <f t="shared" ca="1" si="52"/>
        <v>52</v>
      </c>
      <c r="T281" s="3019">
        <f>办公清单!F263</f>
        <v>2.74</v>
      </c>
    </row>
    <row r="282" spans="1:20">
      <c r="A282" s="3002" t="str">
        <f>'数据-基础表'!C271</f>
        <v>27层2708号</v>
      </c>
      <c r="B282" s="945">
        <f>'数据-基础表'!I271</f>
        <v>52.17</v>
      </c>
      <c r="C282" s="23">
        <f t="shared" ref="C282:C345" si="53">IF(B282="",1,(LOOKUP(B282,$3:$3,$4:$4)-LOOKUP($B$24,$3:$3,$4:$4)+100)/100)</f>
        <v>1.01</v>
      </c>
      <c r="D282" s="2982" t="s">
        <v>4625</v>
      </c>
      <c r="E282" s="23">
        <f t="shared" ref="E282:E345" si="54">(SUMIF($5:$5,D282,$6:$6)-SUMIF($5:$5,$D$24,$6:$6)+100)/100</f>
        <v>1.02</v>
      </c>
      <c r="F282" s="2982" t="s">
        <v>3332</v>
      </c>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ca="1" si="61">IF(B282="",0,ROUND($R$24*C282*E282*G282*I282*K282*M282*O282*Q282,0))</f>
        <v>9960</v>
      </c>
      <c r="S282" s="360">
        <f t="shared" ca="1" si="52"/>
        <v>52</v>
      </c>
      <c r="T282" s="3019">
        <f>办公清单!F264</f>
        <v>2.74</v>
      </c>
    </row>
    <row r="283" spans="1:20">
      <c r="A283" s="3002" t="str">
        <f>'数据-基础表'!C272</f>
        <v>27层2709号</v>
      </c>
      <c r="B283" s="945">
        <f>'数据-基础表'!I272</f>
        <v>52.17</v>
      </c>
      <c r="C283" s="23">
        <f t="shared" si="53"/>
        <v>1.01</v>
      </c>
      <c r="D283" s="2982" t="s">
        <v>4625</v>
      </c>
      <c r="E283" s="23">
        <f t="shared" si="54"/>
        <v>1.02</v>
      </c>
      <c r="F283" s="2982" t="s">
        <v>3332</v>
      </c>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ca="1" si="61"/>
        <v>9960</v>
      </c>
      <c r="S283" s="360">
        <f t="shared" ca="1" si="52"/>
        <v>52</v>
      </c>
      <c r="T283" s="3019">
        <f>办公清单!F265</f>
        <v>2.74</v>
      </c>
    </row>
    <row r="284" spans="1:20">
      <c r="A284" s="3002" t="str">
        <f>'数据-基础表'!C273</f>
        <v>27层2710号</v>
      </c>
      <c r="B284" s="945">
        <f>'数据-基础表'!I273</f>
        <v>52.17</v>
      </c>
      <c r="C284" s="23">
        <f t="shared" si="53"/>
        <v>1.01</v>
      </c>
      <c r="D284" s="2982" t="s">
        <v>4625</v>
      </c>
      <c r="E284" s="23">
        <f t="shared" si="54"/>
        <v>1.02</v>
      </c>
      <c r="F284" s="2982" t="s">
        <v>3332</v>
      </c>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ca="1" si="61"/>
        <v>9960</v>
      </c>
      <c r="S284" s="360">
        <f t="shared" ca="1" si="52"/>
        <v>52</v>
      </c>
      <c r="T284" s="3019">
        <f>办公清单!F266</f>
        <v>2.74</v>
      </c>
    </row>
    <row r="285" spans="1:20">
      <c r="A285" s="3002" t="str">
        <f>'数据-基础表'!C274</f>
        <v>27层2711号</v>
      </c>
      <c r="B285" s="945">
        <f>'数据-基础表'!I274</f>
        <v>52.17</v>
      </c>
      <c r="C285" s="23">
        <f t="shared" si="53"/>
        <v>1.01</v>
      </c>
      <c r="D285" s="2982" t="s">
        <v>4625</v>
      </c>
      <c r="E285" s="23">
        <f t="shared" si="54"/>
        <v>1.02</v>
      </c>
      <c r="F285" s="2982" t="s">
        <v>3332</v>
      </c>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ca="1" si="61"/>
        <v>9960</v>
      </c>
      <c r="S285" s="360">
        <f t="shared" ca="1" si="52"/>
        <v>52</v>
      </c>
      <c r="T285" s="3019">
        <f>办公清单!F267</f>
        <v>2.74</v>
      </c>
    </row>
    <row r="286" spans="1:20">
      <c r="A286" s="3002" t="str">
        <f>'数据-基础表'!C275</f>
        <v>27层2712号</v>
      </c>
      <c r="B286" s="945">
        <f>'数据-基础表'!I275</f>
        <v>80.73</v>
      </c>
      <c r="C286" s="23">
        <f t="shared" si="53"/>
        <v>1</v>
      </c>
      <c r="D286" s="2982" t="s">
        <v>4625</v>
      </c>
      <c r="E286" s="23">
        <f t="shared" si="54"/>
        <v>1.02</v>
      </c>
      <c r="F286" s="2982" t="s">
        <v>3332</v>
      </c>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ca="1" si="61"/>
        <v>9861</v>
      </c>
      <c r="S286" s="360">
        <f t="shared" ca="1" si="52"/>
        <v>80</v>
      </c>
      <c r="T286" s="3019">
        <f>办公清单!F268</f>
        <v>4.24</v>
      </c>
    </row>
    <row r="287" spans="1:20">
      <c r="A287" s="3002" t="str">
        <f>'数据-基础表'!C276</f>
        <v>27层2713号</v>
      </c>
      <c r="B287" s="945">
        <f>'数据-基础表'!I276</f>
        <v>67.36</v>
      </c>
      <c r="C287" s="23">
        <f t="shared" si="53"/>
        <v>1</v>
      </c>
      <c r="D287" s="2982" t="s">
        <v>4625</v>
      </c>
      <c r="E287" s="23">
        <f t="shared" si="54"/>
        <v>1.02</v>
      </c>
      <c r="F287" s="2982" t="s">
        <v>3332</v>
      </c>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ca="1" si="61"/>
        <v>9861</v>
      </c>
      <c r="S287" s="360">
        <f t="shared" ref="S287:S320" ca="1" si="62">ROUND(R287*B287/10000,0)</f>
        <v>66</v>
      </c>
      <c r="T287" s="3019">
        <f>办公清单!F269</f>
        <v>3.54</v>
      </c>
    </row>
    <row r="288" spans="1:20">
      <c r="A288" s="3002" t="str">
        <f>'数据-基础表'!C277</f>
        <v>27层2714号</v>
      </c>
      <c r="B288" s="945">
        <f>'数据-基础表'!I277</f>
        <v>67.36</v>
      </c>
      <c r="C288" s="23">
        <f t="shared" si="53"/>
        <v>1</v>
      </c>
      <c r="D288" s="2982" t="s">
        <v>4625</v>
      </c>
      <c r="E288" s="23">
        <f t="shared" si="54"/>
        <v>1.02</v>
      </c>
      <c r="F288" s="2982" t="s">
        <v>3332</v>
      </c>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ca="1" si="61"/>
        <v>9861</v>
      </c>
      <c r="S288" s="360">
        <f t="shared" ca="1" si="62"/>
        <v>66</v>
      </c>
      <c r="T288" s="3019">
        <f>办公清单!F270</f>
        <v>3.54</v>
      </c>
    </row>
    <row r="289" spans="1:20">
      <c r="A289" s="3002" t="str">
        <f>'数据-基础表'!C278</f>
        <v>27层2715号</v>
      </c>
      <c r="B289" s="945">
        <f>'数据-基础表'!I278</f>
        <v>80.73</v>
      </c>
      <c r="C289" s="23">
        <f t="shared" si="53"/>
        <v>1</v>
      </c>
      <c r="D289" s="2982" t="s">
        <v>4625</v>
      </c>
      <c r="E289" s="23">
        <f t="shared" si="54"/>
        <v>1.02</v>
      </c>
      <c r="F289" s="2982" t="s">
        <v>3332</v>
      </c>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ca="1" si="61"/>
        <v>9861</v>
      </c>
      <c r="S289" s="360">
        <f t="shared" ca="1" si="62"/>
        <v>80</v>
      </c>
      <c r="T289" s="3019">
        <f>办公清单!F271</f>
        <v>4.24</v>
      </c>
    </row>
    <row r="290" spans="1:20">
      <c r="A290" s="3002" t="str">
        <f>'数据-基础表'!C279</f>
        <v>27层2716号</v>
      </c>
      <c r="B290" s="945">
        <f>'数据-基础表'!I279</f>
        <v>52.17</v>
      </c>
      <c r="C290" s="23">
        <f t="shared" si="53"/>
        <v>1.01</v>
      </c>
      <c r="D290" s="2982" t="s">
        <v>4625</v>
      </c>
      <c r="E290" s="23">
        <f t="shared" si="54"/>
        <v>1.02</v>
      </c>
      <c r="F290" s="2982" t="s">
        <v>3332</v>
      </c>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ca="1" si="61"/>
        <v>9960</v>
      </c>
      <c r="S290" s="360">
        <f t="shared" ca="1" si="62"/>
        <v>52</v>
      </c>
      <c r="T290" s="3019">
        <f>办公清单!F272</f>
        <v>2.74</v>
      </c>
    </row>
    <row r="291" spans="1:20">
      <c r="A291" s="3002" t="str">
        <f>'数据-基础表'!C280</f>
        <v>27层2717号</v>
      </c>
      <c r="B291" s="945">
        <f>'数据-基础表'!I280</f>
        <v>52.17</v>
      </c>
      <c r="C291" s="23">
        <f t="shared" si="53"/>
        <v>1.01</v>
      </c>
      <c r="D291" s="2982" t="s">
        <v>4625</v>
      </c>
      <c r="E291" s="23">
        <f t="shared" si="54"/>
        <v>1.02</v>
      </c>
      <c r="F291" s="2982" t="s">
        <v>3332</v>
      </c>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ca="1" si="61"/>
        <v>9960</v>
      </c>
      <c r="S291" s="360">
        <f t="shared" ca="1" si="62"/>
        <v>52</v>
      </c>
      <c r="T291" s="3019">
        <f>办公清单!F273</f>
        <v>2.74</v>
      </c>
    </row>
    <row r="292" spans="1:20">
      <c r="A292" s="3002" t="str">
        <f>'数据-基础表'!C281</f>
        <v>27层2718号</v>
      </c>
      <c r="B292" s="945">
        <f>'数据-基础表'!I281</f>
        <v>52.17</v>
      </c>
      <c r="C292" s="23">
        <f t="shared" si="53"/>
        <v>1.01</v>
      </c>
      <c r="D292" s="2982" t="s">
        <v>4625</v>
      </c>
      <c r="E292" s="23">
        <f t="shared" si="54"/>
        <v>1.02</v>
      </c>
      <c r="F292" s="2982" t="s">
        <v>3332</v>
      </c>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ca="1" si="61"/>
        <v>9960</v>
      </c>
      <c r="S292" s="360">
        <f t="shared" ca="1" si="62"/>
        <v>52</v>
      </c>
      <c r="T292" s="3019">
        <f>办公清单!F274</f>
        <v>2.74</v>
      </c>
    </row>
    <row r="293" spans="1:20">
      <c r="A293" s="3002" t="str">
        <f>'数据-基础表'!C282</f>
        <v>27层2719号</v>
      </c>
      <c r="B293" s="945">
        <f>'数据-基础表'!I282</f>
        <v>52.17</v>
      </c>
      <c r="C293" s="23">
        <f t="shared" si="53"/>
        <v>1.01</v>
      </c>
      <c r="D293" s="2982" t="s">
        <v>4625</v>
      </c>
      <c r="E293" s="23">
        <f t="shared" si="54"/>
        <v>1.02</v>
      </c>
      <c r="F293" s="2982" t="s">
        <v>3332</v>
      </c>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ca="1" si="61"/>
        <v>9960</v>
      </c>
      <c r="S293" s="360">
        <f t="shared" ca="1" si="62"/>
        <v>52</v>
      </c>
      <c r="T293" s="3019">
        <f>办公清单!F275</f>
        <v>2.74</v>
      </c>
    </row>
    <row r="294" spans="1:20">
      <c r="A294" s="3002" t="str">
        <f>'数据-基础表'!C283</f>
        <v>27层2720号</v>
      </c>
      <c r="B294" s="945">
        <f>'数据-基础表'!I283</f>
        <v>52.17</v>
      </c>
      <c r="C294" s="23">
        <f t="shared" si="53"/>
        <v>1.01</v>
      </c>
      <c r="D294" s="2982" t="s">
        <v>4625</v>
      </c>
      <c r="E294" s="23">
        <f t="shared" si="54"/>
        <v>1.02</v>
      </c>
      <c r="F294" s="2982" t="s">
        <v>3332</v>
      </c>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ca="1" si="61"/>
        <v>9960</v>
      </c>
      <c r="S294" s="360">
        <f t="shared" ca="1" si="62"/>
        <v>52</v>
      </c>
      <c r="T294" s="3019">
        <f>办公清单!F276</f>
        <v>2.74</v>
      </c>
    </row>
    <row r="295" spans="1:20">
      <c r="A295" s="3002" t="str">
        <f>'数据-基础表'!C284</f>
        <v>27层2721号</v>
      </c>
      <c r="B295" s="945">
        <f>'数据-基础表'!I284</f>
        <v>52.17</v>
      </c>
      <c r="C295" s="23">
        <f t="shared" si="53"/>
        <v>1.01</v>
      </c>
      <c r="D295" s="2982" t="s">
        <v>4625</v>
      </c>
      <c r="E295" s="23">
        <f t="shared" si="54"/>
        <v>1.02</v>
      </c>
      <c r="F295" s="2982" t="s">
        <v>3332</v>
      </c>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ca="1" si="61"/>
        <v>9960</v>
      </c>
      <c r="S295" s="360">
        <f t="shared" ca="1" si="62"/>
        <v>52</v>
      </c>
      <c r="T295" s="3019">
        <f>办公清单!F277</f>
        <v>2.74</v>
      </c>
    </row>
    <row r="296" spans="1:20">
      <c r="A296" s="3002" t="str">
        <f>'数据-基础表'!C285</f>
        <v>27层2722号</v>
      </c>
      <c r="B296" s="945">
        <f>'数据-基础表'!I285</f>
        <v>52.17</v>
      </c>
      <c r="C296" s="23">
        <f t="shared" si="53"/>
        <v>1.01</v>
      </c>
      <c r="D296" s="2982" t="s">
        <v>4625</v>
      </c>
      <c r="E296" s="23">
        <f t="shared" si="54"/>
        <v>1.02</v>
      </c>
      <c r="F296" s="2982" t="s">
        <v>3332</v>
      </c>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ca="1" si="61"/>
        <v>9960</v>
      </c>
      <c r="S296" s="360">
        <f t="shared" ca="1" si="62"/>
        <v>52</v>
      </c>
      <c r="T296" s="3019">
        <f>办公清单!F278</f>
        <v>2.74</v>
      </c>
    </row>
    <row r="297" spans="1:20">
      <c r="A297" s="3002" t="str">
        <f>'数据-基础表'!C286</f>
        <v>27层2723号</v>
      </c>
      <c r="B297" s="945">
        <f>'数据-基础表'!I286</f>
        <v>52.17</v>
      </c>
      <c r="C297" s="23">
        <f t="shared" si="53"/>
        <v>1.01</v>
      </c>
      <c r="D297" s="2982" t="s">
        <v>4625</v>
      </c>
      <c r="E297" s="23">
        <f t="shared" si="54"/>
        <v>1.02</v>
      </c>
      <c r="F297" s="2982" t="s">
        <v>3332</v>
      </c>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ca="1" si="61"/>
        <v>9960</v>
      </c>
      <c r="S297" s="360">
        <f t="shared" ca="1" si="62"/>
        <v>52</v>
      </c>
      <c r="T297" s="3019">
        <f>办公清单!F279</f>
        <v>2.74</v>
      </c>
    </row>
    <row r="298" spans="1:20">
      <c r="A298" s="3002" t="str">
        <f>'数据-基础表'!C287</f>
        <v>27层2724号</v>
      </c>
      <c r="B298" s="945">
        <f>'数据-基础表'!I287</f>
        <v>52.17</v>
      </c>
      <c r="C298" s="23">
        <f t="shared" si="53"/>
        <v>1.01</v>
      </c>
      <c r="D298" s="2982" t="s">
        <v>4625</v>
      </c>
      <c r="E298" s="23">
        <f t="shared" si="54"/>
        <v>1.02</v>
      </c>
      <c r="F298" s="2982" t="s">
        <v>3332</v>
      </c>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ca="1" si="61"/>
        <v>9960</v>
      </c>
      <c r="S298" s="360">
        <f t="shared" ca="1" si="62"/>
        <v>52</v>
      </c>
      <c r="T298" s="3019">
        <f>办公清单!F280</f>
        <v>2.74</v>
      </c>
    </row>
    <row r="299" spans="1:20">
      <c r="A299" s="3002" t="str">
        <f>'数据-基础表'!C288</f>
        <v>27层2725号</v>
      </c>
      <c r="B299" s="945">
        <f>'数据-基础表'!I288</f>
        <v>52.17</v>
      </c>
      <c r="C299" s="23">
        <f t="shared" si="53"/>
        <v>1.01</v>
      </c>
      <c r="D299" s="2982" t="s">
        <v>4625</v>
      </c>
      <c r="E299" s="23">
        <f t="shared" si="54"/>
        <v>1.02</v>
      </c>
      <c r="F299" s="2982" t="s">
        <v>3332</v>
      </c>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ca="1" si="61"/>
        <v>9960</v>
      </c>
      <c r="S299" s="360">
        <f t="shared" ca="1" si="62"/>
        <v>52</v>
      </c>
      <c r="T299" s="3019">
        <f>办公清单!F281</f>
        <v>2.74</v>
      </c>
    </row>
    <row r="300" spans="1:20">
      <c r="A300" s="3002" t="str">
        <f>'数据-基础表'!C289</f>
        <v>27层2726号</v>
      </c>
      <c r="B300" s="945">
        <f>'数据-基础表'!I289</f>
        <v>80.73</v>
      </c>
      <c r="C300" s="23">
        <f t="shared" si="53"/>
        <v>1</v>
      </c>
      <c r="D300" s="2982" t="s">
        <v>4625</v>
      </c>
      <c r="E300" s="23">
        <f t="shared" si="54"/>
        <v>1.02</v>
      </c>
      <c r="F300" s="2982" t="s">
        <v>3332</v>
      </c>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ca="1" si="61"/>
        <v>9861</v>
      </c>
      <c r="S300" s="360">
        <f t="shared" ca="1" si="62"/>
        <v>80</v>
      </c>
      <c r="T300" s="3019">
        <f>办公清单!F282</f>
        <v>4.24</v>
      </c>
    </row>
    <row r="301" spans="1:20">
      <c r="A301" s="3002" t="str">
        <f>'数据-基础表'!C290</f>
        <v>27层2727号</v>
      </c>
      <c r="B301" s="945">
        <f>'数据-基础表'!I290</f>
        <v>93.08</v>
      </c>
      <c r="C301" s="23">
        <f t="shared" si="53"/>
        <v>1</v>
      </c>
      <c r="D301" s="2982" t="s">
        <v>4625</v>
      </c>
      <c r="E301" s="23">
        <f t="shared" si="54"/>
        <v>1.02</v>
      </c>
      <c r="F301" s="2982" t="s">
        <v>3332</v>
      </c>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ca="1" si="61"/>
        <v>9861</v>
      </c>
      <c r="S301" s="360">
        <f t="shared" ca="1" si="62"/>
        <v>92</v>
      </c>
      <c r="T301" s="3019">
        <f>办公清单!F283</f>
        <v>4.8899999999999997</v>
      </c>
    </row>
    <row r="302" spans="1:20">
      <c r="A302" s="3002" t="str">
        <f>'数据-基础表'!C291</f>
        <v>27层2728号</v>
      </c>
      <c r="B302" s="945">
        <f>'数据-基础表'!I291</f>
        <v>93.08</v>
      </c>
      <c r="C302" s="23">
        <f t="shared" si="53"/>
        <v>1</v>
      </c>
      <c r="D302" s="2982" t="s">
        <v>4625</v>
      </c>
      <c r="E302" s="23">
        <f t="shared" si="54"/>
        <v>1.02</v>
      </c>
      <c r="F302" s="2982" t="s">
        <v>3332</v>
      </c>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ca="1" si="61"/>
        <v>9861</v>
      </c>
      <c r="S302" s="360">
        <f t="shared" ca="1" si="62"/>
        <v>92</v>
      </c>
      <c r="T302" s="3019">
        <f>办公清单!F284</f>
        <v>4.8899999999999997</v>
      </c>
    </row>
    <row r="303" spans="1:20">
      <c r="A303" s="3002" t="str">
        <f>'数据-基础表'!C292</f>
        <v>10层1010号</v>
      </c>
      <c r="B303" s="945">
        <f>'数据-基础表'!I292</f>
        <v>98.91</v>
      </c>
      <c r="C303" s="23">
        <f t="shared" si="53"/>
        <v>1</v>
      </c>
      <c r="D303" s="2982" t="s">
        <v>3321</v>
      </c>
      <c r="E303" s="23">
        <f t="shared" si="54"/>
        <v>1</v>
      </c>
      <c r="F303" s="2982" t="s">
        <v>3332</v>
      </c>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ca="1" si="61"/>
        <v>9668</v>
      </c>
      <c r="S303" s="360">
        <f t="shared" ca="1" si="62"/>
        <v>96</v>
      </c>
      <c r="T303" s="3019">
        <f>办公清单!F285</f>
        <v>5.2</v>
      </c>
    </row>
    <row r="304" spans="1:20">
      <c r="A304" s="3002" t="str">
        <f>'数据-基础表'!C293</f>
        <v>22层2217号</v>
      </c>
      <c r="B304" s="945">
        <f>'数据-基础表'!I293</f>
        <v>52.17</v>
      </c>
      <c r="C304" s="23">
        <f t="shared" si="53"/>
        <v>1.01</v>
      </c>
      <c r="D304" s="2982" t="s">
        <v>4625</v>
      </c>
      <c r="E304" s="23">
        <f t="shared" si="54"/>
        <v>1.02</v>
      </c>
      <c r="F304" s="2982" t="s">
        <v>3332</v>
      </c>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ca="1" si="61"/>
        <v>9960</v>
      </c>
      <c r="S304" s="360">
        <f t="shared" ca="1" si="62"/>
        <v>52</v>
      </c>
      <c r="T304" s="3019">
        <f>办公清单!F286</f>
        <v>2.74</v>
      </c>
    </row>
    <row r="305" spans="1:20">
      <c r="A305" s="3002"/>
      <c r="B305" s="717"/>
      <c r="C305" s="23">
        <f t="shared" si="53"/>
        <v>1</v>
      </c>
      <c r="D305" s="2982"/>
      <c r="E305" s="23">
        <f t="shared" si="54"/>
        <v>0.02</v>
      </c>
      <c r="F305" s="719"/>
      <c r="G305" s="23">
        <f t="shared" si="55"/>
        <v>0.04</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c r="T305" s="799"/>
    </row>
    <row r="306" spans="1:20">
      <c r="A306" s="3002"/>
      <c r="B306" s="717"/>
      <c r="C306" s="23">
        <f t="shared" si="53"/>
        <v>1</v>
      </c>
      <c r="D306" s="719"/>
      <c r="E306" s="23">
        <f t="shared" si="54"/>
        <v>0.02</v>
      </c>
      <c r="F306" s="719"/>
      <c r="G306" s="23">
        <f t="shared" si="55"/>
        <v>0.04</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c r="T306" s="799"/>
    </row>
    <row r="307" spans="1:20">
      <c r="A307" s="3002"/>
      <c r="B307" s="3013"/>
      <c r="C307" s="23">
        <f t="shared" si="53"/>
        <v>1</v>
      </c>
      <c r="D307" s="719"/>
      <c r="E307" s="23">
        <f t="shared" si="54"/>
        <v>0.02</v>
      </c>
      <c r="F307" s="719"/>
      <c r="G307" s="23">
        <f t="shared" si="55"/>
        <v>0.04</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20">
      <c r="A308" s="3002"/>
      <c r="B308" s="58"/>
      <c r="C308" s="23">
        <f t="shared" si="53"/>
        <v>1</v>
      </c>
      <c r="D308" s="719"/>
      <c r="E308" s="23">
        <f t="shared" si="54"/>
        <v>0.02</v>
      </c>
      <c r="F308" s="719"/>
      <c r="G308" s="23">
        <f t="shared" si="55"/>
        <v>0.04</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20">
      <c r="A309" s="3002"/>
      <c r="B309" s="58"/>
      <c r="C309" s="23">
        <f t="shared" si="53"/>
        <v>1</v>
      </c>
      <c r="D309" s="719"/>
      <c r="E309" s="23">
        <f t="shared" si="54"/>
        <v>0.02</v>
      </c>
      <c r="F309" s="719"/>
      <c r="G309" s="23">
        <f t="shared" si="55"/>
        <v>0.04</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20">
      <c r="A310" s="3002"/>
      <c r="B310" s="58"/>
      <c r="C310" s="23">
        <f t="shared" si="53"/>
        <v>1</v>
      </c>
      <c r="D310" s="719"/>
      <c r="E310" s="23">
        <f t="shared" si="54"/>
        <v>0.02</v>
      </c>
      <c r="F310" s="719"/>
      <c r="G310" s="23">
        <f t="shared" si="55"/>
        <v>0.04</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20">
      <c r="A311" s="3002"/>
      <c r="B311" s="58"/>
      <c r="C311" s="23">
        <f t="shared" si="53"/>
        <v>1</v>
      </c>
      <c r="D311" s="719"/>
      <c r="E311" s="23">
        <f t="shared" si="54"/>
        <v>0.02</v>
      </c>
      <c r="F311" s="719"/>
      <c r="G311" s="23">
        <f t="shared" si="55"/>
        <v>0.04</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20">
      <c r="A312" s="3002"/>
      <c r="B312" s="58"/>
      <c r="C312" s="23">
        <f t="shared" si="53"/>
        <v>1</v>
      </c>
      <c r="D312" s="719"/>
      <c r="E312" s="23">
        <f t="shared" si="54"/>
        <v>0.02</v>
      </c>
      <c r="F312" s="719"/>
      <c r="G312" s="23">
        <f t="shared" si="55"/>
        <v>0.04</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20">
      <c r="A313" s="3002"/>
      <c r="B313" s="58"/>
      <c r="C313" s="23">
        <f t="shared" si="53"/>
        <v>1</v>
      </c>
      <c r="D313" s="719"/>
      <c r="E313" s="23">
        <f t="shared" si="54"/>
        <v>0.02</v>
      </c>
      <c r="F313" s="719"/>
      <c r="G313" s="23">
        <f t="shared" si="55"/>
        <v>0.04</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20">
      <c r="A314" s="3002"/>
      <c r="B314" s="58"/>
      <c r="C314" s="23">
        <f t="shared" si="53"/>
        <v>1</v>
      </c>
      <c r="D314" s="719"/>
      <c r="E314" s="23">
        <f t="shared" si="54"/>
        <v>0.02</v>
      </c>
      <c r="F314" s="719"/>
      <c r="G314" s="23">
        <f t="shared" si="55"/>
        <v>0.04</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20">
      <c r="A315" s="3002"/>
      <c r="B315" s="58"/>
      <c r="C315" s="23">
        <f t="shared" si="53"/>
        <v>1</v>
      </c>
      <c r="D315" s="719"/>
      <c r="E315" s="23">
        <f t="shared" si="54"/>
        <v>0.02</v>
      </c>
      <c r="F315" s="719"/>
      <c r="G315" s="23">
        <f t="shared" si="55"/>
        <v>0.04</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20">
      <c r="A316" s="945"/>
      <c r="B316" s="58"/>
      <c r="C316" s="23">
        <f t="shared" si="53"/>
        <v>1</v>
      </c>
      <c r="D316" s="719"/>
      <c r="E316" s="23">
        <f t="shared" si="54"/>
        <v>0.02</v>
      </c>
      <c r="F316" s="719"/>
      <c r="G316" s="23">
        <f t="shared" si="55"/>
        <v>0.04</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20">
      <c r="A317" s="945"/>
      <c r="B317" s="58"/>
      <c r="C317" s="23">
        <f t="shared" si="53"/>
        <v>1</v>
      </c>
      <c r="D317" s="719"/>
      <c r="E317" s="23">
        <f t="shared" si="54"/>
        <v>0.02</v>
      </c>
      <c r="F317" s="719"/>
      <c r="G317" s="23">
        <f t="shared" si="55"/>
        <v>0.04</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20">
      <c r="A318" s="945"/>
      <c r="B318" s="58"/>
      <c r="C318" s="23">
        <f t="shared" si="53"/>
        <v>1</v>
      </c>
      <c r="D318" s="719"/>
      <c r="E318" s="23">
        <f t="shared" si="54"/>
        <v>0.02</v>
      </c>
      <c r="F318" s="719"/>
      <c r="G318" s="23">
        <f t="shared" si="55"/>
        <v>0.04</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20">
      <c r="A319" s="945"/>
      <c r="B319" s="58"/>
      <c r="C319" s="23">
        <f t="shared" si="53"/>
        <v>1</v>
      </c>
      <c r="D319" s="719"/>
      <c r="E319" s="23">
        <f t="shared" si="54"/>
        <v>0.02</v>
      </c>
      <c r="F319" s="719"/>
      <c r="G319" s="23">
        <f t="shared" si="55"/>
        <v>0.04</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20">
      <c r="A320" s="945"/>
      <c r="B320" s="58"/>
      <c r="C320" s="23">
        <f t="shared" si="53"/>
        <v>1</v>
      </c>
      <c r="D320" s="719"/>
      <c r="E320" s="23">
        <f t="shared" si="54"/>
        <v>0.02</v>
      </c>
      <c r="F320" s="719"/>
      <c r="G320" s="23">
        <f t="shared" si="55"/>
        <v>0.04</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945"/>
      <c r="B321" s="58"/>
      <c r="C321" s="23">
        <f t="shared" si="53"/>
        <v>1</v>
      </c>
      <c r="D321" s="719"/>
      <c r="E321" s="23">
        <f t="shared" si="54"/>
        <v>0.02</v>
      </c>
      <c r="F321" s="719"/>
      <c r="G321" s="23">
        <f t="shared" si="55"/>
        <v>0.04</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945"/>
      <c r="B322" s="58"/>
      <c r="C322" s="23">
        <f t="shared" si="53"/>
        <v>1</v>
      </c>
      <c r="D322" s="719"/>
      <c r="E322" s="23">
        <f t="shared" si="54"/>
        <v>0.02</v>
      </c>
      <c r="F322" s="719"/>
      <c r="G322" s="23">
        <f t="shared" si="55"/>
        <v>0.04</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945"/>
      <c r="B323" s="58"/>
      <c r="C323" s="23">
        <f t="shared" si="53"/>
        <v>1</v>
      </c>
      <c r="D323" s="719"/>
      <c r="E323" s="23">
        <f t="shared" si="54"/>
        <v>0.02</v>
      </c>
      <c r="F323" s="719"/>
      <c r="G323" s="23">
        <f t="shared" si="55"/>
        <v>0.04</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945"/>
      <c r="B324" s="58"/>
      <c r="C324" s="23">
        <f t="shared" si="53"/>
        <v>1</v>
      </c>
      <c r="D324" s="719"/>
      <c r="E324" s="23">
        <f t="shared" si="54"/>
        <v>0.02</v>
      </c>
      <c r="F324" s="719"/>
      <c r="G324" s="23">
        <f t="shared" si="55"/>
        <v>0.04</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945"/>
      <c r="B325" s="58"/>
      <c r="C325" s="23">
        <f t="shared" si="53"/>
        <v>1</v>
      </c>
      <c r="D325" s="719"/>
      <c r="E325" s="23">
        <f t="shared" si="54"/>
        <v>0.02</v>
      </c>
      <c r="F325" s="719"/>
      <c r="G325" s="23">
        <f t="shared" si="55"/>
        <v>0.04</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945"/>
      <c r="B326" s="58"/>
      <c r="C326" s="23">
        <f t="shared" si="53"/>
        <v>1</v>
      </c>
      <c r="D326" s="719"/>
      <c r="E326" s="23">
        <f t="shared" si="54"/>
        <v>0.02</v>
      </c>
      <c r="F326" s="719"/>
      <c r="G326" s="23">
        <f t="shared" si="55"/>
        <v>0.04</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945"/>
      <c r="B327" s="58"/>
      <c r="C327" s="23">
        <f t="shared" si="53"/>
        <v>1</v>
      </c>
      <c r="D327" s="719"/>
      <c r="E327" s="23">
        <f t="shared" si="54"/>
        <v>0.02</v>
      </c>
      <c r="F327" s="719"/>
      <c r="G327" s="23">
        <f t="shared" si="55"/>
        <v>0.04</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945"/>
      <c r="B328" s="58"/>
      <c r="C328" s="23">
        <f t="shared" si="53"/>
        <v>1</v>
      </c>
      <c r="D328" s="719"/>
      <c r="E328" s="23">
        <f t="shared" si="54"/>
        <v>0.02</v>
      </c>
      <c r="F328" s="719"/>
      <c r="G328" s="23">
        <f t="shared" si="55"/>
        <v>0.04</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945"/>
      <c r="B329" s="58"/>
      <c r="C329" s="23">
        <f t="shared" si="53"/>
        <v>1</v>
      </c>
      <c r="D329" s="719"/>
      <c r="E329" s="23">
        <f t="shared" si="54"/>
        <v>0.02</v>
      </c>
      <c r="F329" s="719"/>
      <c r="G329" s="23">
        <f t="shared" si="55"/>
        <v>0.04</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945"/>
      <c r="B330" s="58"/>
      <c r="C330" s="23">
        <f t="shared" si="53"/>
        <v>1</v>
      </c>
      <c r="D330" s="719"/>
      <c r="E330" s="23">
        <f t="shared" si="54"/>
        <v>0.02</v>
      </c>
      <c r="F330" s="719"/>
      <c r="G330" s="23">
        <f t="shared" si="55"/>
        <v>0.04</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945"/>
      <c r="B331" s="58"/>
      <c r="C331" s="23">
        <f t="shared" si="53"/>
        <v>1</v>
      </c>
      <c r="D331" s="719"/>
      <c r="E331" s="23">
        <f t="shared" si="54"/>
        <v>0.02</v>
      </c>
      <c r="F331" s="719"/>
      <c r="G331" s="23">
        <f t="shared" si="55"/>
        <v>0.04</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945"/>
      <c r="B332" s="58"/>
      <c r="C332" s="23">
        <f t="shared" si="53"/>
        <v>1</v>
      </c>
      <c r="D332" s="719"/>
      <c r="E332" s="23">
        <f t="shared" si="54"/>
        <v>0.02</v>
      </c>
      <c r="F332" s="719"/>
      <c r="G332" s="23">
        <f t="shared" si="55"/>
        <v>0.04</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945"/>
      <c r="B333" s="58"/>
      <c r="C333" s="23">
        <f t="shared" si="53"/>
        <v>1</v>
      </c>
      <c r="D333" s="719"/>
      <c r="E333" s="23">
        <f t="shared" si="54"/>
        <v>0.02</v>
      </c>
      <c r="F333" s="719"/>
      <c r="G333" s="23">
        <f t="shared" si="55"/>
        <v>0.04</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945"/>
      <c r="B334" s="58"/>
      <c r="C334" s="23">
        <f t="shared" si="53"/>
        <v>1</v>
      </c>
      <c r="D334" s="719"/>
      <c r="E334" s="23">
        <f t="shared" si="54"/>
        <v>0.02</v>
      </c>
      <c r="F334" s="719"/>
      <c r="G334" s="23">
        <f t="shared" si="55"/>
        <v>0.04</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945"/>
      <c r="B335" s="58"/>
      <c r="C335" s="23">
        <f t="shared" si="53"/>
        <v>1</v>
      </c>
      <c r="D335" s="719"/>
      <c r="E335" s="23">
        <f t="shared" si="54"/>
        <v>0.02</v>
      </c>
      <c r="F335" s="719"/>
      <c r="G335" s="23">
        <f t="shared" si="55"/>
        <v>0.04</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945"/>
      <c r="B336" s="58"/>
      <c r="C336" s="23">
        <f t="shared" si="53"/>
        <v>1</v>
      </c>
      <c r="D336" s="719"/>
      <c r="E336" s="23">
        <f t="shared" si="54"/>
        <v>0.02</v>
      </c>
      <c r="F336" s="719"/>
      <c r="G336" s="23">
        <f t="shared" si="55"/>
        <v>0.04</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945"/>
      <c r="B337" s="58"/>
      <c r="C337" s="23">
        <f t="shared" si="53"/>
        <v>1</v>
      </c>
      <c r="D337" s="719"/>
      <c r="E337" s="23">
        <f t="shared" si="54"/>
        <v>0.02</v>
      </c>
      <c r="F337" s="719"/>
      <c r="G337" s="23">
        <f t="shared" si="55"/>
        <v>0.04</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945"/>
      <c r="B338" s="58"/>
      <c r="C338" s="23">
        <f t="shared" si="53"/>
        <v>1</v>
      </c>
      <c r="D338" s="719"/>
      <c r="E338" s="23">
        <f t="shared" si="54"/>
        <v>0.02</v>
      </c>
      <c r="F338" s="719"/>
      <c r="G338" s="23">
        <f t="shared" si="55"/>
        <v>0.04</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945"/>
      <c r="B339" s="58"/>
      <c r="C339" s="23">
        <f t="shared" si="53"/>
        <v>1</v>
      </c>
      <c r="D339" s="719"/>
      <c r="E339" s="23">
        <f t="shared" si="54"/>
        <v>0.02</v>
      </c>
      <c r="F339" s="719"/>
      <c r="G339" s="23">
        <f t="shared" si="55"/>
        <v>0.04</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945"/>
      <c r="B340" s="58"/>
      <c r="C340" s="23">
        <f t="shared" si="53"/>
        <v>1</v>
      </c>
      <c r="D340" s="719"/>
      <c r="E340" s="23">
        <f t="shared" si="54"/>
        <v>0.02</v>
      </c>
      <c r="F340" s="719"/>
      <c r="G340" s="23">
        <f t="shared" si="55"/>
        <v>0.04</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945"/>
      <c r="B341" s="58"/>
      <c r="C341" s="23">
        <f t="shared" si="53"/>
        <v>1</v>
      </c>
      <c r="D341" s="719"/>
      <c r="E341" s="23">
        <f t="shared" si="54"/>
        <v>0.02</v>
      </c>
      <c r="F341" s="719"/>
      <c r="G341" s="23">
        <f t="shared" si="55"/>
        <v>0.04</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945"/>
      <c r="B342" s="58"/>
      <c r="C342" s="23">
        <f t="shared" si="53"/>
        <v>1</v>
      </c>
      <c r="D342" s="719"/>
      <c r="E342" s="23">
        <f t="shared" si="54"/>
        <v>0.02</v>
      </c>
      <c r="F342" s="719"/>
      <c r="G342" s="23">
        <f t="shared" si="55"/>
        <v>0.04</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945"/>
      <c r="B343" s="58"/>
      <c r="C343" s="23">
        <f t="shared" si="53"/>
        <v>1</v>
      </c>
      <c r="D343" s="719"/>
      <c r="E343" s="23">
        <f t="shared" si="54"/>
        <v>0.02</v>
      </c>
      <c r="F343" s="719"/>
      <c r="G343" s="23">
        <f t="shared" si="55"/>
        <v>0.04</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945"/>
      <c r="B344" s="58"/>
      <c r="C344" s="23">
        <f t="shared" si="53"/>
        <v>1</v>
      </c>
      <c r="D344" s="719"/>
      <c r="E344" s="23">
        <f t="shared" si="54"/>
        <v>0.02</v>
      </c>
      <c r="F344" s="719"/>
      <c r="G344" s="23">
        <f t="shared" si="55"/>
        <v>0.04</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945"/>
      <c r="B345" s="58"/>
      <c r="C345" s="23">
        <f t="shared" si="53"/>
        <v>1</v>
      </c>
      <c r="D345" s="719"/>
      <c r="E345" s="23">
        <f t="shared" si="54"/>
        <v>0.02</v>
      </c>
      <c r="F345" s="719"/>
      <c r="G345" s="23">
        <f t="shared" si="55"/>
        <v>0.04</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945"/>
      <c r="B346" s="58"/>
      <c r="C346" s="23">
        <f t="shared" ref="C346:C409" si="64">IF(B346="",1,(LOOKUP(B346,$3:$3,$4:$4)-LOOKUP($B$24,$3:$3,$4:$4)+100)/100)</f>
        <v>1</v>
      </c>
      <c r="D346" s="719"/>
      <c r="E346" s="23">
        <f t="shared" ref="E346:E409" si="65">(SUMIF($5:$5,D346,$6:$6)-SUMIF($5:$5,$D$24,$6:$6)+100)/100</f>
        <v>0.02</v>
      </c>
      <c r="F346" s="719"/>
      <c r="G346" s="23">
        <f t="shared" ref="G346:G409" si="66">(SUMIF($7:$7,F346,$8:$8)-SUMIF($7:$7,$F$24,$8:$8)+100)/100</f>
        <v>0.04</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945"/>
      <c r="B347" s="58"/>
      <c r="C347" s="23">
        <f t="shared" si="64"/>
        <v>1</v>
      </c>
      <c r="D347" s="719"/>
      <c r="E347" s="23">
        <f t="shared" si="65"/>
        <v>0.02</v>
      </c>
      <c r="F347" s="719"/>
      <c r="G347" s="23">
        <f t="shared" si="66"/>
        <v>0.04</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945"/>
      <c r="B348" s="58"/>
      <c r="C348" s="23">
        <f t="shared" si="64"/>
        <v>1</v>
      </c>
      <c r="D348" s="719"/>
      <c r="E348" s="23">
        <f t="shared" si="65"/>
        <v>0.02</v>
      </c>
      <c r="F348" s="719"/>
      <c r="G348" s="23">
        <f t="shared" si="66"/>
        <v>0.04</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945"/>
      <c r="B349" s="58"/>
      <c r="C349" s="23">
        <f t="shared" si="64"/>
        <v>1</v>
      </c>
      <c r="D349" s="719"/>
      <c r="E349" s="23">
        <f t="shared" si="65"/>
        <v>0.02</v>
      </c>
      <c r="F349" s="719"/>
      <c r="G349" s="23">
        <f t="shared" si="66"/>
        <v>0.04</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945"/>
      <c r="B350" s="58"/>
      <c r="C350" s="23">
        <f t="shared" si="64"/>
        <v>1</v>
      </c>
      <c r="D350" s="719"/>
      <c r="E350" s="23">
        <f t="shared" si="65"/>
        <v>0.02</v>
      </c>
      <c r="F350" s="719"/>
      <c r="G350" s="23">
        <f t="shared" si="66"/>
        <v>0.04</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945"/>
      <c r="B351" s="58"/>
      <c r="C351" s="23">
        <f t="shared" si="64"/>
        <v>1</v>
      </c>
      <c r="D351" s="719"/>
      <c r="E351" s="23">
        <f t="shared" si="65"/>
        <v>0.02</v>
      </c>
      <c r="F351" s="719"/>
      <c r="G351" s="23">
        <f t="shared" si="66"/>
        <v>0.04</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945"/>
      <c r="B352" s="58"/>
      <c r="C352" s="23">
        <f t="shared" si="64"/>
        <v>1</v>
      </c>
      <c r="D352" s="719"/>
      <c r="E352" s="23">
        <f t="shared" si="65"/>
        <v>0.02</v>
      </c>
      <c r="F352" s="719"/>
      <c r="G352" s="23">
        <f t="shared" si="66"/>
        <v>0.04</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945"/>
      <c r="B353" s="58"/>
      <c r="C353" s="23">
        <f t="shared" si="64"/>
        <v>1</v>
      </c>
      <c r="D353" s="719"/>
      <c r="E353" s="23">
        <f t="shared" si="65"/>
        <v>0.02</v>
      </c>
      <c r="F353" s="719"/>
      <c r="G353" s="23">
        <f t="shared" si="66"/>
        <v>0.04</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945"/>
      <c r="B354" s="58"/>
      <c r="C354" s="23">
        <f t="shared" si="64"/>
        <v>1</v>
      </c>
      <c r="D354" s="719"/>
      <c r="E354" s="23">
        <f t="shared" si="65"/>
        <v>0.02</v>
      </c>
      <c r="F354" s="719"/>
      <c r="G354" s="23">
        <f t="shared" si="66"/>
        <v>0.04</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945"/>
      <c r="B355" s="58"/>
      <c r="C355" s="23">
        <f t="shared" si="64"/>
        <v>1</v>
      </c>
      <c r="D355" s="719"/>
      <c r="E355" s="23">
        <f t="shared" si="65"/>
        <v>0.02</v>
      </c>
      <c r="F355" s="719"/>
      <c r="G355" s="23">
        <f t="shared" si="66"/>
        <v>0.04</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945"/>
      <c r="B356" s="58"/>
      <c r="C356" s="23">
        <f t="shared" si="64"/>
        <v>1</v>
      </c>
      <c r="D356" s="719"/>
      <c r="E356" s="23">
        <f t="shared" si="65"/>
        <v>0.02</v>
      </c>
      <c r="F356" s="719"/>
      <c r="G356" s="23">
        <f t="shared" si="66"/>
        <v>0.04</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945"/>
      <c r="B357" s="58"/>
      <c r="C357" s="23">
        <f t="shared" si="64"/>
        <v>1</v>
      </c>
      <c r="D357" s="719"/>
      <c r="E357" s="23">
        <f t="shared" si="65"/>
        <v>0.02</v>
      </c>
      <c r="F357" s="719"/>
      <c r="G357" s="23">
        <f t="shared" si="66"/>
        <v>0.04</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945"/>
      <c r="B358" s="58"/>
      <c r="C358" s="23">
        <f t="shared" si="64"/>
        <v>1</v>
      </c>
      <c r="D358" s="719"/>
      <c r="E358" s="23">
        <f t="shared" si="65"/>
        <v>0.02</v>
      </c>
      <c r="F358" s="719"/>
      <c r="G358" s="23">
        <f t="shared" si="66"/>
        <v>0.04</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945"/>
      <c r="B359" s="58"/>
      <c r="C359" s="23">
        <f t="shared" si="64"/>
        <v>1</v>
      </c>
      <c r="D359" s="719"/>
      <c r="E359" s="23">
        <f t="shared" si="65"/>
        <v>0.02</v>
      </c>
      <c r="F359" s="719"/>
      <c r="G359" s="23">
        <f t="shared" si="66"/>
        <v>0.04</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945"/>
      <c r="B360" s="58"/>
      <c r="C360" s="23">
        <f t="shared" si="64"/>
        <v>1</v>
      </c>
      <c r="D360" s="719"/>
      <c r="E360" s="23">
        <f t="shared" si="65"/>
        <v>0.02</v>
      </c>
      <c r="F360" s="719"/>
      <c r="G360" s="23">
        <f t="shared" si="66"/>
        <v>0.04</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945"/>
      <c r="B361" s="58"/>
      <c r="C361" s="23">
        <f t="shared" si="64"/>
        <v>1</v>
      </c>
      <c r="D361" s="719"/>
      <c r="E361" s="23">
        <f t="shared" si="65"/>
        <v>0.02</v>
      </c>
      <c r="F361" s="719"/>
      <c r="G361" s="23">
        <f t="shared" si="66"/>
        <v>0.04</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945"/>
      <c r="B362" s="58"/>
      <c r="C362" s="23">
        <f t="shared" si="64"/>
        <v>1</v>
      </c>
      <c r="D362" s="719"/>
      <c r="E362" s="23">
        <f t="shared" si="65"/>
        <v>0.02</v>
      </c>
      <c r="F362" s="719"/>
      <c r="G362" s="23">
        <f t="shared" si="66"/>
        <v>0.04</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945"/>
      <c r="B363" s="58"/>
      <c r="C363" s="23">
        <f t="shared" si="64"/>
        <v>1</v>
      </c>
      <c r="D363" s="719"/>
      <c r="E363" s="23">
        <f t="shared" si="65"/>
        <v>0.02</v>
      </c>
      <c r="F363" s="719"/>
      <c r="G363" s="23">
        <f t="shared" si="66"/>
        <v>0.04</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945"/>
      <c r="B364" s="58"/>
      <c r="C364" s="23">
        <f t="shared" si="64"/>
        <v>1</v>
      </c>
      <c r="D364" s="719"/>
      <c r="E364" s="23">
        <f t="shared" si="65"/>
        <v>0.02</v>
      </c>
      <c r="F364" s="719"/>
      <c r="G364" s="23">
        <f t="shared" si="66"/>
        <v>0.04</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945"/>
      <c r="B365" s="58"/>
      <c r="C365" s="23">
        <f t="shared" si="64"/>
        <v>1</v>
      </c>
      <c r="D365" s="719"/>
      <c r="E365" s="23">
        <f t="shared" si="65"/>
        <v>0.02</v>
      </c>
      <c r="F365" s="719"/>
      <c r="G365" s="23">
        <f t="shared" si="66"/>
        <v>0.04</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945"/>
      <c r="B366" s="58"/>
      <c r="C366" s="23">
        <f t="shared" si="64"/>
        <v>1</v>
      </c>
      <c r="D366" s="719"/>
      <c r="E366" s="23">
        <f t="shared" si="65"/>
        <v>0.02</v>
      </c>
      <c r="F366" s="719"/>
      <c r="G366" s="23">
        <f t="shared" si="66"/>
        <v>0.04</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945"/>
      <c r="B367" s="58"/>
      <c r="C367" s="23">
        <f t="shared" si="64"/>
        <v>1</v>
      </c>
      <c r="D367" s="719"/>
      <c r="E367" s="23">
        <f t="shared" si="65"/>
        <v>0.02</v>
      </c>
      <c r="F367" s="719"/>
      <c r="G367" s="23">
        <f t="shared" si="66"/>
        <v>0.04</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0.02</v>
      </c>
      <c r="F368" s="719"/>
      <c r="G368" s="23">
        <f t="shared" si="66"/>
        <v>0.04</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0.02</v>
      </c>
      <c r="F369" s="719"/>
      <c r="G369" s="23">
        <f t="shared" si="66"/>
        <v>0.04</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0.02</v>
      </c>
      <c r="F370" s="719"/>
      <c r="G370" s="23">
        <f t="shared" si="66"/>
        <v>0.04</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0.02</v>
      </c>
      <c r="F371" s="719"/>
      <c r="G371" s="23">
        <f t="shared" si="66"/>
        <v>0.04</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0.02</v>
      </c>
      <c r="F372" s="719"/>
      <c r="G372" s="23">
        <f t="shared" si="66"/>
        <v>0.04</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0.02</v>
      </c>
      <c r="F373" s="719"/>
      <c r="G373" s="23">
        <f t="shared" si="66"/>
        <v>0.04</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0.02</v>
      </c>
      <c r="F374" s="719"/>
      <c r="G374" s="23">
        <f t="shared" si="66"/>
        <v>0.04</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0.02</v>
      </c>
      <c r="F375" s="719"/>
      <c r="G375" s="23">
        <f t="shared" si="66"/>
        <v>0.04</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0.02</v>
      </c>
      <c r="F376" s="719"/>
      <c r="G376" s="23">
        <f t="shared" si="66"/>
        <v>0.04</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0.02</v>
      </c>
      <c r="F377" s="719"/>
      <c r="G377" s="23">
        <f t="shared" si="66"/>
        <v>0.04</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0.02</v>
      </c>
      <c r="F378" s="719"/>
      <c r="G378" s="23">
        <f t="shared" si="66"/>
        <v>0.04</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0.02</v>
      </c>
      <c r="F379" s="719"/>
      <c r="G379" s="23">
        <f t="shared" si="66"/>
        <v>0.04</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0.02</v>
      </c>
      <c r="F380" s="719"/>
      <c r="G380" s="23">
        <f t="shared" si="66"/>
        <v>0.04</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0.02</v>
      </c>
      <c r="F381" s="719"/>
      <c r="G381" s="23">
        <f t="shared" si="66"/>
        <v>0.04</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0.02</v>
      </c>
      <c r="F382" s="719"/>
      <c r="G382" s="23">
        <f t="shared" si="66"/>
        <v>0.04</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0.02</v>
      </c>
      <c r="F383" s="719"/>
      <c r="G383" s="23">
        <f t="shared" si="66"/>
        <v>0.04</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0.02</v>
      </c>
      <c r="F384" s="719"/>
      <c r="G384" s="23">
        <f t="shared" si="66"/>
        <v>0.04</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0.02</v>
      </c>
      <c r="F385" s="719"/>
      <c r="G385" s="23">
        <f t="shared" si="66"/>
        <v>0.04</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0.02</v>
      </c>
      <c r="F386" s="719"/>
      <c r="G386" s="23">
        <f t="shared" si="66"/>
        <v>0.04</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0.02</v>
      </c>
      <c r="F387" s="719"/>
      <c r="G387" s="23">
        <f t="shared" si="66"/>
        <v>0.04</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0.02</v>
      </c>
      <c r="F388" s="719"/>
      <c r="G388" s="23">
        <f t="shared" si="66"/>
        <v>0.04</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0.02</v>
      </c>
      <c r="F389" s="719"/>
      <c r="G389" s="23">
        <f t="shared" si="66"/>
        <v>0.04</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0.02</v>
      </c>
      <c r="F390" s="719"/>
      <c r="G390" s="23">
        <f t="shared" si="66"/>
        <v>0.04</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0.02</v>
      </c>
      <c r="F391" s="719"/>
      <c r="G391" s="23">
        <f t="shared" si="66"/>
        <v>0.04</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0.02</v>
      </c>
      <c r="F392" s="719"/>
      <c r="G392" s="23">
        <f t="shared" si="66"/>
        <v>0.04</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0.02</v>
      </c>
      <c r="F393" s="719"/>
      <c r="G393" s="23">
        <f t="shared" si="66"/>
        <v>0.04</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0.02</v>
      </c>
      <c r="F394" s="719"/>
      <c r="G394" s="23">
        <f t="shared" si="66"/>
        <v>0.04</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0.02</v>
      </c>
      <c r="F395" s="719"/>
      <c r="G395" s="23">
        <f t="shared" si="66"/>
        <v>0.04</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0.02</v>
      </c>
      <c r="F396" s="719"/>
      <c r="G396" s="23">
        <f t="shared" si="66"/>
        <v>0.04</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0.02</v>
      </c>
      <c r="F397" s="719"/>
      <c r="G397" s="23">
        <f t="shared" si="66"/>
        <v>0.04</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0.02</v>
      </c>
      <c r="F398" s="719"/>
      <c r="G398" s="23">
        <f t="shared" si="66"/>
        <v>0.04</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0.02</v>
      </c>
      <c r="F399" s="719"/>
      <c r="G399" s="23">
        <f t="shared" si="66"/>
        <v>0.04</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0.02</v>
      </c>
      <c r="F400" s="719"/>
      <c r="G400" s="23">
        <f t="shared" si="66"/>
        <v>0.04</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0.02</v>
      </c>
      <c r="F401" s="719"/>
      <c r="G401" s="23">
        <f t="shared" si="66"/>
        <v>0.04</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0.02</v>
      </c>
      <c r="F402" s="719"/>
      <c r="G402" s="23">
        <f t="shared" si="66"/>
        <v>0.04</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0.02</v>
      </c>
      <c r="F403" s="719"/>
      <c r="G403" s="23">
        <f t="shared" si="66"/>
        <v>0.04</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0.02</v>
      </c>
      <c r="F404" s="719"/>
      <c r="G404" s="23">
        <f t="shared" si="66"/>
        <v>0.04</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0.02</v>
      </c>
      <c r="F405" s="719"/>
      <c r="G405" s="23">
        <f t="shared" si="66"/>
        <v>0.04</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0.02</v>
      </c>
      <c r="F406" s="719"/>
      <c r="G406" s="23">
        <f t="shared" si="66"/>
        <v>0.04</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0.02</v>
      </c>
      <c r="F407" s="719"/>
      <c r="G407" s="23">
        <f t="shared" si="66"/>
        <v>0.04</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0.02</v>
      </c>
      <c r="F408" s="719"/>
      <c r="G408" s="23">
        <f t="shared" si="66"/>
        <v>0.04</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0.02</v>
      </c>
      <c r="F409" s="719"/>
      <c r="G409" s="23">
        <f t="shared" si="66"/>
        <v>0.04</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0.02</v>
      </c>
      <c r="F410" s="719"/>
      <c r="G410" s="23">
        <f t="shared" ref="G410:G473" si="76">(SUMIF($7:$7,F410,$8:$8)-SUMIF($7:$7,$F$24,$8:$8)+100)/100</f>
        <v>0.04</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0.02</v>
      </c>
      <c r="F411" s="719"/>
      <c r="G411" s="23">
        <f t="shared" si="76"/>
        <v>0.04</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0.02</v>
      </c>
      <c r="F412" s="719"/>
      <c r="G412" s="23">
        <f t="shared" si="76"/>
        <v>0.04</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0.02</v>
      </c>
      <c r="F413" s="719"/>
      <c r="G413" s="23">
        <f t="shared" si="76"/>
        <v>0.04</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0.02</v>
      </c>
      <c r="F414" s="719"/>
      <c r="G414" s="23">
        <f t="shared" si="76"/>
        <v>0.04</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0.02</v>
      </c>
      <c r="F415" s="719"/>
      <c r="G415" s="23">
        <f t="shared" si="76"/>
        <v>0.04</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0.02</v>
      </c>
      <c r="F416" s="719"/>
      <c r="G416" s="23">
        <f t="shared" si="76"/>
        <v>0.04</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0.02</v>
      </c>
      <c r="F417" s="719"/>
      <c r="G417" s="23">
        <f t="shared" si="76"/>
        <v>0.04</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0.02</v>
      </c>
      <c r="F418" s="719"/>
      <c r="G418" s="23">
        <f t="shared" si="76"/>
        <v>0.04</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0.02</v>
      </c>
      <c r="F419" s="719"/>
      <c r="G419" s="23">
        <f t="shared" si="76"/>
        <v>0.04</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0.02</v>
      </c>
      <c r="F420" s="719"/>
      <c r="G420" s="23">
        <f t="shared" si="76"/>
        <v>0.04</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0.02</v>
      </c>
      <c r="F421" s="719"/>
      <c r="G421" s="23">
        <f t="shared" si="76"/>
        <v>0.04</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0.02</v>
      </c>
      <c r="F422" s="719"/>
      <c r="G422" s="23">
        <f t="shared" si="76"/>
        <v>0.04</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0.02</v>
      </c>
      <c r="F423" s="719"/>
      <c r="G423" s="23">
        <f t="shared" si="76"/>
        <v>0.04</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0.02</v>
      </c>
      <c r="F424" s="719"/>
      <c r="G424" s="23">
        <f t="shared" si="76"/>
        <v>0.04</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0.02</v>
      </c>
      <c r="F425" s="719"/>
      <c r="G425" s="23">
        <f t="shared" si="76"/>
        <v>0.04</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0.02</v>
      </c>
      <c r="F426" s="719"/>
      <c r="G426" s="23">
        <f t="shared" si="76"/>
        <v>0.04</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0.02</v>
      </c>
      <c r="F427" s="719"/>
      <c r="G427" s="23">
        <f t="shared" si="76"/>
        <v>0.04</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0.02</v>
      </c>
      <c r="F428" s="719"/>
      <c r="G428" s="23">
        <f t="shared" si="76"/>
        <v>0.04</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0.02</v>
      </c>
      <c r="F429" s="719"/>
      <c r="G429" s="23">
        <f t="shared" si="76"/>
        <v>0.04</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0.02</v>
      </c>
      <c r="F430" s="719"/>
      <c r="G430" s="23">
        <f t="shared" si="76"/>
        <v>0.04</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0.02</v>
      </c>
      <c r="F431" s="719"/>
      <c r="G431" s="23">
        <f t="shared" si="76"/>
        <v>0.04</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0.02</v>
      </c>
      <c r="F432" s="719"/>
      <c r="G432" s="23">
        <f t="shared" si="76"/>
        <v>0.04</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0.02</v>
      </c>
      <c r="F433" s="719"/>
      <c r="G433" s="23">
        <f t="shared" si="76"/>
        <v>0.04</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0.02</v>
      </c>
      <c r="F434" s="719"/>
      <c r="G434" s="23">
        <f t="shared" si="76"/>
        <v>0.04</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0.02</v>
      </c>
      <c r="F435" s="719"/>
      <c r="G435" s="23">
        <f t="shared" si="76"/>
        <v>0.04</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0.02</v>
      </c>
      <c r="F436" s="719"/>
      <c r="G436" s="23">
        <f t="shared" si="76"/>
        <v>0.04</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0.02</v>
      </c>
      <c r="F437" s="719"/>
      <c r="G437" s="23">
        <f t="shared" si="76"/>
        <v>0.04</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0.02</v>
      </c>
      <c r="F438" s="719"/>
      <c r="G438" s="23">
        <f t="shared" si="76"/>
        <v>0.04</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0.02</v>
      </c>
      <c r="F439" s="719"/>
      <c r="G439" s="23">
        <f t="shared" si="76"/>
        <v>0.04</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0.02</v>
      </c>
      <c r="F440" s="719"/>
      <c r="G440" s="23">
        <f t="shared" si="76"/>
        <v>0.04</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0.02</v>
      </c>
      <c r="F441" s="719"/>
      <c r="G441" s="23">
        <f t="shared" si="76"/>
        <v>0.04</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0.02</v>
      </c>
      <c r="F442" s="719"/>
      <c r="G442" s="23">
        <f t="shared" si="76"/>
        <v>0.04</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0.02</v>
      </c>
      <c r="F443" s="719"/>
      <c r="G443" s="23">
        <f t="shared" si="76"/>
        <v>0.04</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0.02</v>
      </c>
      <c r="F444" s="719"/>
      <c r="G444" s="23">
        <f t="shared" si="76"/>
        <v>0.04</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0.02</v>
      </c>
      <c r="F445" s="719"/>
      <c r="G445" s="23">
        <f t="shared" si="76"/>
        <v>0.04</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0.02</v>
      </c>
      <c r="F446" s="719"/>
      <c r="G446" s="23">
        <f t="shared" si="76"/>
        <v>0.04</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0.02</v>
      </c>
      <c r="F447" s="719"/>
      <c r="G447" s="23">
        <f t="shared" si="76"/>
        <v>0.04</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0.02</v>
      </c>
      <c r="F448" s="719"/>
      <c r="G448" s="23">
        <f t="shared" si="76"/>
        <v>0.04</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0.02</v>
      </c>
      <c r="F449" s="719"/>
      <c r="G449" s="23">
        <f t="shared" si="76"/>
        <v>0.04</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0.02</v>
      </c>
      <c r="F450" s="719"/>
      <c r="G450" s="23">
        <f t="shared" si="76"/>
        <v>0.04</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0.02</v>
      </c>
      <c r="F451" s="719"/>
      <c r="G451" s="23">
        <f t="shared" si="76"/>
        <v>0.04</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0.02</v>
      </c>
      <c r="F452" s="719"/>
      <c r="G452" s="23">
        <f t="shared" si="76"/>
        <v>0.04</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0.02</v>
      </c>
      <c r="F453" s="719"/>
      <c r="G453" s="23">
        <f t="shared" si="76"/>
        <v>0.04</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0.02</v>
      </c>
      <c r="F454" s="719"/>
      <c r="G454" s="23">
        <f t="shared" si="76"/>
        <v>0.04</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0.02</v>
      </c>
      <c r="F455" s="719"/>
      <c r="G455" s="23">
        <f t="shared" si="76"/>
        <v>0.04</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0.02</v>
      </c>
      <c r="F456" s="719"/>
      <c r="G456" s="23">
        <f t="shared" si="76"/>
        <v>0.04</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0.02</v>
      </c>
      <c r="F457" s="719"/>
      <c r="G457" s="23">
        <f t="shared" si="76"/>
        <v>0.04</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0.02</v>
      </c>
      <c r="F458" s="719"/>
      <c r="G458" s="23">
        <f t="shared" si="76"/>
        <v>0.04</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0.02</v>
      </c>
      <c r="F459" s="719"/>
      <c r="G459" s="23">
        <f t="shared" si="76"/>
        <v>0.04</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0.02</v>
      </c>
      <c r="F460" s="719"/>
      <c r="G460" s="23">
        <f t="shared" si="76"/>
        <v>0.04</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0.02</v>
      </c>
      <c r="F461" s="719"/>
      <c r="G461" s="23">
        <f t="shared" si="76"/>
        <v>0.04</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0.02</v>
      </c>
      <c r="F462" s="719"/>
      <c r="G462" s="23">
        <f t="shared" si="76"/>
        <v>0.04</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0.02</v>
      </c>
      <c r="F463" s="719"/>
      <c r="G463" s="23">
        <f t="shared" si="76"/>
        <v>0.04</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0.02</v>
      </c>
      <c r="F464" s="719"/>
      <c r="G464" s="23">
        <f t="shared" si="76"/>
        <v>0.04</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0.02</v>
      </c>
      <c r="F465" s="719"/>
      <c r="G465" s="23">
        <f t="shared" si="76"/>
        <v>0.04</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0.02</v>
      </c>
      <c r="F466" s="719"/>
      <c r="G466" s="23">
        <f t="shared" si="76"/>
        <v>0.04</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0.02</v>
      </c>
      <c r="F467" s="719"/>
      <c r="G467" s="23">
        <f t="shared" si="76"/>
        <v>0.04</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0.02</v>
      </c>
      <c r="F468" s="719"/>
      <c r="G468" s="23">
        <f t="shared" si="76"/>
        <v>0.04</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0.02</v>
      </c>
      <c r="F469" s="719"/>
      <c r="G469" s="23">
        <f t="shared" si="76"/>
        <v>0.04</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0.02</v>
      </c>
      <c r="F470" s="719"/>
      <c r="G470" s="23">
        <f t="shared" si="76"/>
        <v>0.04</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0.02</v>
      </c>
      <c r="F471" s="719"/>
      <c r="G471" s="23">
        <f t="shared" si="76"/>
        <v>0.04</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0.02</v>
      </c>
      <c r="F472" s="719"/>
      <c r="G472" s="23">
        <f t="shared" si="76"/>
        <v>0.04</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0.02</v>
      </c>
      <c r="F473" s="719"/>
      <c r="G473" s="23">
        <f t="shared" si="76"/>
        <v>0.04</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0.02</v>
      </c>
      <c r="F474" s="719"/>
      <c r="G474" s="23">
        <f t="shared" ref="G474:G524" si="87">(SUMIF($7:$7,F474,$8:$8)-SUMIF($7:$7,$F$24,$8:$8)+100)/100</f>
        <v>0.04</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0.02</v>
      </c>
      <c r="F475" s="719"/>
      <c r="G475" s="23">
        <f t="shared" si="87"/>
        <v>0.04</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0.02</v>
      </c>
      <c r="F476" s="719"/>
      <c r="G476" s="23">
        <f t="shared" si="87"/>
        <v>0.04</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0.02</v>
      </c>
      <c r="F477" s="719"/>
      <c r="G477" s="23">
        <f t="shared" si="87"/>
        <v>0.04</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0.02</v>
      </c>
      <c r="F478" s="719"/>
      <c r="G478" s="23">
        <f t="shared" si="87"/>
        <v>0.04</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0.02</v>
      </c>
      <c r="F479" s="719"/>
      <c r="G479" s="23">
        <f t="shared" si="87"/>
        <v>0.04</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0.02</v>
      </c>
      <c r="F480" s="719"/>
      <c r="G480" s="23">
        <f t="shared" si="87"/>
        <v>0.04</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0.02</v>
      </c>
      <c r="F481" s="719"/>
      <c r="G481" s="23">
        <f t="shared" si="87"/>
        <v>0.04</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0.02</v>
      </c>
      <c r="F482" s="719"/>
      <c r="G482" s="23">
        <f t="shared" si="87"/>
        <v>0.04</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0.02</v>
      </c>
      <c r="F483" s="719"/>
      <c r="G483" s="23">
        <f t="shared" si="87"/>
        <v>0.04</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0.02</v>
      </c>
      <c r="F484" s="719"/>
      <c r="G484" s="23">
        <f t="shared" si="87"/>
        <v>0.04</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0.02</v>
      </c>
      <c r="F485" s="719"/>
      <c r="G485" s="23">
        <f t="shared" si="87"/>
        <v>0.04</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0.02</v>
      </c>
      <c r="F486" s="719"/>
      <c r="G486" s="23">
        <f t="shared" si="87"/>
        <v>0.04</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0.02</v>
      </c>
      <c r="F487" s="719"/>
      <c r="G487" s="23">
        <f t="shared" si="87"/>
        <v>0.04</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0.02</v>
      </c>
      <c r="F488" s="719"/>
      <c r="G488" s="23">
        <f t="shared" si="87"/>
        <v>0.04</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0.02</v>
      </c>
      <c r="F489" s="719"/>
      <c r="G489" s="23">
        <f t="shared" si="87"/>
        <v>0.04</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0.02</v>
      </c>
      <c r="F490" s="719"/>
      <c r="G490" s="23">
        <f t="shared" si="87"/>
        <v>0.04</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0.02</v>
      </c>
      <c r="F491" s="719"/>
      <c r="G491" s="23">
        <f t="shared" si="87"/>
        <v>0.04</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0.02</v>
      </c>
      <c r="F492" s="719"/>
      <c r="G492" s="23">
        <f t="shared" si="87"/>
        <v>0.04</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0.02</v>
      </c>
      <c r="F493" s="719"/>
      <c r="G493" s="23">
        <f t="shared" si="87"/>
        <v>0.04</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0.02</v>
      </c>
      <c r="F494" s="719"/>
      <c r="G494" s="23">
        <f t="shared" si="87"/>
        <v>0.04</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0.02</v>
      </c>
      <c r="F495" s="719"/>
      <c r="G495" s="23">
        <f t="shared" si="87"/>
        <v>0.04</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0.02</v>
      </c>
      <c r="F496" s="719"/>
      <c r="G496" s="23">
        <f t="shared" si="87"/>
        <v>0.04</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0.02</v>
      </c>
      <c r="F497" s="719"/>
      <c r="G497" s="23">
        <f t="shared" si="87"/>
        <v>0.04</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0.02</v>
      </c>
      <c r="F498" s="719"/>
      <c r="G498" s="23">
        <f t="shared" si="87"/>
        <v>0.04</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0.02</v>
      </c>
      <c r="F499" s="719"/>
      <c r="G499" s="23">
        <f t="shared" si="87"/>
        <v>0.04</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0.02</v>
      </c>
      <c r="F500" s="719"/>
      <c r="G500" s="23">
        <f t="shared" si="87"/>
        <v>0.04</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0.02</v>
      </c>
      <c r="F501" s="719"/>
      <c r="G501" s="23">
        <f t="shared" si="87"/>
        <v>0.04</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0.02</v>
      </c>
      <c r="F502" s="719"/>
      <c r="G502" s="23">
        <f t="shared" si="87"/>
        <v>0.04</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0.02</v>
      </c>
      <c r="F503" s="719"/>
      <c r="G503" s="23">
        <f t="shared" si="87"/>
        <v>0.04</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0.02</v>
      </c>
      <c r="F504" s="719"/>
      <c r="G504" s="23">
        <f t="shared" si="87"/>
        <v>0.04</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0.02</v>
      </c>
      <c r="F505" s="719"/>
      <c r="G505" s="23">
        <f t="shared" si="87"/>
        <v>0.04</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0.02</v>
      </c>
      <c r="F506" s="719"/>
      <c r="G506" s="23">
        <f t="shared" si="87"/>
        <v>0.04</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0.02</v>
      </c>
      <c r="F507" s="719"/>
      <c r="G507" s="23">
        <f t="shared" si="87"/>
        <v>0.04</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0.02</v>
      </c>
      <c r="F508" s="719"/>
      <c r="G508" s="23">
        <f t="shared" si="87"/>
        <v>0.04</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0.02</v>
      </c>
      <c r="F509" s="719"/>
      <c r="G509" s="23">
        <f t="shared" si="87"/>
        <v>0.04</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0.02</v>
      </c>
      <c r="F510" s="719"/>
      <c r="G510" s="23">
        <f t="shared" si="87"/>
        <v>0.04</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0.02</v>
      </c>
      <c r="F511" s="719"/>
      <c r="G511" s="23">
        <f t="shared" si="87"/>
        <v>0.04</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0.02</v>
      </c>
      <c r="F512" s="719"/>
      <c r="G512" s="23">
        <f t="shared" si="87"/>
        <v>0.04</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0.02</v>
      </c>
      <c r="F513" s="719"/>
      <c r="G513" s="23">
        <f t="shared" si="87"/>
        <v>0.04</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0.02</v>
      </c>
      <c r="F514" s="719"/>
      <c r="G514" s="23">
        <f t="shared" si="87"/>
        <v>0.04</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0.02</v>
      </c>
      <c r="F515" s="719"/>
      <c r="G515" s="23">
        <f t="shared" si="87"/>
        <v>0.04</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0.02</v>
      </c>
      <c r="F516" s="719"/>
      <c r="G516" s="23">
        <f t="shared" si="87"/>
        <v>0.04</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0.02</v>
      </c>
      <c r="F517" s="719"/>
      <c r="G517" s="23">
        <f t="shared" si="87"/>
        <v>0.04</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0.02</v>
      </c>
      <c r="F518" s="719"/>
      <c r="G518" s="23">
        <f t="shared" si="87"/>
        <v>0.04</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0.02</v>
      </c>
      <c r="F519" s="719"/>
      <c r="G519" s="23">
        <f t="shared" si="87"/>
        <v>0.04</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0.02</v>
      </c>
      <c r="F520" s="719"/>
      <c r="G520" s="23">
        <f t="shared" si="87"/>
        <v>0.04</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0.02</v>
      </c>
      <c r="F521" s="719"/>
      <c r="G521" s="23">
        <f t="shared" si="87"/>
        <v>0.04</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0.02</v>
      </c>
      <c r="F522" s="719"/>
      <c r="G522" s="23">
        <f t="shared" si="87"/>
        <v>0.04</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0.02</v>
      </c>
      <c r="F523" s="719"/>
      <c r="G523" s="23">
        <f t="shared" si="87"/>
        <v>0.04</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0.02</v>
      </c>
      <c r="F524" s="719"/>
      <c r="G524" s="23">
        <f t="shared" si="87"/>
        <v>0.04</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34454</v>
      </c>
      <c r="C2" s="2" t="s">
        <v>133</v>
      </c>
      <c r="D2" s="242"/>
      <c r="E2" s="242"/>
      <c r="F2" s="242"/>
      <c r="G2" s="242"/>
    </row>
    <row r="3" spans="1:7" s="243" customFormat="1" ht="18" customHeight="1" thickBot="1">
      <c r="A3" s="246" t="s">
        <v>85</v>
      </c>
      <c r="B3" s="247">
        <f ca="1">ROUND(B2*10000/'数据-汇总表'!E3,0)</f>
        <v>20314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271</v>
      </c>
      <c r="D10" s="1034">
        <f>'数据-汇总表'!E6</f>
        <v>16960.349999999999</v>
      </c>
      <c r="E10" s="268">
        <f>'数据-取费表'!B28</f>
        <v>160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339</v>
      </c>
      <c r="D19" s="1038">
        <f>'数据-汇总表'!E3</f>
        <v>16960.349999999999</v>
      </c>
      <c r="E19" s="254">
        <f>'数据-取费表'!B31</f>
        <v>200</v>
      </c>
      <c r="F19" s="274"/>
      <c r="G19" s="1" t="s">
        <v>1074</v>
      </c>
    </row>
    <row r="20" spans="1:7" s="257" customFormat="1" ht="13.5" customHeight="1">
      <c r="A20" s="950" t="s">
        <v>1057</v>
      </c>
      <c r="B20" s="253" t="s">
        <v>104</v>
      </c>
      <c r="C20" s="275">
        <f>ROUND((C5+C19)*F20,0)</f>
        <v>314</v>
      </c>
      <c r="D20" s="275"/>
      <c r="E20" s="275"/>
      <c r="F20" s="276">
        <f>'数据-取费表'!B37</f>
        <v>1.4999999999999999E-2</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2052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33</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2126</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2126</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27888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5301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4749</v>
      </c>
      <c r="D34" s="260"/>
      <c r="E34" s="263"/>
      <c r="F34" s="300">
        <f>IF('数据-取费表'!B24=0,1,'数据-取费表'!N16)</f>
        <v>1</v>
      </c>
      <c r="G34" s="262" t="s">
        <v>116</v>
      </c>
    </row>
    <row r="35" spans="1:7" ht="13.5" customHeight="1">
      <c r="A35" s="953" t="s">
        <v>796</v>
      </c>
      <c r="B35" s="258" t="s">
        <v>60</v>
      </c>
      <c r="C35" s="263">
        <f>ROUND(C34*F35,0)</f>
        <v>142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339</v>
      </c>
      <c r="D37" s="260">
        <f>'数据-汇总表'!E3</f>
        <v>16960.349999999999</v>
      </c>
      <c r="E37" s="292">
        <f>'数据-取费表'!B35</f>
        <v>200</v>
      </c>
      <c r="F37" s="302"/>
      <c r="G37" s="304" t="s">
        <v>119</v>
      </c>
    </row>
    <row r="38" spans="1:7" ht="13.5" customHeight="1">
      <c r="A38" s="953" t="s">
        <v>799</v>
      </c>
      <c r="B38" s="258" t="s">
        <v>63</v>
      </c>
      <c r="C38" s="263">
        <f>ROUND(C34*F38,0)</f>
        <v>71</v>
      </c>
      <c r="D38" s="263"/>
      <c r="E38" s="263"/>
      <c r="F38" s="302">
        <f>'数据-取费表'!B36</f>
        <v>1.4999999999999999E-2</v>
      </c>
      <c r="G38" s="262" t="s">
        <v>117</v>
      </c>
    </row>
    <row r="39" spans="1:7" s="257" customFormat="1" ht="13.5" customHeight="1">
      <c r="A39" s="950" t="s">
        <v>783</v>
      </c>
      <c r="B39" s="253" t="s">
        <v>104</v>
      </c>
      <c r="C39" s="275">
        <f>ROUND(C33*F20,0)</f>
        <v>80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256</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252</v>
      </c>
      <c r="D42" s="281"/>
      <c r="E42" s="281"/>
      <c r="F42" s="282"/>
      <c r="G42" s="3230" t="s">
        <v>121</v>
      </c>
    </row>
    <row r="43" spans="1:7" ht="13.5" customHeight="1">
      <c r="A43" s="953" t="s">
        <v>792</v>
      </c>
      <c r="B43" s="258" t="s">
        <v>1064</v>
      </c>
      <c r="C43" s="281">
        <f ca="1">ROUND(IF('数据-取费表'!B22&lt;=1,C39*F22*'数据-取费表'!B21/2,C39*(POWER((1+F22),'数据-取费表'!B21/2)-1)),0)</f>
        <v>4</v>
      </c>
      <c r="D43" s="281"/>
      <c r="E43" s="281"/>
      <c r="F43" s="282"/>
      <c r="G43" s="3231"/>
    </row>
    <row r="44" spans="1:7" ht="13.5" customHeight="1">
      <c r="A44" s="953" t="s">
        <v>793</v>
      </c>
      <c r="B44" s="258" t="s">
        <v>1066</v>
      </c>
      <c r="C44" s="281">
        <f ca="1">ROUND(IF('数据-取费表'!B22&lt;=1,C40*F22*'数据-取费表'!B21/2,C40*(POWER((1+F22),'数据-取费表'!B21/2)-1)),4)</f>
        <v>1.4E-3</v>
      </c>
      <c r="D44" s="281"/>
      <c r="E44" s="281"/>
      <c r="F44" s="282"/>
      <c r="G44" s="3232"/>
    </row>
    <row r="45" spans="1:7" s="257" customFormat="1" ht="13.5" customHeight="1">
      <c r="A45" s="950" t="s">
        <v>786</v>
      </c>
      <c r="B45" s="287" t="s">
        <v>112</v>
      </c>
      <c r="C45" s="288">
        <f>C46</f>
        <v>538</v>
      </c>
      <c r="D45" s="278">
        <f>C47</f>
        <v>3.0000000000000001E-3</v>
      </c>
      <c r="E45" s="279" t="s">
        <v>129</v>
      </c>
      <c r="F45" s="289"/>
      <c r="G45" s="290" t="s">
        <v>1072</v>
      </c>
    </row>
    <row r="46" spans="1:7" s="257" customFormat="1" ht="13.5" customHeight="1">
      <c r="A46" s="953" t="s">
        <v>794</v>
      </c>
      <c r="B46" s="291" t="s">
        <v>1065</v>
      </c>
      <c r="C46" s="292">
        <f>ROUND((C33+C39)*F27,0)</f>
        <v>538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6769</v>
      </c>
      <c r="D49" s="275"/>
      <c r="E49" s="275"/>
      <c r="F49" s="307"/>
      <c r="G49" s="277" t="s">
        <v>1073</v>
      </c>
    </row>
    <row r="50" spans="1:7" s="301" customFormat="1" ht="24">
      <c r="A50" s="950" t="s">
        <v>789</v>
      </c>
      <c r="B50" s="253" t="s">
        <v>124</v>
      </c>
      <c r="C50" s="275"/>
      <c r="D50" s="275"/>
      <c r="E50" s="275"/>
      <c r="F50" s="307">
        <f>IF('数据-取费表'!B24=0,'数据-取费表'!N16,1)</f>
        <v>0.97</v>
      </c>
      <c r="G50" s="290" t="s">
        <v>125</v>
      </c>
    </row>
    <row r="51" spans="1:7" ht="16.5" customHeight="1">
      <c r="A51" s="950" t="s">
        <v>790</v>
      </c>
      <c r="B51" s="253" t="s">
        <v>132</v>
      </c>
      <c r="C51" s="275">
        <f ca="1">ROUND(C49*F50,0)</f>
        <v>6566</v>
      </c>
      <c r="D51" s="275"/>
      <c r="E51" s="275"/>
      <c r="F51" s="307"/>
      <c r="G51" s="277" t="s">
        <v>64</v>
      </c>
    </row>
    <row r="52" spans="1:7" s="251" customFormat="1" ht="16.5" thickBot="1">
      <c r="A52" s="308" t="s">
        <v>65</v>
      </c>
      <c r="B52" s="309"/>
      <c r="C52" s="310">
        <f ca="1">C31+C51</f>
        <v>34454</v>
      </c>
      <c r="D52" s="309"/>
      <c r="E52" s="309"/>
      <c r="F52" s="309"/>
      <c r="G52" s="311"/>
    </row>
    <row r="55" spans="1:7" ht="15">
      <c r="B55" s="313" t="s">
        <v>66</v>
      </c>
      <c r="C55" s="314"/>
    </row>
    <row r="56" spans="1:7">
      <c r="B56" s="316" t="s">
        <v>67</v>
      </c>
      <c r="C56" s="317">
        <f ca="1">ROUND(C51/C52,3)</f>
        <v>0.191</v>
      </c>
    </row>
    <row r="57" spans="1:7">
      <c r="B57" s="316" t="s">
        <v>68</v>
      </c>
      <c r="C57" s="318">
        <f ca="1">1-C56</f>
        <v>0.80899999999999994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71" t="s">
        <v>156</v>
      </c>
      <c r="B1" s="3371"/>
      <c r="C1" s="3371"/>
      <c r="D1" s="3371"/>
      <c r="E1" s="3371"/>
      <c r="F1" s="337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72" t="s">
        <v>169</v>
      </c>
      <c r="B2" s="3372"/>
      <c r="C2" s="3372"/>
      <c r="D2" s="3372"/>
      <c r="E2" s="3372"/>
      <c r="F2" s="337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1" t="s">
        <v>871</v>
      </c>
      <c r="B1" s="337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43214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7"/>
    <col min="8" max="8" width="19" style="1637" customWidth="1"/>
    <col min="9" max="9" width="27.125" style="1637" customWidth="1"/>
    <col min="10" max="10" width="16.25" style="1637" customWidth="1"/>
    <col min="11" max="11" width="0" style="1637" hidden="1" customWidth="1"/>
    <col min="12" max="16384" width="9" style="1637"/>
  </cols>
  <sheetData>
    <row r="1" spans="1:11" ht="13.5" customHeight="1">
      <c r="A1" s="3375" t="s">
        <v>3048</v>
      </c>
      <c r="B1" s="3375" t="s">
        <v>3049</v>
      </c>
      <c r="C1" s="3375" t="s">
        <v>3050</v>
      </c>
      <c r="D1" s="3376" t="s">
        <v>3051</v>
      </c>
      <c r="E1" s="3377" t="s">
        <v>3352</v>
      </c>
      <c r="F1" s="3375" t="s">
        <v>3052</v>
      </c>
      <c r="G1" s="3375" t="s">
        <v>3053</v>
      </c>
      <c r="H1" s="3375" t="s">
        <v>3119</v>
      </c>
      <c r="I1" s="3375" t="s">
        <v>3120</v>
      </c>
      <c r="J1" s="3375" t="s">
        <v>3121</v>
      </c>
    </row>
    <row r="2" spans="1:11" ht="13.5" customHeight="1">
      <c r="A2" s="3375"/>
      <c r="B2" s="3375"/>
      <c r="C2" s="3375"/>
      <c r="D2" s="3376"/>
      <c r="E2" s="3378"/>
      <c r="F2" s="3375"/>
      <c r="G2" s="3375"/>
      <c r="H2" s="3375"/>
      <c r="I2" s="3375"/>
      <c r="J2" s="3375"/>
    </row>
    <row r="3" spans="1:11" s="2945" customFormat="1" ht="39" customHeight="1">
      <c r="A3" s="2946">
        <v>1</v>
      </c>
      <c r="B3" s="2947" t="s">
        <v>3122</v>
      </c>
      <c r="C3" s="2948" t="s">
        <v>3123</v>
      </c>
      <c r="D3" s="2949">
        <v>131.32</v>
      </c>
      <c r="E3" s="2949">
        <v>6.9</v>
      </c>
      <c r="F3" s="2948" t="s">
        <v>3054</v>
      </c>
      <c r="G3" s="2948" t="s">
        <v>3124</v>
      </c>
      <c r="H3" s="2950" t="s">
        <v>3125</v>
      </c>
      <c r="I3" s="2950" t="s">
        <v>3126</v>
      </c>
      <c r="J3" s="2950" t="s">
        <v>3127</v>
      </c>
      <c r="K3" s="2945">
        <f>D3/E3</f>
        <v>19.031884057971013</v>
      </c>
    </row>
    <row r="4" spans="1:11" s="2945" customFormat="1" ht="39" customHeight="1">
      <c r="A4" s="2946">
        <v>2</v>
      </c>
      <c r="B4" s="2948" t="s">
        <v>3072</v>
      </c>
      <c r="C4" s="2946" t="s">
        <v>3123</v>
      </c>
      <c r="D4" s="2948">
        <v>72.22</v>
      </c>
      <c r="E4" s="2948">
        <v>3.79</v>
      </c>
      <c r="F4" s="2948" t="s">
        <v>3054</v>
      </c>
      <c r="G4" s="2948" t="s">
        <v>3124</v>
      </c>
      <c r="H4" s="2948" t="s">
        <v>3128</v>
      </c>
      <c r="I4" s="2948" t="s">
        <v>3129</v>
      </c>
      <c r="J4" s="2946" t="s">
        <v>3127</v>
      </c>
      <c r="K4" s="2945">
        <f t="shared" ref="K4:K67" si="0">D4/E4</f>
        <v>19.055408970976252</v>
      </c>
    </row>
    <row r="5" spans="1:11" s="2945" customFormat="1" ht="39" customHeight="1">
      <c r="A5" s="2946">
        <v>3</v>
      </c>
      <c r="B5" s="2948" t="s">
        <v>3073</v>
      </c>
      <c r="C5" s="2946" t="s">
        <v>3123</v>
      </c>
      <c r="D5" s="2948">
        <v>21.99</v>
      </c>
      <c r="E5" s="2948">
        <v>1.1599999999999999</v>
      </c>
      <c r="F5" s="2948" t="s">
        <v>3054</v>
      </c>
      <c r="G5" s="2948" t="s">
        <v>3124</v>
      </c>
      <c r="H5" s="2948" t="s">
        <v>3130</v>
      </c>
      <c r="I5" s="2946" t="s">
        <v>3131</v>
      </c>
      <c r="J5" s="2946" t="s">
        <v>3127</v>
      </c>
      <c r="K5" s="2945">
        <f t="shared" si="0"/>
        <v>18.956896551724139</v>
      </c>
    </row>
    <row r="6" spans="1:11" s="2945" customFormat="1" ht="39" customHeight="1">
      <c r="A6" s="2946">
        <v>4</v>
      </c>
      <c r="B6" s="2948" t="s">
        <v>3074</v>
      </c>
      <c r="C6" s="2946" t="s">
        <v>3123</v>
      </c>
      <c r="D6" s="2948">
        <v>69.03</v>
      </c>
      <c r="E6" s="2948">
        <v>3.63</v>
      </c>
      <c r="F6" s="2948" t="s">
        <v>3054</v>
      </c>
      <c r="G6" s="2948" t="s">
        <v>3124</v>
      </c>
      <c r="H6" s="2948" t="s">
        <v>3132</v>
      </c>
      <c r="I6" s="2946" t="s">
        <v>3133</v>
      </c>
      <c r="J6" s="2946" t="s">
        <v>3127</v>
      </c>
      <c r="K6" s="2945">
        <f t="shared" si="0"/>
        <v>19.016528925619834</v>
      </c>
    </row>
    <row r="7" spans="1:11" s="2945" customFormat="1" ht="39" customHeight="1">
      <c r="A7" s="2946">
        <v>5</v>
      </c>
      <c r="B7" s="2948" t="s">
        <v>3075</v>
      </c>
      <c r="C7" s="2946" t="s">
        <v>3123</v>
      </c>
      <c r="D7" s="2948">
        <v>161.74</v>
      </c>
      <c r="E7" s="2948">
        <v>8.5</v>
      </c>
      <c r="F7" s="2948" t="s">
        <v>3054</v>
      </c>
      <c r="G7" s="2948" t="s">
        <v>3124</v>
      </c>
      <c r="H7" s="2948" t="s">
        <v>3134</v>
      </c>
      <c r="I7" s="2946" t="s">
        <v>3135</v>
      </c>
      <c r="J7" s="2946" t="s">
        <v>3127</v>
      </c>
      <c r="K7" s="2945">
        <f t="shared" si="0"/>
        <v>19.02823529411765</v>
      </c>
    </row>
    <row r="8" spans="1:11" s="2945" customFormat="1" ht="39" customHeight="1">
      <c r="A8" s="2946">
        <v>6</v>
      </c>
      <c r="B8" s="2948" t="s">
        <v>3076</v>
      </c>
      <c r="C8" s="2946" t="s">
        <v>3123</v>
      </c>
      <c r="D8" s="2948">
        <v>92.35</v>
      </c>
      <c r="E8" s="2948">
        <v>4.8499999999999996</v>
      </c>
      <c r="F8" s="2948" t="s">
        <v>3054</v>
      </c>
      <c r="G8" s="2948" t="s">
        <v>3124</v>
      </c>
      <c r="H8" s="2948" t="s">
        <v>3136</v>
      </c>
      <c r="I8" s="2946" t="s">
        <v>3137</v>
      </c>
      <c r="J8" s="2946" t="s">
        <v>3127</v>
      </c>
      <c r="K8" s="2945">
        <f t="shared" si="0"/>
        <v>19.041237113402062</v>
      </c>
    </row>
    <row r="9" spans="1:11" s="2945" customFormat="1" ht="39" customHeight="1">
      <c r="A9" s="2946">
        <v>7</v>
      </c>
      <c r="B9" s="2948" t="s">
        <v>3077</v>
      </c>
      <c r="C9" s="2946" t="s">
        <v>3123</v>
      </c>
      <c r="D9" s="2948">
        <v>59.67</v>
      </c>
      <c r="E9" s="2948">
        <v>3.14</v>
      </c>
      <c r="F9" s="2948" t="s">
        <v>3054</v>
      </c>
      <c r="G9" s="2948" t="s">
        <v>3124</v>
      </c>
      <c r="H9" s="2948" t="s">
        <v>3138</v>
      </c>
      <c r="I9" s="2946" t="s">
        <v>3139</v>
      </c>
      <c r="J9" s="2946" t="s">
        <v>3127</v>
      </c>
      <c r="K9" s="2945">
        <f t="shared" si="0"/>
        <v>19.003184713375795</v>
      </c>
    </row>
    <row r="10" spans="1:11" s="2945" customFormat="1" ht="39" customHeight="1">
      <c r="A10" s="2946">
        <v>8</v>
      </c>
      <c r="B10" s="2948" t="s">
        <v>3078</v>
      </c>
      <c r="C10" s="2946" t="s">
        <v>3123</v>
      </c>
      <c r="D10" s="2948">
        <v>113.33</v>
      </c>
      <c r="E10" s="2948">
        <v>5.95</v>
      </c>
      <c r="F10" s="2948" t="s">
        <v>3054</v>
      </c>
      <c r="G10" s="2948" t="s">
        <v>3124</v>
      </c>
      <c r="H10" s="2948" t="s">
        <v>3140</v>
      </c>
      <c r="I10" s="2946" t="s">
        <v>3141</v>
      </c>
      <c r="J10" s="2946" t="s">
        <v>3127</v>
      </c>
      <c r="K10" s="2945">
        <f t="shared" si="0"/>
        <v>19.047058823529412</v>
      </c>
    </row>
    <row r="11" spans="1:11" s="2945" customFormat="1" ht="39" customHeight="1">
      <c r="A11" s="2946">
        <v>9</v>
      </c>
      <c r="B11" s="2947" t="s">
        <v>3142</v>
      </c>
      <c r="C11" s="2948" t="s">
        <v>3143</v>
      </c>
      <c r="D11" s="2949">
        <v>47.82</v>
      </c>
      <c r="E11" s="2949">
        <v>2.5099999999999998</v>
      </c>
      <c r="F11" s="2948" t="s">
        <v>3054</v>
      </c>
      <c r="G11" s="2948" t="s">
        <v>3124</v>
      </c>
      <c r="H11" s="2950" t="s">
        <v>3144</v>
      </c>
      <c r="I11" s="2950" t="s">
        <v>3145</v>
      </c>
      <c r="J11" s="2950" t="s">
        <v>3127</v>
      </c>
      <c r="K11" s="2945">
        <f t="shared" si="0"/>
        <v>19.051792828685262</v>
      </c>
    </row>
    <row r="12" spans="1:11" s="2945" customFormat="1" ht="39" customHeight="1">
      <c r="A12" s="2946">
        <v>10</v>
      </c>
      <c r="B12" s="2947" t="s">
        <v>3146</v>
      </c>
      <c r="C12" s="2948" t="s">
        <v>3143</v>
      </c>
      <c r="D12" s="2949">
        <v>23.28</v>
      </c>
      <c r="E12" s="2949">
        <v>1.22</v>
      </c>
      <c r="F12" s="2948" t="s">
        <v>3054</v>
      </c>
      <c r="G12" s="2948" t="s">
        <v>3124</v>
      </c>
      <c r="H12" s="2950" t="s">
        <v>3147</v>
      </c>
      <c r="I12" s="2950" t="s">
        <v>3055</v>
      </c>
      <c r="J12" s="2950" t="s">
        <v>3127</v>
      </c>
      <c r="K12" s="2945">
        <f t="shared" si="0"/>
        <v>19.081967213114755</v>
      </c>
    </row>
    <row r="13" spans="1:11" s="2945" customFormat="1" ht="39" customHeight="1">
      <c r="A13" s="2946">
        <v>11</v>
      </c>
      <c r="B13" s="2947" t="s">
        <v>3148</v>
      </c>
      <c r="C13" s="2948" t="s">
        <v>3143</v>
      </c>
      <c r="D13" s="2949">
        <v>73.91</v>
      </c>
      <c r="E13" s="2949">
        <v>3.88</v>
      </c>
      <c r="F13" s="2948" t="s">
        <v>3054</v>
      </c>
      <c r="G13" s="2948" t="s">
        <v>3124</v>
      </c>
      <c r="H13" s="2950" t="s">
        <v>3149</v>
      </c>
      <c r="I13" s="2950" t="s">
        <v>3056</v>
      </c>
      <c r="J13" s="2950" t="s">
        <v>3127</v>
      </c>
      <c r="K13" s="2945">
        <f t="shared" si="0"/>
        <v>19.048969072164947</v>
      </c>
    </row>
    <row r="14" spans="1:11" s="2945" customFormat="1" ht="39" customHeight="1">
      <c r="A14" s="2946">
        <v>12</v>
      </c>
      <c r="B14" s="2947" t="s">
        <v>3150</v>
      </c>
      <c r="C14" s="2948" t="s">
        <v>3143</v>
      </c>
      <c r="D14" s="2949">
        <v>167.73</v>
      </c>
      <c r="E14" s="2949">
        <v>8.81</v>
      </c>
      <c r="F14" s="2948" t="s">
        <v>3054</v>
      </c>
      <c r="G14" s="2948" t="s">
        <v>3124</v>
      </c>
      <c r="H14" s="2950" t="s">
        <v>3151</v>
      </c>
      <c r="I14" s="2950" t="s">
        <v>3057</v>
      </c>
      <c r="J14" s="2950" t="s">
        <v>3127</v>
      </c>
      <c r="K14" s="2945">
        <f t="shared" si="0"/>
        <v>19.038592508513052</v>
      </c>
    </row>
    <row r="15" spans="1:11" s="2945" customFormat="1" ht="39" customHeight="1">
      <c r="A15" s="2946">
        <v>13</v>
      </c>
      <c r="B15" s="2947" t="s">
        <v>3152</v>
      </c>
      <c r="C15" s="2948" t="s">
        <v>3143</v>
      </c>
      <c r="D15" s="2949">
        <v>40.200000000000003</v>
      </c>
      <c r="E15" s="2949">
        <v>2.11</v>
      </c>
      <c r="F15" s="2948" t="s">
        <v>3054</v>
      </c>
      <c r="G15" s="2948" t="s">
        <v>3124</v>
      </c>
      <c r="H15" s="2950" t="s">
        <v>3153</v>
      </c>
      <c r="I15" s="2950" t="s">
        <v>3058</v>
      </c>
      <c r="J15" s="2950" t="s">
        <v>3127</v>
      </c>
      <c r="K15" s="2945">
        <f t="shared" si="0"/>
        <v>19.052132701421804</v>
      </c>
    </row>
    <row r="16" spans="1:11" s="2945" customFormat="1" ht="39" customHeight="1">
      <c r="A16" s="2946">
        <v>14</v>
      </c>
      <c r="B16" s="2947" t="s">
        <v>3154</v>
      </c>
      <c r="C16" s="2948" t="s">
        <v>3143</v>
      </c>
      <c r="D16" s="2949">
        <v>92.35</v>
      </c>
      <c r="E16" s="2949">
        <v>4.8499999999999996</v>
      </c>
      <c r="F16" s="2948" t="s">
        <v>3054</v>
      </c>
      <c r="G16" s="2948" t="s">
        <v>3124</v>
      </c>
      <c r="H16" s="2950" t="s">
        <v>3155</v>
      </c>
      <c r="I16" s="2950" t="s">
        <v>3059</v>
      </c>
      <c r="J16" s="2950" t="s">
        <v>3127</v>
      </c>
      <c r="K16" s="2945">
        <f t="shared" si="0"/>
        <v>19.041237113402062</v>
      </c>
    </row>
    <row r="17" spans="1:11" s="2945" customFormat="1" ht="39" customHeight="1">
      <c r="A17" s="2946">
        <v>15</v>
      </c>
      <c r="B17" s="2947" t="s">
        <v>3156</v>
      </c>
      <c r="C17" s="2948" t="s">
        <v>3143</v>
      </c>
      <c r="D17" s="2949">
        <v>59.67</v>
      </c>
      <c r="E17" s="2949">
        <v>3.14</v>
      </c>
      <c r="F17" s="2948" t="s">
        <v>3054</v>
      </c>
      <c r="G17" s="2948" t="s">
        <v>3124</v>
      </c>
      <c r="H17" s="2950" t="s">
        <v>3157</v>
      </c>
      <c r="I17" s="2950" t="s">
        <v>3060</v>
      </c>
      <c r="J17" s="2950" t="s">
        <v>3127</v>
      </c>
      <c r="K17" s="2945">
        <f t="shared" si="0"/>
        <v>19.003184713375795</v>
      </c>
    </row>
    <row r="18" spans="1:11" s="2945" customFormat="1" ht="39" customHeight="1">
      <c r="A18" s="2946">
        <v>16</v>
      </c>
      <c r="B18" s="2947" t="s">
        <v>3158</v>
      </c>
      <c r="C18" s="2948" t="s">
        <v>3143</v>
      </c>
      <c r="D18" s="2949">
        <v>101.3</v>
      </c>
      <c r="E18" s="2949">
        <v>5.32</v>
      </c>
      <c r="F18" s="2948" t="s">
        <v>3054</v>
      </c>
      <c r="G18" s="2948" t="s">
        <v>3124</v>
      </c>
      <c r="H18" s="2950" t="s">
        <v>3159</v>
      </c>
      <c r="I18" s="2950" t="s">
        <v>3061</v>
      </c>
      <c r="J18" s="2950" t="s">
        <v>3127</v>
      </c>
      <c r="K18" s="2945">
        <f t="shared" si="0"/>
        <v>19.041353383458645</v>
      </c>
    </row>
    <row r="19" spans="1:11" s="2945" customFormat="1" ht="39" customHeight="1">
      <c r="A19" s="2946">
        <v>17</v>
      </c>
      <c r="B19" s="2947" t="s">
        <v>3160</v>
      </c>
      <c r="C19" s="2948" t="s">
        <v>3143</v>
      </c>
      <c r="D19" s="2949">
        <v>97.26</v>
      </c>
      <c r="E19" s="2949">
        <v>5.1100000000000003</v>
      </c>
      <c r="F19" s="2948" t="s">
        <v>3054</v>
      </c>
      <c r="G19" s="2948" t="s">
        <v>3124</v>
      </c>
      <c r="H19" s="2950" t="s">
        <v>3161</v>
      </c>
      <c r="I19" s="2950" t="s">
        <v>3162</v>
      </c>
      <c r="J19" s="2950" t="s">
        <v>3127</v>
      </c>
      <c r="K19" s="2945">
        <f t="shared" si="0"/>
        <v>19.033268101761252</v>
      </c>
    </row>
    <row r="20" spans="1:11" s="2945" customFormat="1" ht="39" customHeight="1">
      <c r="A20" s="2946">
        <v>18</v>
      </c>
      <c r="B20" s="2946" t="s">
        <v>3163</v>
      </c>
      <c r="C20" s="2946" t="s">
        <v>3164</v>
      </c>
      <c r="D20" s="2948">
        <v>86.79</v>
      </c>
      <c r="E20" s="2948">
        <v>4.5599999999999996</v>
      </c>
      <c r="F20" s="2948" t="s">
        <v>3054</v>
      </c>
      <c r="G20" s="2948" t="s">
        <v>3124</v>
      </c>
      <c r="H20" s="2948" t="s">
        <v>3165</v>
      </c>
      <c r="I20" s="2946" t="s">
        <v>3166</v>
      </c>
      <c r="J20" s="2946" t="s">
        <v>3127</v>
      </c>
      <c r="K20" s="2945">
        <f t="shared" si="0"/>
        <v>19.03289473684211</v>
      </c>
    </row>
    <row r="21" spans="1:11" s="2945" customFormat="1" ht="39" customHeight="1">
      <c r="A21" s="2946">
        <v>19</v>
      </c>
      <c r="B21" s="2948" t="s">
        <v>3079</v>
      </c>
      <c r="C21" s="2946" t="s">
        <v>3164</v>
      </c>
      <c r="D21" s="2948">
        <v>91.14</v>
      </c>
      <c r="E21" s="2948">
        <v>4.79</v>
      </c>
      <c r="F21" s="2948" t="s">
        <v>3054</v>
      </c>
      <c r="G21" s="2948" t="s">
        <v>3124</v>
      </c>
      <c r="H21" s="2948" t="s">
        <v>3167</v>
      </c>
      <c r="I21" s="2946" t="s">
        <v>3168</v>
      </c>
      <c r="J21" s="2946" t="s">
        <v>3127</v>
      </c>
      <c r="K21" s="2945">
        <f t="shared" si="0"/>
        <v>19.027139874739039</v>
      </c>
    </row>
    <row r="22" spans="1:11" s="2945" customFormat="1" ht="39" customHeight="1">
      <c r="A22" s="2946">
        <v>20</v>
      </c>
      <c r="B22" s="2947" t="s">
        <v>3169</v>
      </c>
      <c r="C22" s="2948" t="s">
        <v>3170</v>
      </c>
      <c r="D22" s="2949">
        <v>47.82</v>
      </c>
      <c r="E22" s="2949">
        <v>2.5099999999999998</v>
      </c>
      <c r="F22" s="2948" t="s">
        <v>3054</v>
      </c>
      <c r="G22" s="2948" t="s">
        <v>3124</v>
      </c>
      <c r="H22" s="2950" t="s">
        <v>3171</v>
      </c>
      <c r="I22" s="2950" t="s">
        <v>3062</v>
      </c>
      <c r="J22" s="2950" t="s">
        <v>3127</v>
      </c>
      <c r="K22" s="2945">
        <f t="shared" si="0"/>
        <v>19.051792828685262</v>
      </c>
    </row>
    <row r="23" spans="1:11" s="2945" customFormat="1" ht="39" customHeight="1">
      <c r="A23" s="2946">
        <v>21</v>
      </c>
      <c r="B23" s="2947" t="s">
        <v>3172</v>
      </c>
      <c r="C23" s="2948" t="s">
        <v>3170</v>
      </c>
      <c r="D23" s="2949">
        <v>23.28</v>
      </c>
      <c r="E23" s="2949">
        <v>1.22</v>
      </c>
      <c r="F23" s="2948" t="s">
        <v>3054</v>
      </c>
      <c r="G23" s="2948" t="s">
        <v>3124</v>
      </c>
      <c r="H23" s="2950" t="s">
        <v>3173</v>
      </c>
      <c r="I23" s="2950" t="s">
        <v>3063</v>
      </c>
      <c r="J23" s="2950" t="s">
        <v>3127</v>
      </c>
      <c r="K23" s="2945">
        <f t="shared" si="0"/>
        <v>19.081967213114755</v>
      </c>
    </row>
    <row r="24" spans="1:11" s="2945" customFormat="1" ht="39" customHeight="1">
      <c r="A24" s="2946">
        <v>22</v>
      </c>
      <c r="B24" s="2947" t="s">
        <v>3174</v>
      </c>
      <c r="C24" s="2948" t="s">
        <v>3170</v>
      </c>
      <c r="D24" s="2949">
        <v>73.91</v>
      </c>
      <c r="E24" s="2949">
        <v>3.88</v>
      </c>
      <c r="F24" s="2948" t="s">
        <v>3054</v>
      </c>
      <c r="G24" s="2948" t="s">
        <v>3124</v>
      </c>
      <c r="H24" s="2950" t="s">
        <v>3175</v>
      </c>
      <c r="I24" s="2950" t="s">
        <v>3064</v>
      </c>
      <c r="J24" s="2950" t="s">
        <v>3127</v>
      </c>
      <c r="K24" s="2945">
        <f t="shared" si="0"/>
        <v>19.048969072164947</v>
      </c>
    </row>
    <row r="25" spans="1:11" s="2945" customFormat="1" ht="39" customHeight="1">
      <c r="A25" s="2946">
        <v>23</v>
      </c>
      <c r="B25" s="2947" t="s">
        <v>3176</v>
      </c>
      <c r="C25" s="2948" t="s">
        <v>3170</v>
      </c>
      <c r="D25" s="2949">
        <v>167.91</v>
      </c>
      <c r="E25" s="2949">
        <v>8.82</v>
      </c>
      <c r="F25" s="2948" t="s">
        <v>3054</v>
      </c>
      <c r="G25" s="2948" t="s">
        <v>3124</v>
      </c>
      <c r="H25" s="2950" t="s">
        <v>3177</v>
      </c>
      <c r="I25" s="2950" t="s">
        <v>3065</v>
      </c>
      <c r="J25" s="2950" t="s">
        <v>3127</v>
      </c>
      <c r="K25" s="2945">
        <f t="shared" si="0"/>
        <v>19.037414965986393</v>
      </c>
    </row>
    <row r="26" spans="1:11" s="2945" customFormat="1" ht="39" customHeight="1">
      <c r="A26" s="2946">
        <v>24</v>
      </c>
      <c r="B26" s="2947" t="s">
        <v>3178</v>
      </c>
      <c r="C26" s="2948" t="s">
        <v>3170</v>
      </c>
      <c r="D26" s="2949">
        <v>39.78</v>
      </c>
      <c r="E26" s="2949">
        <v>2.09</v>
      </c>
      <c r="F26" s="2948" t="s">
        <v>3054</v>
      </c>
      <c r="G26" s="2948" t="s">
        <v>3124</v>
      </c>
      <c r="H26" s="2950" t="s">
        <v>3179</v>
      </c>
      <c r="I26" s="2950" t="s">
        <v>3066</v>
      </c>
      <c r="J26" s="2950" t="s">
        <v>3127</v>
      </c>
      <c r="K26" s="2945">
        <f t="shared" si="0"/>
        <v>19.033492822966508</v>
      </c>
    </row>
    <row r="27" spans="1:11" s="2945" customFormat="1" ht="39" customHeight="1">
      <c r="A27" s="2946">
        <v>25</v>
      </c>
      <c r="B27" s="2947" t="s">
        <v>3180</v>
      </c>
      <c r="C27" s="2948" t="s">
        <v>3170</v>
      </c>
      <c r="D27" s="2949">
        <v>92.35</v>
      </c>
      <c r="E27" s="2949">
        <v>4.8499999999999996</v>
      </c>
      <c r="F27" s="2948" t="s">
        <v>3054</v>
      </c>
      <c r="G27" s="2948" t="s">
        <v>3124</v>
      </c>
      <c r="H27" s="2950" t="s">
        <v>3181</v>
      </c>
      <c r="I27" s="2950" t="s">
        <v>3067</v>
      </c>
      <c r="J27" s="2950" t="s">
        <v>3127</v>
      </c>
      <c r="K27" s="2945">
        <f t="shared" si="0"/>
        <v>19.041237113402062</v>
      </c>
    </row>
    <row r="28" spans="1:11" s="2945" customFormat="1" ht="39" customHeight="1">
      <c r="A28" s="2946">
        <v>26</v>
      </c>
      <c r="B28" s="2947" t="s">
        <v>3182</v>
      </c>
      <c r="C28" s="2948" t="s">
        <v>3170</v>
      </c>
      <c r="D28" s="2949">
        <v>59.67</v>
      </c>
      <c r="E28" s="2949">
        <v>3.14</v>
      </c>
      <c r="F28" s="2948" t="s">
        <v>3054</v>
      </c>
      <c r="G28" s="2948" t="s">
        <v>3124</v>
      </c>
      <c r="H28" s="2950" t="s">
        <v>3183</v>
      </c>
      <c r="I28" s="2950" t="s">
        <v>3068</v>
      </c>
      <c r="J28" s="2950" t="s">
        <v>3127</v>
      </c>
      <c r="K28" s="2945">
        <f t="shared" si="0"/>
        <v>19.003184713375795</v>
      </c>
    </row>
    <row r="29" spans="1:11" s="2945" customFormat="1" ht="39" customHeight="1">
      <c r="A29" s="2946">
        <v>27</v>
      </c>
      <c r="B29" s="2947" t="s">
        <v>3184</v>
      </c>
      <c r="C29" s="2948" t="s">
        <v>3170</v>
      </c>
      <c r="D29" s="2949">
        <v>101.3</v>
      </c>
      <c r="E29" s="2949">
        <v>5.32</v>
      </c>
      <c r="F29" s="2948" t="s">
        <v>3054</v>
      </c>
      <c r="G29" s="2948" t="s">
        <v>3124</v>
      </c>
      <c r="H29" s="2950" t="s">
        <v>3185</v>
      </c>
      <c r="I29" s="2950" t="s">
        <v>3069</v>
      </c>
      <c r="J29" s="2950" t="s">
        <v>3127</v>
      </c>
      <c r="K29" s="2945">
        <f t="shared" si="0"/>
        <v>19.041353383458645</v>
      </c>
    </row>
    <row r="30" spans="1:11" s="2945" customFormat="1" ht="39" customHeight="1">
      <c r="A30" s="2946">
        <v>28</v>
      </c>
      <c r="B30" s="2947" t="s">
        <v>3186</v>
      </c>
      <c r="C30" s="2948" t="s">
        <v>3170</v>
      </c>
      <c r="D30" s="2949">
        <v>76.040000000000006</v>
      </c>
      <c r="E30" s="2949">
        <v>4</v>
      </c>
      <c r="F30" s="2948" t="s">
        <v>3054</v>
      </c>
      <c r="G30" s="2948" t="s">
        <v>3124</v>
      </c>
      <c r="H30" s="2950" t="s">
        <v>3187</v>
      </c>
      <c r="I30" s="2950" t="s">
        <v>3070</v>
      </c>
      <c r="J30" s="2950" t="s">
        <v>3127</v>
      </c>
      <c r="K30" s="2945">
        <f t="shared" si="0"/>
        <v>19.010000000000002</v>
      </c>
    </row>
    <row r="31" spans="1:11" s="2945" customFormat="1" ht="39" customHeight="1">
      <c r="A31" s="2946">
        <v>29</v>
      </c>
      <c r="B31" s="2947" t="s">
        <v>3188</v>
      </c>
      <c r="C31" s="2948" t="s">
        <v>3170</v>
      </c>
      <c r="D31" s="2949">
        <v>144.65</v>
      </c>
      <c r="E31" s="2949">
        <v>7.6</v>
      </c>
      <c r="F31" s="2948" t="s">
        <v>3054</v>
      </c>
      <c r="G31" s="2948" t="s">
        <v>3124</v>
      </c>
      <c r="H31" s="2950" t="s">
        <v>3189</v>
      </c>
      <c r="I31" s="2950" t="s">
        <v>3071</v>
      </c>
      <c r="J31" s="2950" t="s">
        <v>3127</v>
      </c>
      <c r="K31" s="2945">
        <f t="shared" si="0"/>
        <v>19.032894736842106</v>
      </c>
    </row>
    <row r="32" spans="1:11" s="2945" customFormat="1" ht="39" customHeight="1">
      <c r="A32" s="2946">
        <v>30</v>
      </c>
      <c r="B32" s="2947" t="s">
        <v>3190</v>
      </c>
      <c r="C32" s="2948" t="s">
        <v>3170</v>
      </c>
      <c r="D32" s="2949">
        <v>91.14</v>
      </c>
      <c r="E32" s="2949">
        <v>4.79</v>
      </c>
      <c r="F32" s="2948" t="s">
        <v>3054</v>
      </c>
      <c r="G32" s="2948" t="s">
        <v>3124</v>
      </c>
      <c r="H32" s="2950" t="s">
        <v>3191</v>
      </c>
      <c r="I32" s="2950" t="s">
        <v>3192</v>
      </c>
      <c r="J32" s="2950" t="s">
        <v>3127</v>
      </c>
      <c r="K32" s="2945">
        <f t="shared" si="0"/>
        <v>19.027139874739039</v>
      </c>
    </row>
    <row r="33" spans="1:11" s="2945" customFormat="1" ht="39" customHeight="1">
      <c r="A33" s="2946">
        <v>31</v>
      </c>
      <c r="B33" s="2948" t="s">
        <v>3080</v>
      </c>
      <c r="C33" s="2946" t="s">
        <v>3193</v>
      </c>
      <c r="D33" s="2948">
        <v>47.82</v>
      </c>
      <c r="E33" s="2948">
        <v>2.5099999999999998</v>
      </c>
      <c r="F33" s="2948" t="s">
        <v>3054</v>
      </c>
      <c r="G33" s="2948" t="s">
        <v>3124</v>
      </c>
      <c r="H33" s="2948" t="s">
        <v>3194</v>
      </c>
      <c r="I33" s="2946" t="s">
        <v>3195</v>
      </c>
      <c r="J33" s="2946" t="s">
        <v>3127</v>
      </c>
      <c r="K33" s="2945">
        <f t="shared" si="0"/>
        <v>19.051792828685262</v>
      </c>
    </row>
    <row r="34" spans="1:11" s="2945" customFormat="1" ht="39" customHeight="1">
      <c r="A34" s="2946">
        <v>32</v>
      </c>
      <c r="B34" s="2946" t="s">
        <v>3081</v>
      </c>
      <c r="C34" s="2946" t="s">
        <v>3193</v>
      </c>
      <c r="D34" s="2948">
        <v>23.28</v>
      </c>
      <c r="E34" s="2948">
        <v>1.22</v>
      </c>
      <c r="F34" s="2948" t="s">
        <v>3054</v>
      </c>
      <c r="G34" s="2948" t="s">
        <v>3124</v>
      </c>
      <c r="H34" s="2948" t="s">
        <v>3196</v>
      </c>
      <c r="I34" s="2946" t="s">
        <v>3197</v>
      </c>
      <c r="J34" s="2946" t="s">
        <v>3127</v>
      </c>
      <c r="K34" s="2945">
        <f t="shared" si="0"/>
        <v>19.081967213114755</v>
      </c>
    </row>
    <row r="35" spans="1:11" s="2945" customFormat="1" ht="39" customHeight="1">
      <c r="A35" s="2946">
        <v>33</v>
      </c>
      <c r="B35" s="2948" t="s">
        <v>3082</v>
      </c>
      <c r="C35" s="2946" t="s">
        <v>3193</v>
      </c>
      <c r="D35" s="2948">
        <v>73.91</v>
      </c>
      <c r="E35" s="2948">
        <v>3.88</v>
      </c>
      <c r="F35" s="2948" t="s">
        <v>3054</v>
      </c>
      <c r="G35" s="2948" t="s">
        <v>3124</v>
      </c>
      <c r="H35" s="2948" t="s">
        <v>3198</v>
      </c>
      <c r="I35" s="2946" t="s">
        <v>3199</v>
      </c>
      <c r="J35" s="2946" t="s">
        <v>3127</v>
      </c>
      <c r="K35" s="2945">
        <f t="shared" si="0"/>
        <v>19.048969072164947</v>
      </c>
    </row>
    <row r="36" spans="1:11" s="2945" customFormat="1" ht="39" customHeight="1">
      <c r="A36" s="2946">
        <v>34</v>
      </c>
      <c r="B36" s="2948" t="s">
        <v>3083</v>
      </c>
      <c r="C36" s="2946" t="s">
        <v>3193</v>
      </c>
      <c r="D36" s="2948">
        <v>167.91</v>
      </c>
      <c r="E36" s="2948">
        <v>8.82</v>
      </c>
      <c r="F36" s="2948" t="s">
        <v>3054</v>
      </c>
      <c r="G36" s="2948" t="s">
        <v>3124</v>
      </c>
      <c r="H36" s="2948" t="s">
        <v>3200</v>
      </c>
      <c r="I36" s="2946" t="s">
        <v>3201</v>
      </c>
      <c r="J36" s="2946" t="s">
        <v>3127</v>
      </c>
      <c r="K36" s="2945">
        <f t="shared" si="0"/>
        <v>19.037414965986393</v>
      </c>
    </row>
    <row r="37" spans="1:11" s="2945" customFormat="1" ht="39" customHeight="1">
      <c r="A37" s="2946">
        <v>35</v>
      </c>
      <c r="B37" s="2948" t="s">
        <v>3084</v>
      </c>
      <c r="C37" s="2946" t="s">
        <v>3193</v>
      </c>
      <c r="D37" s="2948">
        <v>39.78</v>
      </c>
      <c r="E37" s="2948">
        <v>2.09</v>
      </c>
      <c r="F37" s="2948" t="s">
        <v>3054</v>
      </c>
      <c r="G37" s="2948" t="s">
        <v>3124</v>
      </c>
      <c r="H37" s="2948" t="s">
        <v>3202</v>
      </c>
      <c r="I37" s="2946" t="s">
        <v>3203</v>
      </c>
      <c r="J37" s="2946" t="s">
        <v>3127</v>
      </c>
      <c r="K37" s="2945">
        <f t="shared" si="0"/>
        <v>19.033492822966508</v>
      </c>
    </row>
    <row r="38" spans="1:11" s="2945" customFormat="1" ht="39" customHeight="1">
      <c r="A38" s="2946">
        <v>36</v>
      </c>
      <c r="B38" s="2948" t="s">
        <v>3085</v>
      </c>
      <c r="C38" s="2946" t="s">
        <v>3193</v>
      </c>
      <c r="D38" s="2948">
        <v>92.35</v>
      </c>
      <c r="E38" s="2948">
        <v>4.8499999999999996</v>
      </c>
      <c r="F38" s="2948" t="s">
        <v>3054</v>
      </c>
      <c r="G38" s="2948" t="s">
        <v>3124</v>
      </c>
      <c r="H38" s="2948" t="s">
        <v>3204</v>
      </c>
      <c r="I38" s="2946" t="s">
        <v>3205</v>
      </c>
      <c r="J38" s="2946" t="s">
        <v>3127</v>
      </c>
      <c r="K38" s="2945">
        <f t="shared" si="0"/>
        <v>19.041237113402062</v>
      </c>
    </row>
    <row r="39" spans="1:11" s="2945" customFormat="1" ht="39" customHeight="1">
      <c r="A39" s="2946">
        <v>37</v>
      </c>
      <c r="B39" s="2948" t="s">
        <v>3086</v>
      </c>
      <c r="C39" s="2946" t="s">
        <v>3193</v>
      </c>
      <c r="D39" s="2946">
        <v>59.67</v>
      </c>
      <c r="E39" s="2946">
        <v>3.14</v>
      </c>
      <c r="F39" s="2948" t="s">
        <v>3054</v>
      </c>
      <c r="G39" s="2948" t="s">
        <v>3124</v>
      </c>
      <c r="H39" s="2948" t="s">
        <v>3206</v>
      </c>
      <c r="I39" s="2946" t="s">
        <v>3207</v>
      </c>
      <c r="J39" s="2946" t="s">
        <v>3127</v>
      </c>
      <c r="K39" s="2945">
        <f t="shared" si="0"/>
        <v>19.003184713375795</v>
      </c>
    </row>
    <row r="40" spans="1:11" s="2945" customFormat="1" ht="39" customHeight="1">
      <c r="A40" s="2946">
        <v>38</v>
      </c>
      <c r="B40" s="2948" t="s">
        <v>3087</v>
      </c>
      <c r="C40" s="2946" t="s">
        <v>3193</v>
      </c>
      <c r="D40" s="2948">
        <v>101.3</v>
      </c>
      <c r="E40" s="2948">
        <v>5.32</v>
      </c>
      <c r="F40" s="2948" t="s">
        <v>3054</v>
      </c>
      <c r="G40" s="2948" t="s">
        <v>3124</v>
      </c>
      <c r="H40" s="2948" t="s">
        <v>3208</v>
      </c>
      <c r="I40" s="2946" t="s">
        <v>3209</v>
      </c>
      <c r="J40" s="2946" t="s">
        <v>3127</v>
      </c>
      <c r="K40" s="2945">
        <f t="shared" si="0"/>
        <v>19.041353383458645</v>
      </c>
    </row>
    <row r="41" spans="1:11" s="2945" customFormat="1" ht="39" customHeight="1">
      <c r="A41" s="2946">
        <v>39</v>
      </c>
      <c r="B41" s="2948" t="s">
        <v>3088</v>
      </c>
      <c r="C41" s="2946" t="s">
        <v>3193</v>
      </c>
      <c r="D41" s="2948">
        <v>76.040000000000006</v>
      </c>
      <c r="E41" s="2948">
        <v>4</v>
      </c>
      <c r="F41" s="2948" t="s">
        <v>3054</v>
      </c>
      <c r="G41" s="2948" t="s">
        <v>3124</v>
      </c>
      <c r="H41" s="2948" t="s">
        <v>3210</v>
      </c>
      <c r="I41" s="2946" t="s">
        <v>3211</v>
      </c>
      <c r="J41" s="2946" t="s">
        <v>3127</v>
      </c>
      <c r="K41" s="2945">
        <f t="shared" si="0"/>
        <v>19.010000000000002</v>
      </c>
    </row>
    <row r="42" spans="1:11" s="2945" customFormat="1" ht="39" customHeight="1">
      <c r="A42" s="2946">
        <v>40</v>
      </c>
      <c r="B42" s="2948" t="s">
        <v>3089</v>
      </c>
      <c r="C42" s="2946" t="s">
        <v>3193</v>
      </c>
      <c r="D42" s="2948">
        <v>144.65</v>
      </c>
      <c r="E42" s="2948">
        <v>7.6</v>
      </c>
      <c r="F42" s="2948" t="s">
        <v>3054</v>
      </c>
      <c r="G42" s="2948" t="s">
        <v>3124</v>
      </c>
      <c r="H42" s="2948" t="s">
        <v>3212</v>
      </c>
      <c r="I42" s="2946" t="s">
        <v>3213</v>
      </c>
      <c r="J42" s="2946" t="s">
        <v>3127</v>
      </c>
      <c r="K42" s="2945">
        <f t="shared" si="0"/>
        <v>19.032894736842106</v>
      </c>
    </row>
    <row r="43" spans="1:11" s="2945" customFormat="1" ht="39" customHeight="1">
      <c r="A43" s="2946">
        <v>41</v>
      </c>
      <c r="B43" s="2948" t="s">
        <v>3090</v>
      </c>
      <c r="C43" s="2946" t="s">
        <v>3193</v>
      </c>
      <c r="D43" s="2948">
        <v>91.14</v>
      </c>
      <c r="E43" s="2948">
        <v>4.79</v>
      </c>
      <c r="F43" s="2948" t="s">
        <v>3054</v>
      </c>
      <c r="G43" s="2948" t="s">
        <v>3124</v>
      </c>
      <c r="H43" s="2948" t="s">
        <v>3214</v>
      </c>
      <c r="I43" s="2946" t="s">
        <v>3215</v>
      </c>
      <c r="J43" s="2946" t="s">
        <v>3127</v>
      </c>
      <c r="K43" s="2945">
        <f t="shared" si="0"/>
        <v>19.027139874739039</v>
      </c>
    </row>
    <row r="44" spans="1:11" s="2945" customFormat="1" ht="39" customHeight="1">
      <c r="A44" s="2946">
        <v>42</v>
      </c>
      <c r="B44" s="2946" t="s">
        <v>3216</v>
      </c>
      <c r="C44" s="2946" t="s">
        <v>3092</v>
      </c>
      <c r="D44" s="2948">
        <v>47.82</v>
      </c>
      <c r="E44" s="2948">
        <v>2.5099999999999998</v>
      </c>
      <c r="F44" s="2948" t="s">
        <v>3054</v>
      </c>
      <c r="G44" s="2948" t="s">
        <v>3124</v>
      </c>
      <c r="H44" s="2948" t="s">
        <v>3217</v>
      </c>
      <c r="I44" s="2946" t="s">
        <v>3218</v>
      </c>
      <c r="J44" s="2946" t="s">
        <v>3127</v>
      </c>
      <c r="K44" s="2945">
        <f t="shared" si="0"/>
        <v>19.051792828685262</v>
      </c>
    </row>
    <row r="45" spans="1:11" s="2945" customFormat="1" ht="39" customHeight="1">
      <c r="A45" s="2946">
        <v>43</v>
      </c>
      <c r="B45" s="2948" t="s">
        <v>3091</v>
      </c>
      <c r="C45" s="2946" t="s">
        <v>3092</v>
      </c>
      <c r="D45" s="2948">
        <v>23.28</v>
      </c>
      <c r="E45" s="2948">
        <v>1.22</v>
      </c>
      <c r="F45" s="2948" t="s">
        <v>3054</v>
      </c>
      <c r="G45" s="2948" t="s">
        <v>3124</v>
      </c>
      <c r="H45" s="2948" t="s">
        <v>3219</v>
      </c>
      <c r="I45" s="2946" t="s">
        <v>3220</v>
      </c>
      <c r="J45" s="2946" t="s">
        <v>3127</v>
      </c>
      <c r="K45" s="2945">
        <f t="shared" si="0"/>
        <v>19.081967213114755</v>
      </c>
    </row>
    <row r="46" spans="1:11" s="2945" customFormat="1" ht="39" customHeight="1">
      <c r="A46" s="2946">
        <v>44</v>
      </c>
      <c r="B46" s="2948" t="s">
        <v>3093</v>
      </c>
      <c r="C46" s="2946" t="s">
        <v>3092</v>
      </c>
      <c r="D46" s="2948">
        <v>73.91</v>
      </c>
      <c r="E46" s="2948">
        <v>3.88</v>
      </c>
      <c r="F46" s="2948" t="s">
        <v>3054</v>
      </c>
      <c r="G46" s="2948" t="s">
        <v>3124</v>
      </c>
      <c r="H46" s="2948" t="s">
        <v>3221</v>
      </c>
      <c r="I46" s="2946" t="s">
        <v>3222</v>
      </c>
      <c r="J46" s="2946" t="s">
        <v>3127</v>
      </c>
      <c r="K46" s="2945">
        <f t="shared" si="0"/>
        <v>19.048969072164947</v>
      </c>
    </row>
    <row r="47" spans="1:11" s="2945" customFormat="1" ht="39" customHeight="1">
      <c r="A47" s="2946">
        <v>45</v>
      </c>
      <c r="B47" s="2948" t="s">
        <v>3094</v>
      </c>
      <c r="C47" s="2946" t="s">
        <v>3092</v>
      </c>
      <c r="D47" s="2948">
        <v>167.91</v>
      </c>
      <c r="E47" s="2948">
        <v>8.82</v>
      </c>
      <c r="F47" s="2948" t="s">
        <v>3054</v>
      </c>
      <c r="G47" s="2948" t="s">
        <v>3124</v>
      </c>
      <c r="H47" s="2948" t="s">
        <v>3223</v>
      </c>
      <c r="I47" s="2946" t="s">
        <v>3224</v>
      </c>
      <c r="J47" s="2946" t="s">
        <v>3127</v>
      </c>
      <c r="K47" s="2945">
        <f t="shared" si="0"/>
        <v>19.037414965986393</v>
      </c>
    </row>
    <row r="48" spans="1:11" s="2945" customFormat="1" ht="39" customHeight="1">
      <c r="A48" s="2946">
        <v>46</v>
      </c>
      <c r="B48" s="2948" t="s">
        <v>3095</v>
      </c>
      <c r="C48" s="2946" t="s">
        <v>3092</v>
      </c>
      <c r="D48" s="2948">
        <v>39.78</v>
      </c>
      <c r="E48" s="2948">
        <v>2.09</v>
      </c>
      <c r="F48" s="2948" t="s">
        <v>3054</v>
      </c>
      <c r="G48" s="2948" t="s">
        <v>3124</v>
      </c>
      <c r="H48" s="2948" t="s">
        <v>3225</v>
      </c>
      <c r="I48" s="2946" t="s">
        <v>3226</v>
      </c>
      <c r="J48" s="2946" t="s">
        <v>3127</v>
      </c>
      <c r="K48" s="2945">
        <f t="shared" si="0"/>
        <v>19.033492822966508</v>
      </c>
    </row>
    <row r="49" spans="1:11" s="2945" customFormat="1" ht="39" customHeight="1">
      <c r="A49" s="2946">
        <v>47</v>
      </c>
      <c r="B49" s="2948" t="s">
        <v>3096</v>
      </c>
      <c r="C49" s="2946" t="s">
        <v>3092</v>
      </c>
      <c r="D49" s="2948">
        <v>92.35</v>
      </c>
      <c r="E49" s="2948">
        <v>4.8499999999999996</v>
      </c>
      <c r="F49" s="2948" t="s">
        <v>3054</v>
      </c>
      <c r="G49" s="2948" t="s">
        <v>3124</v>
      </c>
      <c r="H49" s="2948" t="s">
        <v>3227</v>
      </c>
      <c r="I49" s="2946" t="s">
        <v>3228</v>
      </c>
      <c r="J49" s="2946" t="s">
        <v>3127</v>
      </c>
      <c r="K49" s="2945">
        <f t="shared" si="0"/>
        <v>19.041237113402062</v>
      </c>
    </row>
    <row r="50" spans="1:11" s="2945" customFormat="1" ht="39" customHeight="1">
      <c r="A50" s="2946">
        <v>48</v>
      </c>
      <c r="B50" s="2948" t="s">
        <v>3097</v>
      </c>
      <c r="C50" s="2946" t="s">
        <v>3092</v>
      </c>
      <c r="D50" s="2948">
        <v>59.67</v>
      </c>
      <c r="E50" s="2948">
        <v>3.14</v>
      </c>
      <c r="F50" s="2948" t="s">
        <v>3054</v>
      </c>
      <c r="G50" s="2948" t="s">
        <v>3124</v>
      </c>
      <c r="H50" s="2948" t="s">
        <v>3229</v>
      </c>
      <c r="I50" s="2946" t="s">
        <v>3230</v>
      </c>
      <c r="J50" s="2946" t="s">
        <v>3127</v>
      </c>
      <c r="K50" s="2945">
        <f t="shared" si="0"/>
        <v>19.003184713375795</v>
      </c>
    </row>
    <row r="51" spans="1:11" s="2945" customFormat="1" ht="39" customHeight="1">
      <c r="A51" s="2946">
        <v>49</v>
      </c>
      <c r="B51" s="2948" t="s">
        <v>3098</v>
      </c>
      <c r="C51" s="2946" t="s">
        <v>3092</v>
      </c>
      <c r="D51" s="2948">
        <v>101.3</v>
      </c>
      <c r="E51" s="2948">
        <v>5.32</v>
      </c>
      <c r="F51" s="2948" t="s">
        <v>3054</v>
      </c>
      <c r="G51" s="2948" t="s">
        <v>3124</v>
      </c>
      <c r="H51" s="2948" t="s">
        <v>3231</v>
      </c>
      <c r="I51" s="2946" t="s">
        <v>3232</v>
      </c>
      <c r="J51" s="2946" t="s">
        <v>3127</v>
      </c>
      <c r="K51" s="2945">
        <f t="shared" si="0"/>
        <v>19.041353383458645</v>
      </c>
    </row>
    <row r="52" spans="1:11" s="2945" customFormat="1" ht="39" customHeight="1">
      <c r="A52" s="2946">
        <v>50</v>
      </c>
      <c r="B52" s="2948" t="s">
        <v>3099</v>
      </c>
      <c r="C52" s="2946" t="s">
        <v>3092</v>
      </c>
      <c r="D52" s="2948">
        <v>76.040000000000006</v>
      </c>
      <c r="E52" s="2948">
        <v>4</v>
      </c>
      <c r="F52" s="2948" t="s">
        <v>3054</v>
      </c>
      <c r="G52" s="2948" t="s">
        <v>3124</v>
      </c>
      <c r="H52" s="2948" t="s">
        <v>3233</v>
      </c>
      <c r="I52" s="2946" t="s">
        <v>3234</v>
      </c>
      <c r="J52" s="2946" t="s">
        <v>3127</v>
      </c>
      <c r="K52" s="2945">
        <f t="shared" si="0"/>
        <v>19.010000000000002</v>
      </c>
    </row>
    <row r="53" spans="1:11" s="2945" customFormat="1" ht="39" customHeight="1">
      <c r="A53" s="2946">
        <v>51</v>
      </c>
      <c r="B53" s="2948" t="s">
        <v>3100</v>
      </c>
      <c r="C53" s="2946" t="s">
        <v>3092</v>
      </c>
      <c r="D53" s="2948">
        <v>144.65</v>
      </c>
      <c r="E53" s="2948">
        <v>7.6</v>
      </c>
      <c r="F53" s="2948" t="s">
        <v>3054</v>
      </c>
      <c r="G53" s="2948" t="s">
        <v>3124</v>
      </c>
      <c r="H53" s="2948" t="s">
        <v>3235</v>
      </c>
      <c r="I53" s="2946" t="s">
        <v>3236</v>
      </c>
      <c r="J53" s="2946" t="s">
        <v>3127</v>
      </c>
      <c r="K53" s="2945">
        <f t="shared" si="0"/>
        <v>19.032894736842106</v>
      </c>
    </row>
    <row r="54" spans="1:11" s="2945" customFormat="1" ht="39" customHeight="1">
      <c r="A54" s="2946">
        <v>52</v>
      </c>
      <c r="B54" s="2948" t="s">
        <v>3101</v>
      </c>
      <c r="C54" s="2946" t="s">
        <v>3092</v>
      </c>
      <c r="D54" s="2948">
        <v>91.14</v>
      </c>
      <c r="E54" s="2948">
        <v>4.79</v>
      </c>
      <c r="F54" s="2948" t="s">
        <v>3054</v>
      </c>
      <c r="G54" s="2948" t="s">
        <v>3124</v>
      </c>
      <c r="H54" s="2948" t="s">
        <v>3237</v>
      </c>
      <c r="I54" s="2946" t="s">
        <v>3238</v>
      </c>
      <c r="J54" s="2946" t="s">
        <v>3127</v>
      </c>
      <c r="K54" s="2945">
        <f t="shared" si="0"/>
        <v>19.027139874739039</v>
      </c>
    </row>
    <row r="55" spans="1:11" s="2945" customFormat="1" ht="39" customHeight="1">
      <c r="A55" s="2946">
        <v>53</v>
      </c>
      <c r="B55" s="2948" t="s">
        <v>3102</v>
      </c>
      <c r="C55" s="2946" t="s">
        <v>3164</v>
      </c>
      <c r="D55" s="2948">
        <v>228.77</v>
      </c>
      <c r="E55" s="2948">
        <v>12.02</v>
      </c>
      <c r="F55" s="2948" t="s">
        <v>3054</v>
      </c>
      <c r="G55" s="2948" t="s">
        <v>3124</v>
      </c>
      <c r="H55" s="2948" t="s">
        <v>3239</v>
      </c>
      <c r="I55" s="2946" t="s">
        <v>3240</v>
      </c>
      <c r="J55" s="2946" t="s">
        <v>3127</v>
      </c>
      <c r="K55" s="2945">
        <f t="shared" si="0"/>
        <v>19.032445923460902</v>
      </c>
    </row>
    <row r="56" spans="1:11" s="2945" customFormat="1" ht="39" customHeight="1">
      <c r="A56" s="2946">
        <v>54</v>
      </c>
      <c r="B56" s="2947" t="s">
        <v>3103</v>
      </c>
      <c r="C56" s="2948" t="s">
        <v>3241</v>
      </c>
      <c r="D56" s="2949">
        <v>80.62</v>
      </c>
      <c r="E56" s="2949">
        <v>4.24</v>
      </c>
      <c r="F56" s="2948" t="s">
        <v>3054</v>
      </c>
      <c r="G56" s="2948" t="s">
        <v>3124</v>
      </c>
      <c r="H56" s="2950" t="s">
        <v>3242</v>
      </c>
      <c r="I56" s="2950" t="s">
        <v>3243</v>
      </c>
      <c r="J56" s="2950" t="s">
        <v>3127</v>
      </c>
      <c r="K56" s="2945">
        <f t="shared" si="0"/>
        <v>19.014150943396228</v>
      </c>
    </row>
    <row r="57" spans="1:11" s="2945" customFormat="1" ht="39" customHeight="1">
      <c r="A57" s="2946">
        <v>55</v>
      </c>
      <c r="B57" s="2947" t="s">
        <v>3104</v>
      </c>
      <c r="C57" s="2948" t="s">
        <v>3241</v>
      </c>
      <c r="D57" s="2949">
        <v>80.62</v>
      </c>
      <c r="E57" s="2949">
        <v>4.24</v>
      </c>
      <c r="F57" s="2948" t="s">
        <v>3054</v>
      </c>
      <c r="G57" s="2948" t="s">
        <v>3124</v>
      </c>
      <c r="H57" s="2950" t="s">
        <v>3244</v>
      </c>
      <c r="I57" s="2950" t="s">
        <v>3105</v>
      </c>
      <c r="J57" s="2950" t="s">
        <v>3127</v>
      </c>
      <c r="K57" s="2945">
        <f t="shared" si="0"/>
        <v>19.014150943396228</v>
      </c>
    </row>
    <row r="58" spans="1:11" s="2945" customFormat="1" ht="39" customHeight="1">
      <c r="A58" s="2946">
        <v>56</v>
      </c>
      <c r="B58" s="2947" t="s">
        <v>3106</v>
      </c>
      <c r="C58" s="2948" t="s">
        <v>3241</v>
      </c>
      <c r="D58" s="2949">
        <v>80.62</v>
      </c>
      <c r="E58" s="2949">
        <v>4.24</v>
      </c>
      <c r="F58" s="2948" t="s">
        <v>3054</v>
      </c>
      <c r="G58" s="2948" t="s">
        <v>3124</v>
      </c>
      <c r="H58" s="2950" t="s">
        <v>3245</v>
      </c>
      <c r="I58" s="2950" t="s">
        <v>3107</v>
      </c>
      <c r="J58" s="2950" t="s">
        <v>3127</v>
      </c>
      <c r="K58" s="2945">
        <f t="shared" si="0"/>
        <v>19.014150943396228</v>
      </c>
    </row>
    <row r="59" spans="1:11" s="2945" customFormat="1" ht="39" customHeight="1">
      <c r="A59" s="2946">
        <v>57</v>
      </c>
      <c r="B59" s="2947" t="s">
        <v>3108</v>
      </c>
      <c r="C59" s="2948" t="s">
        <v>3241</v>
      </c>
      <c r="D59" s="2949">
        <v>71.3</v>
      </c>
      <c r="E59" s="2949">
        <v>3.75</v>
      </c>
      <c r="F59" s="2948" t="s">
        <v>3054</v>
      </c>
      <c r="G59" s="2948" t="s">
        <v>3124</v>
      </c>
      <c r="H59" s="2950" t="s">
        <v>3246</v>
      </c>
      <c r="I59" s="2950" t="s">
        <v>3109</v>
      </c>
      <c r="J59" s="2950" t="s">
        <v>3127</v>
      </c>
      <c r="K59" s="2945">
        <f t="shared" si="0"/>
        <v>19.013333333333332</v>
      </c>
    </row>
    <row r="60" spans="1:11" s="2945" customFormat="1" ht="39" customHeight="1">
      <c r="A60" s="2946">
        <v>58</v>
      </c>
      <c r="B60" s="2947" t="s">
        <v>3247</v>
      </c>
      <c r="C60" s="2948" t="s">
        <v>3241</v>
      </c>
      <c r="D60" s="2948">
        <v>161.13</v>
      </c>
      <c r="E60" s="2948">
        <v>8.4700000000000006</v>
      </c>
      <c r="F60" s="2948" t="s">
        <v>3054</v>
      </c>
      <c r="G60" s="2948" t="s">
        <v>3124</v>
      </c>
      <c r="H60" s="2948" t="s">
        <v>3248</v>
      </c>
      <c r="I60" s="2948" t="s">
        <v>3249</v>
      </c>
      <c r="J60" s="2946" t="s">
        <v>3127</v>
      </c>
      <c r="K60" s="2945">
        <f t="shared" si="0"/>
        <v>19.023612750885476</v>
      </c>
    </row>
    <row r="61" spans="1:11" s="2945" customFormat="1" ht="39" customHeight="1">
      <c r="A61" s="2946">
        <v>59</v>
      </c>
      <c r="B61" s="2947" t="s">
        <v>3250</v>
      </c>
      <c r="C61" s="2948" t="s">
        <v>3251</v>
      </c>
      <c r="D61" s="2949">
        <v>485</v>
      </c>
      <c r="E61" s="2949">
        <v>134.38999999999999</v>
      </c>
      <c r="F61" s="2948" t="s">
        <v>3054</v>
      </c>
      <c r="G61" s="2948" t="s">
        <v>3124</v>
      </c>
      <c r="H61" s="2950" t="s">
        <v>3252</v>
      </c>
      <c r="I61" s="2950" t="s">
        <v>3253</v>
      </c>
      <c r="J61" s="2950" t="s">
        <v>3127</v>
      </c>
      <c r="K61" s="2945">
        <f t="shared" si="0"/>
        <v>3.6088994716868816</v>
      </c>
    </row>
    <row r="62" spans="1:11" s="2945" customFormat="1" ht="39" customHeight="1">
      <c r="A62" s="2946">
        <v>60</v>
      </c>
      <c r="B62" s="2947" t="s">
        <v>3254</v>
      </c>
      <c r="C62" s="2948" t="s">
        <v>3251</v>
      </c>
      <c r="D62" s="2949">
        <v>485</v>
      </c>
      <c r="E62" s="2949">
        <v>134.38999999999999</v>
      </c>
      <c r="F62" s="2948" t="s">
        <v>3054</v>
      </c>
      <c r="G62" s="2948" t="s">
        <v>3124</v>
      </c>
      <c r="H62" s="2950" t="s">
        <v>3255</v>
      </c>
      <c r="I62" s="2950" t="s">
        <v>3110</v>
      </c>
      <c r="J62" s="2950" t="s">
        <v>3127</v>
      </c>
      <c r="K62" s="2945">
        <f t="shared" si="0"/>
        <v>3.6088994716868816</v>
      </c>
    </row>
    <row r="63" spans="1:11" s="2945" customFormat="1" ht="39" customHeight="1">
      <c r="A63" s="2946">
        <v>61</v>
      </c>
      <c r="B63" s="2947" t="s">
        <v>3256</v>
      </c>
      <c r="C63" s="2948" t="s">
        <v>3251</v>
      </c>
      <c r="D63" s="2949">
        <v>485</v>
      </c>
      <c r="E63" s="2949">
        <v>134.38999999999999</v>
      </c>
      <c r="F63" s="2948" t="s">
        <v>3054</v>
      </c>
      <c r="G63" s="2948" t="s">
        <v>3124</v>
      </c>
      <c r="H63" s="2950" t="s">
        <v>3257</v>
      </c>
      <c r="I63" s="2950" t="s">
        <v>3111</v>
      </c>
      <c r="J63" s="2950" t="s">
        <v>3127</v>
      </c>
      <c r="K63" s="2945">
        <f t="shared" si="0"/>
        <v>3.6088994716868816</v>
      </c>
    </row>
    <row r="64" spans="1:11" s="2945" customFormat="1" ht="39" customHeight="1">
      <c r="A64" s="2946">
        <v>62</v>
      </c>
      <c r="B64" s="2947" t="s">
        <v>3258</v>
      </c>
      <c r="C64" s="2948" t="s">
        <v>3251</v>
      </c>
      <c r="D64" s="2949">
        <v>485</v>
      </c>
      <c r="E64" s="2949">
        <v>134.38999999999999</v>
      </c>
      <c r="F64" s="2948" t="s">
        <v>3054</v>
      </c>
      <c r="G64" s="2948" t="s">
        <v>3124</v>
      </c>
      <c r="H64" s="2950" t="s">
        <v>3259</v>
      </c>
      <c r="I64" s="2950" t="s">
        <v>3260</v>
      </c>
      <c r="J64" s="2950" t="s">
        <v>3127</v>
      </c>
      <c r="K64" s="2945">
        <f t="shared" si="0"/>
        <v>3.6088994716868816</v>
      </c>
    </row>
    <row r="65" spans="1:11" s="2945" customFormat="1" ht="39" customHeight="1">
      <c r="A65" s="2946">
        <v>63</v>
      </c>
      <c r="B65" s="2947" t="s">
        <v>3261</v>
      </c>
      <c r="C65" s="2948" t="s">
        <v>3251</v>
      </c>
      <c r="D65" s="2949">
        <v>567.22</v>
      </c>
      <c r="E65" s="2949">
        <v>148.75</v>
      </c>
      <c r="F65" s="2948" t="s">
        <v>3054</v>
      </c>
      <c r="G65" s="2948" t="s">
        <v>3124</v>
      </c>
      <c r="H65" s="2950" t="s">
        <v>3262</v>
      </c>
      <c r="I65" s="2950" t="s">
        <v>3263</v>
      </c>
      <c r="J65" s="2950" t="s">
        <v>3127</v>
      </c>
      <c r="K65" s="2945">
        <f t="shared" si="0"/>
        <v>3.8132436974789918</v>
      </c>
    </row>
    <row r="66" spans="1:11" s="2945" customFormat="1" ht="39" customHeight="1">
      <c r="A66" s="2946">
        <v>64</v>
      </c>
      <c r="B66" s="2947" t="s">
        <v>3264</v>
      </c>
      <c r="C66" s="2948" t="s">
        <v>3251</v>
      </c>
      <c r="D66" s="2949">
        <v>567.22</v>
      </c>
      <c r="E66" s="2949">
        <v>148.75</v>
      </c>
      <c r="F66" s="2948" t="s">
        <v>3054</v>
      </c>
      <c r="G66" s="2948" t="s">
        <v>3124</v>
      </c>
      <c r="H66" s="2950" t="s">
        <v>3265</v>
      </c>
      <c r="I66" s="2950" t="s">
        <v>3112</v>
      </c>
      <c r="J66" s="2950" t="s">
        <v>3127</v>
      </c>
      <c r="K66" s="2945">
        <f t="shared" si="0"/>
        <v>3.8132436974789918</v>
      </c>
    </row>
    <row r="67" spans="1:11" s="2945" customFormat="1" ht="39" customHeight="1">
      <c r="A67" s="2946">
        <v>65</v>
      </c>
      <c r="B67" s="2947" t="s">
        <v>3266</v>
      </c>
      <c r="C67" s="2948" t="s">
        <v>3251</v>
      </c>
      <c r="D67" s="2949">
        <v>659.71</v>
      </c>
      <c r="E67" s="2949">
        <v>173.01</v>
      </c>
      <c r="F67" s="2948" t="s">
        <v>3054</v>
      </c>
      <c r="G67" s="2948" t="s">
        <v>3124</v>
      </c>
      <c r="H67" s="2950" t="s">
        <v>3267</v>
      </c>
      <c r="I67" s="2950" t="s">
        <v>3268</v>
      </c>
      <c r="J67" s="2950" t="s">
        <v>3127</v>
      </c>
      <c r="K67" s="2945">
        <f t="shared" si="0"/>
        <v>3.8131321888908158</v>
      </c>
    </row>
    <row r="68" spans="1:11" s="2945" customFormat="1" ht="39" customHeight="1">
      <c r="A68" s="2946">
        <v>66</v>
      </c>
      <c r="B68" s="2947" t="s">
        <v>3269</v>
      </c>
      <c r="C68" s="2948" t="s">
        <v>3251</v>
      </c>
      <c r="D68" s="2949">
        <v>486.02</v>
      </c>
      <c r="E68" s="2949">
        <v>134.86000000000001</v>
      </c>
      <c r="F68" s="2948" t="s">
        <v>3054</v>
      </c>
      <c r="G68" s="2948" t="s">
        <v>3124</v>
      </c>
      <c r="H68" s="2950" t="s">
        <v>3270</v>
      </c>
      <c r="I68" s="2950" t="s">
        <v>3113</v>
      </c>
      <c r="J68" s="2950" t="s">
        <v>3127</v>
      </c>
      <c r="K68" s="2945">
        <f t="shared" ref="K68:K77" si="1">D68/E68</f>
        <v>3.6038855109001924</v>
      </c>
    </row>
    <row r="69" spans="1:11" s="2945" customFormat="1" ht="39" customHeight="1">
      <c r="A69" s="2946">
        <v>67</v>
      </c>
      <c r="B69" s="2947" t="s">
        <v>3271</v>
      </c>
      <c r="C69" s="2948" t="s">
        <v>3251</v>
      </c>
      <c r="D69" s="2949">
        <v>486.02</v>
      </c>
      <c r="E69" s="2949">
        <v>134.86000000000001</v>
      </c>
      <c r="F69" s="2948" t="s">
        <v>3054</v>
      </c>
      <c r="G69" s="2948" t="s">
        <v>3124</v>
      </c>
      <c r="H69" s="2950" t="s">
        <v>3272</v>
      </c>
      <c r="I69" s="2950" t="s">
        <v>3273</v>
      </c>
      <c r="J69" s="2950" t="s">
        <v>3127</v>
      </c>
      <c r="K69" s="2945">
        <f t="shared" si="1"/>
        <v>3.6038855109001924</v>
      </c>
    </row>
    <row r="70" spans="1:11" s="2945" customFormat="1" ht="39" customHeight="1">
      <c r="A70" s="2946">
        <v>68</v>
      </c>
      <c r="B70" s="2947" t="s">
        <v>3274</v>
      </c>
      <c r="C70" s="2948" t="s">
        <v>3251</v>
      </c>
      <c r="D70" s="2949">
        <v>473</v>
      </c>
      <c r="E70" s="2949">
        <v>131.25</v>
      </c>
      <c r="F70" s="2948" t="s">
        <v>3054</v>
      </c>
      <c r="G70" s="2948" t="s">
        <v>3124</v>
      </c>
      <c r="H70" s="2950" t="s">
        <v>3275</v>
      </c>
      <c r="I70" s="2950" t="s">
        <v>3114</v>
      </c>
      <c r="J70" s="2950" t="s">
        <v>3127</v>
      </c>
      <c r="K70" s="2945">
        <f t="shared" si="1"/>
        <v>3.6038095238095238</v>
      </c>
    </row>
    <row r="71" spans="1:11" s="2945" customFormat="1" ht="39" customHeight="1">
      <c r="A71" s="2946">
        <v>69</v>
      </c>
      <c r="B71" s="2947" t="s">
        <v>3276</v>
      </c>
      <c r="C71" s="2948" t="s">
        <v>3251</v>
      </c>
      <c r="D71" s="2949">
        <v>483.61</v>
      </c>
      <c r="E71" s="2949">
        <v>134.19999999999999</v>
      </c>
      <c r="F71" s="2948" t="s">
        <v>3054</v>
      </c>
      <c r="G71" s="2948" t="s">
        <v>3124</v>
      </c>
      <c r="H71" s="2950" t="s">
        <v>3277</v>
      </c>
      <c r="I71" s="2950" t="s">
        <v>3115</v>
      </c>
      <c r="J71" s="2950" t="s">
        <v>3127</v>
      </c>
      <c r="K71" s="2945">
        <f t="shared" si="1"/>
        <v>3.6036512667660214</v>
      </c>
    </row>
    <row r="72" spans="1:11" s="2945" customFormat="1" ht="39" customHeight="1">
      <c r="A72" s="2946">
        <v>70</v>
      </c>
      <c r="B72" s="2947" t="s">
        <v>3278</v>
      </c>
      <c r="C72" s="2948" t="s">
        <v>3251</v>
      </c>
      <c r="D72" s="2949">
        <v>661.09</v>
      </c>
      <c r="E72" s="2949">
        <v>174.68</v>
      </c>
      <c r="F72" s="2948" t="s">
        <v>3054</v>
      </c>
      <c r="G72" s="2948" t="s">
        <v>3124</v>
      </c>
      <c r="H72" s="2950" t="s">
        <v>3279</v>
      </c>
      <c r="I72" s="2950" t="s">
        <v>3280</v>
      </c>
      <c r="J72" s="2950" t="s">
        <v>3127</v>
      </c>
      <c r="K72" s="2945">
        <f t="shared" si="1"/>
        <v>3.7845775131669339</v>
      </c>
    </row>
    <row r="73" spans="1:11" s="2945" customFormat="1" ht="39" customHeight="1">
      <c r="A73" s="2946">
        <v>71</v>
      </c>
      <c r="B73" s="2947" t="s">
        <v>3281</v>
      </c>
      <c r="C73" s="2948" t="s">
        <v>3251</v>
      </c>
      <c r="D73" s="2949">
        <v>568.4</v>
      </c>
      <c r="E73" s="2949">
        <v>150.19</v>
      </c>
      <c r="F73" s="2948" t="s">
        <v>3054</v>
      </c>
      <c r="G73" s="2948" t="s">
        <v>3124</v>
      </c>
      <c r="H73" s="2950" t="s">
        <v>3282</v>
      </c>
      <c r="I73" s="2950" t="s">
        <v>3283</v>
      </c>
      <c r="J73" s="2950" t="s">
        <v>3127</v>
      </c>
      <c r="K73" s="2945">
        <f t="shared" si="1"/>
        <v>3.7845395831946202</v>
      </c>
    </row>
    <row r="74" spans="1:11" s="2945" customFormat="1" ht="39" customHeight="1">
      <c r="A74" s="2946">
        <v>72</v>
      </c>
      <c r="B74" s="2947" t="s">
        <v>3284</v>
      </c>
      <c r="C74" s="2948" t="s">
        <v>3251</v>
      </c>
      <c r="D74" s="2949">
        <v>572.55999999999995</v>
      </c>
      <c r="E74" s="2949">
        <v>151.29</v>
      </c>
      <c r="F74" s="2948" t="s">
        <v>3054</v>
      </c>
      <c r="G74" s="2948" t="s">
        <v>3124</v>
      </c>
      <c r="H74" s="2950" t="s">
        <v>3285</v>
      </c>
      <c r="I74" s="2950" t="s">
        <v>3116</v>
      </c>
      <c r="J74" s="2950" t="s">
        <v>3127</v>
      </c>
      <c r="K74" s="2945">
        <f t="shared" si="1"/>
        <v>3.7845197964174764</v>
      </c>
    </row>
    <row r="75" spans="1:11" s="2945" customFormat="1" ht="39" customHeight="1">
      <c r="A75" s="2946">
        <v>73</v>
      </c>
      <c r="B75" s="2947" t="s">
        <v>3286</v>
      </c>
      <c r="C75" s="2948" t="s">
        <v>3251</v>
      </c>
      <c r="D75" s="2949">
        <v>572.55999999999995</v>
      </c>
      <c r="E75" s="2949">
        <v>151.29</v>
      </c>
      <c r="F75" s="2948" t="s">
        <v>3054</v>
      </c>
      <c r="G75" s="2948" t="s">
        <v>3124</v>
      </c>
      <c r="H75" s="2950" t="s">
        <v>3287</v>
      </c>
      <c r="I75" s="2950" t="s">
        <v>3288</v>
      </c>
      <c r="J75" s="2950" t="s">
        <v>3127</v>
      </c>
      <c r="K75" s="2945">
        <f t="shared" si="1"/>
        <v>3.7845197964174764</v>
      </c>
    </row>
    <row r="76" spans="1:11" s="2945" customFormat="1" ht="39" customHeight="1">
      <c r="A76" s="2946">
        <v>74</v>
      </c>
      <c r="B76" s="2947" t="s">
        <v>3289</v>
      </c>
      <c r="C76" s="2948" t="s">
        <v>3251</v>
      </c>
      <c r="D76" s="2949">
        <v>563.25</v>
      </c>
      <c r="E76" s="2949">
        <v>148.83000000000001</v>
      </c>
      <c r="F76" s="2948" t="s">
        <v>3054</v>
      </c>
      <c r="G76" s="2948" t="s">
        <v>3124</v>
      </c>
      <c r="H76" s="2950" t="s">
        <v>3290</v>
      </c>
      <c r="I76" s="2950" t="s">
        <v>3291</v>
      </c>
      <c r="J76" s="2950" t="s">
        <v>3127</v>
      </c>
      <c r="K76" s="2945">
        <f t="shared" si="1"/>
        <v>3.7845192501511788</v>
      </c>
    </row>
    <row r="77" spans="1:11" s="2945" customFormat="1" ht="39" customHeight="1">
      <c r="A77" s="2946">
        <v>75</v>
      </c>
      <c r="B77" s="2947" t="s">
        <v>3292</v>
      </c>
      <c r="C77" s="2948" t="s">
        <v>3251</v>
      </c>
      <c r="D77" s="2949">
        <v>661.09</v>
      </c>
      <c r="E77" s="2949">
        <v>174.68</v>
      </c>
      <c r="F77" s="2948" t="s">
        <v>3054</v>
      </c>
      <c r="G77" s="2948" t="s">
        <v>3124</v>
      </c>
      <c r="H77" s="2950" t="s">
        <v>3293</v>
      </c>
      <c r="I77" s="2950" t="s">
        <v>3117</v>
      </c>
      <c r="J77" s="2950" t="s">
        <v>3127</v>
      </c>
      <c r="K77" s="2945">
        <f t="shared" si="1"/>
        <v>3.7845775131669339</v>
      </c>
    </row>
    <row r="79" spans="1:11" s="2945" customFormat="1" ht="39" customHeight="1"/>
    <row r="80" spans="1:11" s="2945" customFormat="1" ht="39" customHeight="1"/>
    <row r="81" s="2945" customFormat="1" ht="39" customHeight="1"/>
    <row r="82" s="2945" customFormat="1" ht="39" customHeight="1"/>
    <row r="83" s="2945"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N50" sqref="N50:N51"/>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6" t="s">
        <v>1638</v>
      </c>
      <c r="E3" s="1046" t="s">
        <v>1644</v>
      </c>
      <c r="F3" s="1046" t="s">
        <v>1638</v>
      </c>
      <c r="G3" s="1046" t="s">
        <v>1639</v>
      </c>
      <c r="H3" s="1046" t="s">
        <v>1638</v>
      </c>
      <c r="I3" s="1046" t="s">
        <v>1639</v>
      </c>
    </row>
    <row r="4" spans="1:9" ht="15">
      <c r="A4" s="1975" t="str">
        <f>项目基本情况!S2</f>
        <v>房地产</v>
      </c>
      <c r="B4" s="1046">
        <f>项目基本情况!C17</f>
        <v>16960.349999999999</v>
      </c>
      <c r="C4" s="1046">
        <f>项目基本情况!C18</f>
        <v>888.1</v>
      </c>
      <c r="D4" s="1046" t="e">
        <f ca="1">结果表!D118</f>
        <v>#REF!</v>
      </c>
      <c r="E4" s="1046" t="e">
        <f ca="1">结果表!E118</f>
        <v>#DIV/0!</v>
      </c>
      <c r="F4" s="1046" t="e">
        <f ca="1">结果表!F118</f>
        <v>#REF!</v>
      </c>
      <c r="G4" s="1046" t="e">
        <f ca="1">结果表!G118</f>
        <v>#REF!</v>
      </c>
      <c r="H4" s="1046">
        <f ca="1">结果表!H118</f>
        <v>78</v>
      </c>
      <c r="I4" s="1046" t="e">
        <f ca="1">结果表!I118</f>
        <v>#DIV/0!</v>
      </c>
    </row>
    <row r="5" spans="1:9" ht="30" customHeight="1">
      <c r="A5" s="3035" t="s">
        <v>1640</v>
      </c>
      <c r="B5" s="3035"/>
      <c r="C5" s="3035"/>
      <c r="D5" s="3036" t="e">
        <f ca="1">结果表!D119</f>
        <v>#REF!</v>
      </c>
      <c r="E5" s="3036"/>
      <c r="F5" s="3036" t="e">
        <f ca="1">结果表!F119</f>
        <v>#REF!</v>
      </c>
      <c r="G5" s="3036"/>
      <c r="H5" s="3036" t="str">
        <f ca="1">结果表!H119</f>
        <v>柒拾捌万元整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1640</v>
      </c>
      <c r="B7" s="3035"/>
      <c r="C7" s="3035"/>
      <c r="D7" s="3037" t="str">
        <f>结果表!D121</f>
        <v>零元整</v>
      </c>
      <c r="E7" s="3038"/>
      <c r="F7" s="3038"/>
      <c r="G7" s="3038"/>
      <c r="H7" s="3038"/>
      <c r="I7" s="3039"/>
    </row>
    <row r="8" spans="1:9" ht="15.75">
      <c r="A8" s="3034" t="str">
        <f>结果表!A122</f>
        <v>房地产抵押价值</v>
      </c>
      <c r="B8" s="3034"/>
      <c r="C8" s="3034"/>
      <c r="D8" s="3034">
        <f ca="1">结果表!D122</f>
        <v>78</v>
      </c>
      <c r="E8" s="3034"/>
      <c r="F8" s="3034"/>
      <c r="G8" s="3034"/>
      <c r="H8" s="3034"/>
      <c r="I8" s="3034"/>
    </row>
    <row r="9" spans="1:9" ht="15">
      <c r="A9" s="3035" t="s">
        <v>1640</v>
      </c>
      <c r="B9" s="3035"/>
      <c r="C9" s="3035"/>
      <c r="D9" s="3036" t="str">
        <f ca="1">结果表!D123</f>
        <v>柒拾捌万元整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1640</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1640</v>
      </c>
      <c r="B13" s="3031"/>
      <c r="C13" s="3031"/>
      <c r="D13" s="3032" t="e">
        <f>结果表!D127</f>
        <v>#VALUE!</v>
      </c>
      <c r="E13" s="3032"/>
      <c r="F13" s="3032"/>
      <c r="G13" s="3032"/>
      <c r="H13" s="3032"/>
      <c r="I13" s="3032"/>
    </row>
    <row r="14" spans="1:9" ht="15" thickTop="1">
      <c r="A14" s="3033" t="s">
        <v>1645</v>
      </c>
      <c r="B14" s="3033"/>
      <c r="C14" s="3033"/>
      <c r="D14" s="3033"/>
      <c r="E14" s="3033"/>
      <c r="F14" s="3033"/>
      <c r="G14" s="3033"/>
      <c r="H14" s="3033"/>
      <c r="I14" s="303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8" t="s">
        <v>1662</v>
      </c>
      <c r="B1" s="3048"/>
      <c r="C1" s="3048"/>
      <c r="D1" s="3048"/>
    </row>
    <row r="2" spans="1:4" ht="18">
      <c r="A2" s="3049" t="s">
        <v>1646</v>
      </c>
      <c r="B2" s="3049"/>
      <c r="C2" s="3049"/>
      <c r="D2" s="3049"/>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049" t="s">
        <v>1652</v>
      </c>
      <c r="B6" s="3049"/>
      <c r="C6" s="3049"/>
      <c r="D6" s="304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50" t="s">
        <v>1655</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2" t="str">
        <f>IF(项目基本情况!B8="抵押","3.抵押双方在办理抵押登记手续时，应使用本公司出具的正式《房地产评估报告》，特提醒报告使用者注意。","——")</f>
        <v>——</v>
      </c>
      <c r="B13" s="3047"/>
      <c r="C13" s="3047"/>
      <c r="D13" s="3047"/>
    </row>
    <row r="14" spans="1:4" ht="15.75" customHeight="1">
      <c r="A14" s="3042" t="str">
        <f>IF(项目基本情况!B8="抵押","4.本次评估估价师所知悉的法定优先受偿款情况说明如下：","——")</f>
        <v>——</v>
      </c>
      <c r="B14" s="3047"/>
      <c r="C14" s="3047"/>
      <c r="D14" s="3047"/>
    </row>
    <row r="15" spans="1:4" ht="42" customHeight="1">
      <c r="A15" s="3042" t="str">
        <f>IF(项目基本情况!B8="抵押","（1）"&amp;CONCATENATE(项目基本情况!L20,项目基本情况!L21,项目基本情况!L22),"——")</f>
        <v>——</v>
      </c>
      <c r="B15" s="3042"/>
      <c r="C15" s="3042"/>
      <c r="D15" s="3042"/>
    </row>
    <row r="16" spans="1:4" ht="30" customHeight="1">
      <c r="A16" s="3044" t="s">
        <v>1656</v>
      </c>
      <c r="B16" s="3044"/>
      <c r="C16" s="3044"/>
      <c r="D16" s="3044"/>
    </row>
    <row r="17" spans="1:4" ht="144" customHeight="1">
      <c r="A17" s="3044" t="s">
        <v>1657</v>
      </c>
      <c r="B17" s="3044"/>
      <c r="C17" s="3044"/>
      <c r="D17" s="3044"/>
    </row>
    <row r="18" spans="1:4" ht="15.75" customHeight="1">
      <c r="A18" s="3042" t="str">
        <f>IF(项目基本情况!B8="抵押",结果表!K120,"——")</f>
        <v>——</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1658</v>
      </c>
      <c r="B22" s="3046"/>
      <c r="C22" s="3046"/>
      <c r="D22" s="304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56" t="s">
        <v>1669</v>
      </c>
      <c r="B15" s="3051" t="s">
        <v>136</v>
      </c>
      <c r="C15" s="3052"/>
    </row>
    <row r="16" spans="1:7" ht="13.5">
      <c r="A16" s="3057"/>
      <c r="B16" s="3051" t="s">
        <v>69</v>
      </c>
      <c r="C16" s="3052"/>
    </row>
    <row r="17" spans="1:3" ht="13.5">
      <c r="A17" s="3057"/>
      <c r="B17" s="3054" t="s">
        <v>1670</v>
      </c>
      <c r="C17" s="2002" t="s">
        <v>1669</v>
      </c>
    </row>
    <row r="18" spans="1:3" ht="13.5">
      <c r="A18" s="3057"/>
      <c r="B18" s="3054"/>
      <c r="C18" s="2002" t="s">
        <v>1671</v>
      </c>
    </row>
    <row r="19" spans="1:3" ht="13.5">
      <c r="A19" s="3057"/>
      <c r="B19" s="3054"/>
      <c r="C19" s="2002" t="s">
        <v>1672</v>
      </c>
    </row>
    <row r="20" spans="1:3" ht="13.5">
      <c r="A20" s="3058"/>
      <c r="B20" s="3053" t="s">
        <v>1673</v>
      </c>
      <c r="C20" s="3052"/>
    </row>
    <row r="21" spans="1:3" ht="13.5">
      <c r="A21" s="2003" t="s">
        <v>1674</v>
      </c>
      <c r="B21" s="2004"/>
      <c r="C21" s="2005"/>
    </row>
    <row r="22" spans="1:3" ht="13.5">
      <c r="A22" s="3055" t="s">
        <v>1675</v>
      </c>
      <c r="B22" s="3053" t="s">
        <v>1676</v>
      </c>
      <c r="C22" s="3052"/>
    </row>
    <row r="23" spans="1:3" ht="13.5">
      <c r="A23" s="3055"/>
      <c r="B23" s="3053" t="s">
        <v>1677</v>
      </c>
      <c r="C23" s="3052"/>
    </row>
    <row r="24" spans="1:3" ht="13.5">
      <c r="A24" s="3055"/>
      <c r="B24" s="3053" t="s">
        <v>1678</v>
      </c>
      <c r="C24" s="3052"/>
    </row>
    <row r="25" spans="1:3" ht="13.5">
      <c r="A25" s="3055"/>
      <c r="B25" s="3054" t="s">
        <v>1679</v>
      </c>
      <c r="C25" s="2002" t="s">
        <v>1680</v>
      </c>
    </row>
    <row r="26" spans="1:3" ht="13.5">
      <c r="A26" s="3055"/>
      <c r="B26" s="3054"/>
      <c r="C26" s="2002" t="s">
        <v>1681</v>
      </c>
    </row>
    <row r="27" spans="1:3" ht="13.5">
      <c r="A27" s="3055"/>
      <c r="B27" s="3054"/>
      <c r="C27" s="2002" t="s">
        <v>1682</v>
      </c>
    </row>
    <row r="28" spans="1:3" ht="13.5">
      <c r="A28" s="3055"/>
      <c r="B28" s="3054"/>
      <c r="C28" s="2002" t="s">
        <v>1683</v>
      </c>
    </row>
    <row r="29" spans="1:3" ht="13.5">
      <c r="A29" s="3055"/>
      <c r="B29" s="3054"/>
      <c r="C29" s="2002" t="s">
        <v>1684</v>
      </c>
    </row>
    <row r="30" spans="1:3" ht="13.5">
      <c r="A30" s="3055"/>
      <c r="B30" s="3054"/>
      <c r="C30" s="2002" t="s">
        <v>1685</v>
      </c>
    </row>
    <row r="31" spans="1:3" ht="13.5">
      <c r="A31" s="3055"/>
      <c r="B31" s="3054"/>
      <c r="C31" s="2002" t="s">
        <v>1686</v>
      </c>
    </row>
    <row r="32" spans="1:3" ht="13.5">
      <c r="A32" s="3055"/>
      <c r="B32" s="3054"/>
      <c r="C32" s="2002" t="s">
        <v>1687</v>
      </c>
    </row>
    <row r="33" spans="1:3" ht="13.5">
      <c r="A33" s="3055"/>
      <c r="B33" s="305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43359</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350"/>
      <c r="D12" s="2353"/>
      <c r="E12" s="1024"/>
      <c r="F12" s="1024"/>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350">
        <v>43304</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059" t="s">
        <v>846</v>
      </c>
      <c r="B25" s="3059"/>
      <c r="C25" s="3059"/>
      <c r="D25" s="3059"/>
      <c r="E25" s="3059"/>
      <c r="F25" s="3059"/>
      <c r="G25" s="3059"/>
    </row>
    <row r="26" spans="1:7" s="1027" customFormat="1" ht="24" customHeight="1">
      <c r="A26" s="3060" t="s">
        <v>847</v>
      </c>
      <c r="B26" s="3060"/>
      <c r="C26" s="3061"/>
      <c r="D26" s="3062" t="s">
        <v>848</v>
      </c>
      <c r="E26" s="3060"/>
      <c r="F26" s="3060"/>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126写字楼</vt:lpstr>
      <vt:lpstr>办公清单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商业清单</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2018-04-11T09:19:50Z</cp:lastPrinted>
  <dcterms:created xsi:type="dcterms:W3CDTF">2015-07-13T07:17:23Z</dcterms:created>
  <dcterms:modified xsi:type="dcterms:W3CDTF">2018-05-03T02:58:14Z</dcterms:modified>
</cp:coreProperties>
</file>