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603北京市海淀区清华东路35号眷6号楼23门7号\"/>
    </mc:Choice>
  </mc:AlternateContent>
  <bookViews>
    <workbookView xWindow="0" yWindow="0" windowWidth="23244" windowHeight="11268"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2" r:id="rId26"/>
    <sheet name="比较法-住宅" sheetId="21"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9" i="21" l="1"/>
  <c r="B4" i="82" l="1"/>
  <c r="B5" i="82"/>
  <c r="B6" i="82"/>
  <c r="B7" i="82"/>
  <c r="B8" i="82"/>
  <c r="B3" i="82"/>
  <c r="D3" i="4" l="1"/>
  <c r="D5" i="9" l="1"/>
  <c r="M59" i="21"/>
  <c r="L59" i="21"/>
  <c r="J59" i="21"/>
  <c r="G59" i="21"/>
  <c r="F90" i="21"/>
  <c r="E90" i="21"/>
  <c r="D90" i="21"/>
  <c r="C90" i="21"/>
  <c r="G5" i="21"/>
  <c r="Y6" i="1"/>
  <c r="C37" i="21" s="1"/>
  <c r="N18" i="1"/>
  <c r="F19" i="6"/>
  <c r="C33" i="21" s="1"/>
  <c r="AH6" i="1" l="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S3" i="79"/>
  <c r="T12" i="79"/>
  <c r="W12" i="79" s="1"/>
  <c r="U13" i="79"/>
  <c r="R14" i="79"/>
  <c r="V14" i="79"/>
  <c r="R15" i="79"/>
  <c r="V15" i="79"/>
  <c r="S16" i="79"/>
  <c r="N3" i="79"/>
  <c r="S36" i="79"/>
  <c r="L3" i="79"/>
  <c r="AA25" i="79"/>
  <c r="AD25" i="79" s="1"/>
  <c r="T14" i="79"/>
  <c r="W14" i="79" s="1"/>
  <c r="U16" i="79"/>
  <c r="T16" i="79"/>
  <c r="W16" i="79" s="1"/>
  <c r="L25" i="79"/>
  <c r="T28" i="79"/>
  <c r="W28" i="79" s="1"/>
  <c r="U34" i="79"/>
  <c r="AD35" i="79"/>
  <c r="U38" i="79"/>
  <c r="AD39" i="79"/>
  <c r="T25" i="79"/>
  <c r="W25" i="79" s="1"/>
  <c r="N25" i="79"/>
  <c r="S38" i="79"/>
  <c r="Y3" i="79"/>
  <c r="AC3" i="79"/>
  <c r="U12" i="79"/>
  <c r="R13" i="79"/>
  <c r="V13" i="79"/>
  <c r="S14" i="79"/>
  <c r="S15" i="79"/>
  <c r="U25" i="79"/>
  <c r="T27" i="79"/>
  <c r="W27" i="79" s="1"/>
  <c r="U28" i="79"/>
  <c r="AD34" i="79"/>
  <c r="S35" i="79"/>
  <c r="U37" i="79"/>
  <c r="AD38" i="79"/>
  <c r="V3" i="79"/>
  <c r="Z3" i="79"/>
  <c r="V12" i="79"/>
  <c r="M25" i="79"/>
  <c r="P25" i="79" s="1"/>
  <c r="U3" i="79"/>
  <c r="R12" i="79"/>
  <c r="S13" i="79"/>
  <c r="U36" i="79"/>
  <c r="AD37" i="79"/>
  <c r="S12" i="79"/>
  <c r="U14" i="79"/>
  <c r="U15" i="79"/>
  <c r="S28" i="79"/>
  <c r="T34" i="79"/>
  <c r="W34" i="79" s="1"/>
  <c r="U35" i="79"/>
  <c r="AD36" i="79"/>
  <c r="S37" i="79"/>
  <c r="S27" i="79"/>
  <c r="M3" i="79"/>
  <c r="P3" i="79" s="1"/>
  <c r="T3" i="79"/>
  <c r="W3" i="79" s="1"/>
  <c r="U27" i="79"/>
  <c r="AD33" i="79"/>
  <c r="T32" i="79"/>
  <c r="W32" i="79" s="1"/>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AB39" i="71" s="1"/>
  <c r="P39" i="71"/>
  <c r="O39" i="71"/>
  <c r="N39" i="71"/>
  <c r="X38" i="71" s="1"/>
  <c r="X39" i="71"/>
  <c r="Q38" i="71"/>
  <c r="AB38" i="71" s="1"/>
  <c r="P38" i="71"/>
  <c r="O38" i="71"/>
  <c r="Y38" i="71" s="1"/>
  <c r="Z38" i="71" s="1"/>
  <c r="N38" i="7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X31" i="71" s="1"/>
  <c r="Q30" i="71"/>
  <c r="P30" i="71"/>
  <c r="O30" i="71"/>
  <c r="N30" i="71"/>
  <c r="Q29" i="71"/>
  <c r="P29" i="71"/>
  <c r="O29" i="71"/>
  <c r="C30" i="71" s="1"/>
  <c r="N29" i="71"/>
  <c r="X28" i="71" s="1"/>
  <c r="D29" i="71"/>
  <c r="O28" i="71"/>
  <c r="N28" i="71"/>
  <c r="B30" i="71"/>
  <c r="E30" i="71"/>
  <c r="E38" i="71"/>
  <c r="E39" i="71" s="1"/>
  <c r="N68" i="71"/>
  <c r="C28" i="71"/>
  <c r="D50" i="71"/>
  <c r="P28" i="71"/>
  <c r="E67" i="71"/>
  <c r="Q28" i="71"/>
  <c r="F28" i="71" s="1"/>
  <c r="F27" i="71" s="1"/>
  <c r="F26" i="71" s="1"/>
  <c r="D58" i="71"/>
  <c r="D62" i="71"/>
  <c r="T68" i="71"/>
  <c r="O68" i="71"/>
  <c r="D68" i="71"/>
  <c r="C71" i="71"/>
  <c r="C70" i="71" s="1"/>
  <c r="D70" i="71" s="1"/>
  <c r="E71" i="71"/>
  <c r="E70" i="71" s="1"/>
  <c r="D72" i="71"/>
  <c r="E75" i="71"/>
  <c r="E74" i="71" s="1"/>
  <c r="E79" i="71"/>
  <c r="E78" i="71" s="1"/>
  <c r="C83" i="71"/>
  <c r="C87" i="71"/>
  <c r="E28" i="71"/>
  <c r="V28" i="71" s="1"/>
  <c r="AA25" i="71"/>
  <c r="D87" i="71"/>
  <c r="C86" i="7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H25" i="40"/>
  <c r="U25" i="40" s="1"/>
  <c r="J25" i="40"/>
  <c r="H29" i="39"/>
  <c r="AB29" i="39" s="1"/>
  <c r="J29" i="39"/>
  <c r="AC29" i="39" s="1"/>
  <c r="J18" i="36"/>
  <c r="AC18" i="36" s="1"/>
  <c r="F68" i="35"/>
  <c r="G68" i="35" s="1"/>
  <c r="H18" i="35"/>
  <c r="U18" i="35" s="1"/>
  <c r="J18" i="35"/>
  <c r="H21" i="37"/>
  <c r="U21" i="37" s="1"/>
  <c r="F21" i="37"/>
  <c r="H21" i="34"/>
  <c r="U21" i="34" s="1"/>
  <c r="H21" i="33"/>
  <c r="U21" i="33" s="1"/>
  <c r="F21" i="33"/>
  <c r="H1" i="69"/>
  <c r="U29" i="39"/>
  <c r="W29" i="39"/>
  <c r="W18" i="36"/>
  <c r="AB21" i="37"/>
  <c r="AB21" i="34"/>
  <c r="AC18" i="35"/>
  <c r="W18" i="35"/>
  <c r="J21" i="37"/>
  <c r="AC21" i="37" s="1"/>
  <c r="J21" i="34"/>
  <c r="W21" i="34" s="1"/>
  <c r="J21" i="33"/>
  <c r="H21" i="21"/>
  <c r="U21" i="21" s="1"/>
  <c r="F38" i="69"/>
  <c r="E37" i="69"/>
  <c r="F36" i="69"/>
  <c r="F35" i="69"/>
  <c r="F21" i="69"/>
  <c r="F40" i="69" s="1"/>
  <c r="F20" i="69"/>
  <c r="F39" i="69" s="1"/>
  <c r="E10" i="69"/>
  <c r="E9" i="69"/>
  <c r="C7" i="69"/>
  <c r="W21" i="37"/>
  <c r="J21" i="21"/>
  <c r="W21" i="21" s="1"/>
  <c r="C40" i="69"/>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A19" i="3" s="1"/>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A472" i="3" s="1"/>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O500" i="3"/>
  <c r="BP500" i="3"/>
  <c r="BQ500" i="3"/>
  <c r="BR500" i="3"/>
  <c r="BS500" i="3"/>
  <c r="BT500" i="3"/>
  <c r="H501" i="3"/>
  <c r="AC501" i="3"/>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L507" i="3" s="1"/>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AA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F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H14" i="39" s="1"/>
  <c r="AB14" i="39" s="1"/>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H38" i="37" s="1"/>
  <c r="AB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s="1"/>
  <c r="D68" i="36"/>
  <c r="E68" i="36" s="1"/>
  <c r="F68" i="36"/>
  <c r="G68" i="36" s="1"/>
  <c r="D64" i="36"/>
  <c r="E64" i="36" s="1"/>
  <c r="F64" i="36" s="1"/>
  <c r="G64" i="36" s="1"/>
  <c r="J16" i="36"/>
  <c r="W16" i="36" s="1"/>
  <c r="D62" i="36"/>
  <c r="E62" i="36"/>
  <c r="F62" i="36" s="1"/>
  <c r="G62" i="36" s="1"/>
  <c r="B59" i="36"/>
  <c r="J13" i="36" s="1"/>
  <c r="W13" i="36" s="1"/>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W22" i="35" s="1"/>
  <c r="B101" i="35"/>
  <c r="H36" i="35" s="1"/>
  <c r="AB36" i="35" s="1"/>
  <c r="B99" i="35"/>
  <c r="B97" i="35"/>
  <c r="J34" i="35" s="1"/>
  <c r="B77" i="35"/>
  <c r="H25" i="35" s="1"/>
  <c r="B75" i="35"/>
  <c r="J24" i="35" s="1"/>
  <c r="B73" i="35"/>
  <c r="B57" i="35"/>
  <c r="B61" i="35"/>
  <c r="B59" i="35"/>
  <c r="B131" i="34"/>
  <c r="B129" i="34"/>
  <c r="B127" i="34"/>
  <c r="B99" i="34"/>
  <c r="F32" i="34" s="1"/>
  <c r="S32" i="34" s="1"/>
  <c r="B97" i="34"/>
  <c r="B95" i="34"/>
  <c r="B93" i="34"/>
  <c r="B75" i="34"/>
  <c r="B73" i="34"/>
  <c r="H13" i="34" s="1"/>
  <c r="B71" i="34"/>
  <c r="B130" i="33"/>
  <c r="B128" i="33"/>
  <c r="F45" i="33" s="1"/>
  <c r="B126" i="33"/>
  <c r="F44" i="33" s="1"/>
  <c r="B98" i="33"/>
  <c r="B96" i="33"/>
  <c r="B94" i="33"/>
  <c r="H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AB12" i="34" s="1"/>
  <c r="F12" i="34"/>
  <c r="S12" i="34" s="1"/>
  <c r="Q11" i="34"/>
  <c r="Z11" i="34" s="1"/>
  <c r="Q10" i="34"/>
  <c r="Z10" i="34" s="1"/>
  <c r="F10" i="34"/>
  <c r="AA10" i="34" s="1"/>
  <c r="Q9" i="34"/>
  <c r="Z9" i="34" s="1"/>
  <c r="H9" i="34"/>
  <c r="F9" i="34"/>
  <c r="AA9" i="34" s="1"/>
  <c r="J8" i="34"/>
  <c r="AC8" i="34" s="1"/>
  <c r="H8" i="34"/>
  <c r="U8" i="34" s="1"/>
  <c r="F8" i="34"/>
  <c r="D121" i="33"/>
  <c r="E121" i="33" s="1"/>
  <c r="F121" i="33" s="1"/>
  <c r="G121" i="33" s="1"/>
  <c r="H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D111" i="21"/>
  <c r="E111" i="21"/>
  <c r="F111" i="21"/>
  <c r="C111" i="21"/>
  <c r="D79" i="21"/>
  <c r="E79" i="21" s="1"/>
  <c r="F79" i="21" s="1"/>
  <c r="G79" i="21" s="1"/>
  <c r="D85" i="21"/>
  <c r="F19" i="21"/>
  <c r="AA19" i="21" s="1"/>
  <c r="E81" i="21"/>
  <c r="F81" i="21" s="1"/>
  <c r="G81" i="21" s="1"/>
  <c r="D77" i="21"/>
  <c r="E77" i="21" s="1"/>
  <c r="B130" i="21"/>
  <c r="F46" i="21" s="1"/>
  <c r="AA46" i="21" s="1"/>
  <c r="B128" i="21"/>
  <c r="J45" i="21" s="1"/>
  <c r="B126" i="21"/>
  <c r="B98" i="21"/>
  <c r="H31" i="21" s="1"/>
  <c r="B96" i="21"/>
  <c r="B94" i="21"/>
  <c r="J29" i="21"/>
  <c r="AC29" i="21" s="1"/>
  <c r="B92" i="21"/>
  <c r="H28" i="21" s="1"/>
  <c r="AB28" i="21" s="1"/>
  <c r="B90" i="21"/>
  <c r="F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AB36" i="21" s="1"/>
  <c r="F35" i="21"/>
  <c r="AA35" i="21" s="1"/>
  <c r="J10" i="21"/>
  <c r="AC10" i="21" s="1"/>
  <c r="AB19" i="21"/>
  <c r="J19" i="21"/>
  <c r="W19" i="21" s="1"/>
  <c r="AB41" i="21"/>
  <c r="J44" i="39"/>
  <c r="AC44" i="39" s="1"/>
  <c r="F36" i="39"/>
  <c r="AA36" i="39" s="1"/>
  <c r="H36" i="39"/>
  <c r="AB36" i="39" s="1"/>
  <c r="J36" i="39"/>
  <c r="AC36" i="39"/>
  <c r="U9" i="39"/>
  <c r="W40" i="39"/>
  <c r="U30" i="37"/>
  <c r="W31" i="37"/>
  <c r="E103" i="37"/>
  <c r="F103" i="37" s="1"/>
  <c r="G103" i="37"/>
  <c r="H103" i="37" s="1"/>
  <c r="I103" i="37" s="1"/>
  <c r="J103" i="37" s="1"/>
  <c r="K103" i="37" s="1"/>
  <c r="L103" i="37" s="1"/>
  <c r="M103" i="37" s="1"/>
  <c r="F29" i="36"/>
  <c r="AA29" i="36" s="1"/>
  <c r="F16" i="36"/>
  <c r="AA16" i="36" s="1"/>
  <c r="W28" i="36"/>
  <c r="H22" i="35"/>
  <c r="AB22" i="35" s="1"/>
  <c r="AC27" i="35"/>
  <c r="U31" i="35"/>
  <c r="F36" i="34"/>
  <c r="J35" i="34"/>
  <c r="W9" i="34"/>
  <c r="H39" i="33"/>
  <c r="AB39" i="33" s="1"/>
  <c r="U35" i="33"/>
  <c r="S40" i="33"/>
  <c r="F11" i="40"/>
  <c r="AA11" i="40" s="1"/>
  <c r="H11" i="40"/>
  <c r="AB11" i="40" s="1"/>
  <c r="AC40" i="40"/>
  <c r="AC9" i="40"/>
  <c r="U9" i="40"/>
  <c r="S34" i="40"/>
  <c r="S40" i="40"/>
  <c r="U40" i="40"/>
  <c r="F42" i="39"/>
  <c r="AA42" i="39" s="1"/>
  <c r="F41" i="39"/>
  <c r="H40" i="39"/>
  <c r="AB40" i="39" s="1"/>
  <c r="H39" i="39"/>
  <c r="U39" i="39" s="1"/>
  <c r="S34" i="39"/>
  <c r="H34" i="39"/>
  <c r="U34" i="39" s="1"/>
  <c r="H31" i="39"/>
  <c r="AB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C27" i="39"/>
  <c r="H11" i="39"/>
  <c r="U11" i="39" s="1"/>
  <c r="S40" i="39"/>
  <c r="C15" i="39"/>
  <c r="H32" i="33"/>
  <c r="AB32" i="33" s="1"/>
  <c r="H11" i="21"/>
  <c r="U11" i="21" s="1"/>
  <c r="H37" i="40"/>
  <c r="U37" i="40" s="1"/>
  <c r="H36" i="40"/>
  <c r="AB36" i="40" s="1"/>
  <c r="F35" i="40"/>
  <c r="AA35" i="40" s="1"/>
  <c r="H23" i="40"/>
  <c r="AB23" i="40"/>
  <c r="H17" i="40"/>
  <c r="U17" i="40" s="1"/>
  <c r="J15" i="40"/>
  <c r="W15" i="40" s="1"/>
  <c r="J11" i="40"/>
  <c r="W11" i="40" s="1"/>
  <c r="AB8" i="39"/>
  <c r="AC12" i="34"/>
  <c r="AA12" i="34"/>
  <c r="S44" i="39"/>
  <c r="F37" i="39"/>
  <c r="AA37" i="39" s="1"/>
  <c r="U30" i="36"/>
  <c r="J30" i="35"/>
  <c r="W30" i="35" s="1"/>
  <c r="H30" i="35"/>
  <c r="AB30" i="35" s="1"/>
  <c r="F22" i="35"/>
  <c r="AA22" i="35" s="1"/>
  <c r="H10" i="35"/>
  <c r="U10" i="35" s="1"/>
  <c r="W30" i="36"/>
  <c r="H16" i="36"/>
  <c r="AB16" i="36" s="1"/>
  <c r="J29" i="36"/>
  <c r="AC29" i="36" s="1"/>
  <c r="F24" i="36"/>
  <c r="AA24" i="36" s="1"/>
  <c r="F14" i="35"/>
  <c r="AA14" i="35" s="1"/>
  <c r="J32" i="35"/>
  <c r="AC32" i="35" s="1"/>
  <c r="J16" i="35"/>
  <c r="AC16" i="35" s="1"/>
  <c r="H16" i="35"/>
  <c r="U16" i="35" s="1"/>
  <c r="F16" i="35"/>
  <c r="H14" i="35"/>
  <c r="AB14" i="35" s="1"/>
  <c r="J29" i="35"/>
  <c r="W29" i="35" s="1"/>
  <c r="H33" i="35"/>
  <c r="J20" i="35"/>
  <c r="W20" i="35" s="1"/>
  <c r="F35" i="37"/>
  <c r="S35" i="37"/>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H23" i="34"/>
  <c r="U23" i="34" s="1"/>
  <c r="J23" i="34"/>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F29" i="35"/>
  <c r="H29" i="35"/>
  <c r="H33" i="37"/>
  <c r="AB33" i="37" s="1"/>
  <c r="F33" i="37"/>
  <c r="AA33" i="37" s="1"/>
  <c r="U34" i="37"/>
  <c r="S34" i="37"/>
  <c r="J43" i="34"/>
  <c r="AB42" i="34"/>
  <c r="J40" i="34"/>
  <c r="W40" i="34" s="1"/>
  <c r="H38" i="34"/>
  <c r="AB38" i="34" s="1"/>
  <c r="J36" i="34"/>
  <c r="H37" i="34"/>
  <c r="U37" i="34" s="1"/>
  <c r="H25" i="34"/>
  <c r="AB25" i="34" s="1"/>
  <c r="J25" i="34"/>
  <c r="AC25" i="34" s="1"/>
  <c r="F23" i="34"/>
  <c r="J19" i="34"/>
  <c r="AC19" i="34" s="1"/>
  <c r="F17" i="34"/>
  <c r="AA17" i="34" s="1"/>
  <c r="J17" i="34"/>
  <c r="W17" i="34" s="1"/>
  <c r="S15" i="34"/>
  <c r="H37" i="33"/>
  <c r="H15" i="33"/>
  <c r="AB15" i="33"/>
  <c r="H11" i="33"/>
  <c r="AB11" i="33" s="1"/>
  <c r="F28" i="40"/>
  <c r="S42" i="34"/>
  <c r="AC38" i="34"/>
  <c r="AA38" i="34"/>
  <c r="J37" i="34"/>
  <c r="AC37" i="34" s="1"/>
  <c r="J11" i="33"/>
  <c r="W11" i="33" s="1"/>
  <c r="U23" i="40"/>
  <c r="J42" i="21"/>
  <c r="AC42" i="21" s="1"/>
  <c r="H42" i="21"/>
  <c r="U42" i="21" s="1"/>
  <c r="J44" i="34"/>
  <c r="F44" i="34"/>
  <c r="J10" i="35"/>
  <c r="AC10" i="35" s="1"/>
  <c r="H14" i="21"/>
  <c r="J44" i="21"/>
  <c r="AC44" i="21" s="1"/>
  <c r="H44" i="21"/>
  <c r="U44" i="21" s="1"/>
  <c r="F44" i="21"/>
  <c r="AA44" i="21" s="1"/>
  <c r="G119" i="2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J13" i="33"/>
  <c r="H13" i="33"/>
  <c r="U13" i="33" s="1"/>
  <c r="F13" i="33"/>
  <c r="S13" i="33" s="1"/>
  <c r="J29" i="33"/>
  <c r="F29" i="33"/>
  <c r="S29" i="33" s="1"/>
  <c r="J31" i="33"/>
  <c r="W31" i="33" s="1"/>
  <c r="H31" i="33"/>
  <c r="AB31" i="33" s="1"/>
  <c r="F31" i="33"/>
  <c r="H45" i="33"/>
  <c r="J45" i="33"/>
  <c r="W45" i="33" s="1"/>
  <c r="J14" i="34"/>
  <c r="W14" i="34" s="1"/>
  <c r="F14" i="34"/>
  <c r="S14" i="34" s="1"/>
  <c r="H14" i="34"/>
  <c r="H30" i="34"/>
  <c r="F30" i="34"/>
  <c r="J30" i="34"/>
  <c r="H32" i="34"/>
  <c r="J32" i="34"/>
  <c r="W32" i="34" s="1"/>
  <c r="H46" i="34"/>
  <c r="F46" i="34"/>
  <c r="J46" i="34"/>
  <c r="H11" i="35"/>
  <c r="AB11" i="35" s="1"/>
  <c r="J11" i="35"/>
  <c r="W11" i="35" s="1"/>
  <c r="F11" i="35"/>
  <c r="J26" i="36"/>
  <c r="W26" i="36" s="1"/>
  <c r="H28" i="36"/>
  <c r="U28" i="36" s="1"/>
  <c r="H32" i="36"/>
  <c r="AB32" i="36" s="1"/>
  <c r="J32" i="36"/>
  <c r="W32" i="36" s="1"/>
  <c r="J11" i="36"/>
  <c r="AC11" i="36" s="1"/>
  <c r="H11" i="36"/>
  <c r="U11" i="36" s="1"/>
  <c r="F11" i="36"/>
  <c r="AA11" i="36" s="1"/>
  <c r="H13" i="36"/>
  <c r="F13" i="36"/>
  <c r="S13" i="36" s="1"/>
  <c r="J29" i="37"/>
  <c r="W29" i="37"/>
  <c r="F29" i="37"/>
  <c r="H36" i="37"/>
  <c r="AB36" i="37"/>
  <c r="J37" i="37"/>
  <c r="AC37" i="37" s="1"/>
  <c r="H37" i="37"/>
  <c r="U37" i="37" s="1"/>
  <c r="J40" i="37"/>
  <c r="F40" i="37"/>
  <c r="AA40" i="37" s="1"/>
  <c r="AC12" i="40"/>
  <c r="F14" i="33"/>
  <c r="J44" i="33"/>
  <c r="J13" i="34"/>
  <c r="W13" i="34" s="1"/>
  <c r="F31" i="34"/>
  <c r="F45" i="34"/>
  <c r="S45" i="34" s="1"/>
  <c r="H47" i="34"/>
  <c r="U47" i="34" s="1"/>
  <c r="F13" i="35"/>
  <c r="J25" i="35"/>
  <c r="F25" i="35"/>
  <c r="S25" i="35" s="1"/>
  <c r="H13" i="37"/>
  <c r="F13" i="37"/>
  <c r="S13" i="37" s="1"/>
  <c r="F28" i="37"/>
  <c r="AA28" i="37" s="1"/>
  <c r="J28" i="37"/>
  <c r="H28" i="37"/>
  <c r="U28" i="37" s="1"/>
  <c r="J38" i="37"/>
  <c r="AC38" i="37" s="1"/>
  <c r="F38" i="37"/>
  <c r="F43" i="39"/>
  <c r="AA43" i="39" s="1"/>
  <c r="H43" i="39"/>
  <c r="AB43" i="39" s="1"/>
  <c r="J14" i="39"/>
  <c r="AC14" i="39" s="1"/>
  <c r="F14" i="39"/>
  <c r="F12" i="40"/>
  <c r="S12" i="40" s="1"/>
  <c r="H12" i="40"/>
  <c r="AB12" i="40" s="1"/>
  <c r="H30" i="40"/>
  <c r="AB30" i="40" s="1"/>
  <c r="F33" i="40"/>
  <c r="AA33" i="40" s="1"/>
  <c r="H33" i="40"/>
  <c r="U33" i="40" s="1"/>
  <c r="J35" i="40"/>
  <c r="J37" i="40"/>
  <c r="AC37" i="40" s="1"/>
  <c r="H13" i="40"/>
  <c r="U13" i="40" s="1"/>
  <c r="J13" i="40"/>
  <c r="W13" i="40" s="1"/>
  <c r="AA13" i="40"/>
  <c r="F27" i="37"/>
  <c r="AA27" i="37" s="1"/>
  <c r="F13" i="39"/>
  <c r="S13" i="39" s="1"/>
  <c r="J27" i="37"/>
  <c r="J36" i="37"/>
  <c r="AC36" i="37"/>
  <c r="J10" i="36"/>
  <c r="AC10" i="36" s="1"/>
  <c r="AC13" i="36"/>
  <c r="S11" i="36"/>
  <c r="U31" i="33"/>
  <c r="F17" i="21"/>
  <c r="AA17" i="21" s="1"/>
  <c r="H17" i="21"/>
  <c r="U17" i="21" s="1"/>
  <c r="F15" i="21"/>
  <c r="S15" i="21" s="1"/>
  <c r="J41" i="39"/>
  <c r="W44" i="39"/>
  <c r="W36" i="39"/>
  <c r="U36" i="39"/>
  <c r="G532" i="3"/>
  <c r="G531" i="3"/>
  <c r="G523" i="3"/>
  <c r="G518" i="3"/>
  <c r="G504" i="3"/>
  <c r="G500" i="3"/>
  <c r="G580" i="3"/>
  <c r="G572" i="3"/>
  <c r="G568" i="3"/>
  <c r="G564" i="3"/>
  <c r="G554" i="3"/>
  <c r="BL584" i="3"/>
  <c r="BL576" i="3"/>
  <c r="BL572" i="3"/>
  <c r="BL568" i="3"/>
  <c r="BL554" i="3"/>
  <c r="BL546" i="3"/>
  <c r="BL516" i="3"/>
  <c r="BL512" i="3"/>
  <c r="BL582" i="3"/>
  <c r="BL574" i="3"/>
  <c r="BL570" i="3"/>
  <c r="BL566" i="3"/>
  <c r="BL544" i="3"/>
  <c r="G533" i="3"/>
  <c r="BL514" i="3"/>
  <c r="BL510" i="3"/>
  <c r="BL496" i="3"/>
  <c r="BA584" i="3"/>
  <c r="BA576" i="3"/>
  <c r="AZ576" i="3" s="1"/>
  <c r="BA574" i="3"/>
  <c r="AZ574" i="3" s="1"/>
  <c r="BA570" i="3"/>
  <c r="BA568" i="3"/>
  <c r="AZ568" i="3" s="1"/>
  <c r="BA554" i="3"/>
  <c r="AZ554" i="3" s="1"/>
  <c r="BA552" i="3"/>
  <c r="BA534" i="3"/>
  <c r="BA526" i="3"/>
  <c r="AZ526" i="3" s="1"/>
  <c r="BA516" i="3"/>
  <c r="AZ516" i="3" s="1"/>
  <c r="BA506" i="3"/>
  <c r="BA504" i="3"/>
  <c r="BA496" i="3"/>
  <c r="AZ496" i="3" s="1"/>
  <c r="BA583" i="3"/>
  <c r="BA581" i="3"/>
  <c r="BA577" i="3"/>
  <c r="BA575" i="3"/>
  <c r="BA573" i="3"/>
  <c r="BA571" i="3"/>
  <c r="BA567" i="3"/>
  <c r="BA565" i="3"/>
  <c r="BA559" i="3"/>
  <c r="BA549" i="3"/>
  <c r="BA547" i="3"/>
  <c r="BA537" i="3"/>
  <c r="BA531" i="3"/>
  <c r="BA523" i="3"/>
  <c r="BA519" i="3"/>
  <c r="BA511" i="3"/>
  <c r="BA505" i="3"/>
  <c r="BA497" i="3"/>
  <c r="BA495" i="3"/>
  <c r="BA493" i="3"/>
  <c r="G583" i="3"/>
  <c r="G581" i="3"/>
  <c r="G579" i="3"/>
  <c r="G577" i="3"/>
  <c r="G575" i="3"/>
  <c r="G573" i="3"/>
  <c r="G571" i="3"/>
  <c r="G569" i="3"/>
  <c r="G567" i="3"/>
  <c r="G565" i="3"/>
  <c r="G563" i="3"/>
  <c r="AC557" i="3"/>
  <c r="G557" i="3" s="1"/>
  <c r="BQ557" i="3"/>
  <c r="BL557" i="3" s="1"/>
  <c r="BQ583" i="3"/>
  <c r="BL583" i="3" s="1"/>
  <c r="AZ583" i="3" s="1"/>
  <c r="BQ581" i="3"/>
  <c r="BQ579" i="3"/>
  <c r="BL579" i="3" s="1"/>
  <c r="BQ577" i="3"/>
  <c r="BL577" i="3" s="1"/>
  <c r="AZ577" i="3" s="1"/>
  <c r="BQ575" i="3"/>
  <c r="BL575" i="3" s="1"/>
  <c r="BQ573" i="3"/>
  <c r="BL573" i="3" s="1"/>
  <c r="BQ571" i="3"/>
  <c r="BL571" i="3" s="1"/>
  <c r="AZ571" i="3" s="1"/>
  <c r="BQ569" i="3"/>
  <c r="BQ567" i="3"/>
  <c r="BQ565" i="3"/>
  <c r="BQ563" i="3"/>
  <c r="BL563" i="3"/>
  <c r="BQ561" i="3"/>
  <c r="BQ559" i="3"/>
  <c r="G555" i="3"/>
  <c r="G553" i="3"/>
  <c r="G549" i="3"/>
  <c r="G547" i="3"/>
  <c r="G543" i="3"/>
  <c r="G541" i="3"/>
  <c r="G539" i="3"/>
  <c r="BQ555" i="3"/>
  <c r="BL555" i="3" s="1"/>
  <c r="BQ553" i="3"/>
  <c r="BL553" i="3" s="1"/>
  <c r="BQ551" i="3"/>
  <c r="BQ549" i="3"/>
  <c r="BQ547" i="3"/>
  <c r="BQ545" i="3"/>
  <c r="BQ543" i="3"/>
  <c r="BQ541" i="3"/>
  <c r="BL541" i="3" s="1"/>
  <c r="BQ539" i="3"/>
  <c r="BQ537" i="3"/>
  <c r="BQ535" i="3"/>
  <c r="BQ533" i="3"/>
  <c r="BL533" i="3" s="1"/>
  <c r="BQ531" i="3"/>
  <c r="BQ529" i="3"/>
  <c r="BQ527" i="3"/>
  <c r="BQ525" i="3"/>
  <c r="BL525" i="3" s="1"/>
  <c r="BQ523" i="3"/>
  <c r="AC521" i="3"/>
  <c r="G521" i="3" s="1"/>
  <c r="BQ521" i="3"/>
  <c r="G519" i="3"/>
  <c r="G517" i="3"/>
  <c r="G515" i="3"/>
  <c r="G511" i="3"/>
  <c r="BQ519" i="3"/>
  <c r="BL519" i="3" s="1"/>
  <c r="AZ519" i="3" s="1"/>
  <c r="BQ517" i="3"/>
  <c r="BQ515" i="3"/>
  <c r="BQ513" i="3"/>
  <c r="BL513" i="3" s="1"/>
  <c r="AZ513" i="3" s="1"/>
  <c r="BQ511" i="3"/>
  <c r="BL511" i="3" s="1"/>
  <c r="AC509" i="3"/>
  <c r="BQ509" i="3"/>
  <c r="BL509" i="3" s="1"/>
  <c r="AZ509" i="3" s="1"/>
  <c r="BL508" i="3"/>
  <c r="G505" i="3"/>
  <c r="G503" i="3"/>
  <c r="G501"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H43" i="33"/>
  <c r="H17" i="37"/>
  <c r="AB17" i="37" s="1"/>
  <c r="AB27" i="37"/>
  <c r="F39" i="33"/>
  <c r="E123" i="33"/>
  <c r="F123" i="33" s="1"/>
  <c r="G123" i="33" s="1"/>
  <c r="F42" i="33"/>
  <c r="S42" i="33" s="1"/>
  <c r="F14" i="36"/>
  <c r="AA14" i="36" s="1"/>
  <c r="F22" i="36"/>
  <c r="S22" i="36" s="1"/>
  <c r="F26" i="36"/>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H31" i="40"/>
  <c r="U31" i="40" s="1"/>
  <c r="J36" i="40"/>
  <c r="H19" i="37"/>
  <c r="AB19" i="37" s="1"/>
  <c r="H123" i="33"/>
  <c r="I123" i="33" s="1"/>
  <c r="J123" i="33" s="1"/>
  <c r="K123" i="33" s="1"/>
  <c r="L123" i="33" s="1"/>
  <c r="M123" i="33" s="1"/>
  <c r="H42" i="33"/>
  <c r="AB42" i="33" s="1"/>
  <c r="J43" i="33"/>
  <c r="S28" i="31"/>
  <c r="S27" i="31"/>
  <c r="S26" i="31"/>
  <c r="AB28" i="37"/>
  <c r="U33" i="37"/>
  <c r="AA13" i="33"/>
  <c r="U11" i="33"/>
  <c r="U19" i="21"/>
  <c r="F43" i="33"/>
  <c r="AA43" i="33" s="1"/>
  <c r="W15" i="34"/>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U21" i="40" s="1"/>
  <c r="H31" i="37"/>
  <c r="U31" i="37" s="1"/>
  <c r="J15" i="37"/>
  <c r="AT6" i="3"/>
  <c r="H19" i="40"/>
  <c r="AB19" i="40" s="1"/>
  <c r="U19" i="40"/>
  <c r="F88" i="40"/>
  <c r="G88" i="40" s="1"/>
  <c r="F19" i="40"/>
  <c r="AA19" i="40" s="1"/>
  <c r="S19" i="40"/>
  <c r="AB33" i="40"/>
  <c r="W23" i="39"/>
  <c r="AC43" i="39"/>
  <c r="W43" i="39"/>
  <c r="AB44" i="39"/>
  <c r="U44" i="39"/>
  <c r="H37" i="39"/>
  <c r="AB37" i="39" s="1"/>
  <c r="AC37" i="39"/>
  <c r="W37" i="39"/>
  <c r="H25" i="39"/>
  <c r="J25" i="39"/>
  <c r="F25" i="39"/>
  <c r="AA25" i="39" s="1"/>
  <c r="F15" i="39"/>
  <c r="AA15" i="39" s="1"/>
  <c r="H15" i="39"/>
  <c r="U15" i="39" s="1"/>
  <c r="J15" i="39"/>
  <c r="W15" i="39" s="1"/>
  <c r="H41" i="39"/>
  <c r="AB41" i="39" s="1"/>
  <c r="W27" i="39"/>
  <c r="AB34" i="39"/>
  <c r="U40" i="39"/>
  <c r="S42" i="39"/>
  <c r="W9" i="39"/>
  <c r="W8" i="39"/>
  <c r="J19" i="40"/>
  <c r="J50" i="40"/>
  <c r="H103" i="9"/>
  <c r="D8" i="53" s="1"/>
  <c r="B16" i="53"/>
  <c r="B33" i="72" s="1"/>
  <c r="C7" i="37"/>
  <c r="C52" i="37" s="1"/>
  <c r="D52" i="37" s="1"/>
  <c r="A118" i="9"/>
  <c r="A4" i="52"/>
  <c r="B41" i="72" s="1"/>
  <c r="J11" i="39"/>
  <c r="W11" i="39" s="1"/>
  <c r="F11" i="39"/>
  <c r="G4" i="4"/>
  <c r="I4" i="4"/>
  <c r="A2" i="9"/>
  <c r="F61" i="43"/>
  <c r="H64" i="43" s="1"/>
  <c r="BL549"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c r="BL136" i="3"/>
  <c r="G137" i="3"/>
  <c r="BA139" i="3"/>
  <c r="BL140" i="3"/>
  <c r="G141" i="3"/>
  <c r="BA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AZ175" i="3" s="1"/>
  <c r="BL176" i="3"/>
  <c r="AZ176" i="3" s="1"/>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AZ305" i="3" s="1"/>
  <c r="G306" i="3"/>
  <c r="G309" i="3"/>
  <c r="BL310" i="3"/>
  <c r="BA312" i="3"/>
  <c r="BA313" i="3"/>
  <c r="AZ313" i="3" s="1"/>
  <c r="BL313" i="3"/>
  <c r="G314" i="3"/>
  <c r="G317" i="3"/>
  <c r="BL318" i="3"/>
  <c r="BA320" i="3"/>
  <c r="BA321" i="3"/>
  <c r="BL321" i="3"/>
  <c r="AZ321" i="3" s="1"/>
  <c r="G322" i="3"/>
  <c r="G325" i="3"/>
  <c r="BL326" i="3"/>
  <c r="BA328" i="3"/>
  <c r="BA329" i="3"/>
  <c r="AZ329" i="3" s="1"/>
  <c r="BL329" i="3"/>
  <c r="G330" i="3"/>
  <c r="G333" i="3"/>
  <c r="BL334" i="3"/>
  <c r="BA336" i="3"/>
  <c r="AZ336" i="3"/>
  <c r="BA337" i="3"/>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AZ372" i="3" s="1"/>
  <c r="G373" i="3"/>
  <c r="G376" i="3"/>
  <c r="BL377" i="3"/>
  <c r="BL379" i="3"/>
  <c r="BA381" i="3"/>
  <c r="AZ381" i="3" s="1"/>
  <c r="BA382" i="3"/>
  <c r="BL382" i="3"/>
  <c r="G383" i="3"/>
  <c r="G386" i="3"/>
  <c r="BL387" i="3"/>
  <c r="BA389" i="3"/>
  <c r="BA390" i="3"/>
  <c r="BL390" i="3"/>
  <c r="G391" i="3"/>
  <c r="G394" i="3"/>
  <c r="BA16" i="3"/>
  <c r="AZ16" i="3" s="1"/>
  <c r="BL303" i="3"/>
  <c r="G304" i="3"/>
  <c r="BA306" i="3"/>
  <c r="AZ306" i="3" s="1"/>
  <c r="BL307" i="3"/>
  <c r="G308" i="3"/>
  <c r="BA310" i="3"/>
  <c r="AZ310" i="3" s="1"/>
  <c r="BL311" i="3"/>
  <c r="G312" i="3"/>
  <c r="BA314" i="3"/>
  <c r="BL315" i="3"/>
  <c r="AZ315" i="3" s="1"/>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BL370" i="3"/>
  <c r="G371" i="3"/>
  <c r="BA373" i="3"/>
  <c r="BL374" i="3"/>
  <c r="G375" i="3"/>
  <c r="BA377" i="3"/>
  <c r="BA379" i="3"/>
  <c r="AZ379" i="3" s="1"/>
  <c r="BL380" i="3"/>
  <c r="G381" i="3"/>
  <c r="BA383" i="3"/>
  <c r="BL384" i="3"/>
  <c r="G385" i="3"/>
  <c r="BA387" i="3"/>
  <c r="BL388" i="3"/>
  <c r="G389" i="3"/>
  <c r="BA391" i="3"/>
  <c r="AZ391" i="3" s="1"/>
  <c r="BL392" i="3"/>
  <c r="G393" i="3"/>
  <c r="BF5" i="3"/>
  <c r="BD5" i="3"/>
  <c r="G548" i="3"/>
  <c r="G538" i="3"/>
  <c r="G520" i="3"/>
  <c r="G502" i="3"/>
  <c r="BS5" i="3"/>
  <c r="BP5" i="3"/>
  <c r="AZ343" i="3"/>
  <c r="BI5" i="3"/>
  <c r="BC5" i="3"/>
  <c r="G17" i="3"/>
  <c r="BA17" i="3"/>
  <c r="BA15" i="3"/>
  <c r="BR5" i="3"/>
  <c r="U36" i="40"/>
  <c r="F83" i="43"/>
  <c r="H85" i="43" s="1"/>
  <c r="F50" i="43"/>
  <c r="H54" i="43" s="1"/>
  <c r="F72" i="43"/>
  <c r="H75" i="43" s="1"/>
  <c r="U17" i="39"/>
  <c r="G10" i="1"/>
  <c r="W37" i="37"/>
  <c r="W44" i="34"/>
  <c r="AC44" i="34"/>
  <c r="U12" i="40"/>
  <c r="J37" i="33"/>
  <c r="W37" i="33" s="1"/>
  <c r="AC17" i="34"/>
  <c r="F106" i="33"/>
  <c r="G106" i="33" s="1"/>
  <c r="H106" i="33" s="1"/>
  <c r="I106" i="33"/>
  <c r="J106" i="33" s="1"/>
  <c r="K106" i="33" s="1"/>
  <c r="L106" i="33" s="1"/>
  <c r="M106" i="33" s="1"/>
  <c r="J34" i="33"/>
  <c r="W34" i="33" s="1"/>
  <c r="F33" i="34"/>
  <c r="S33" i="34"/>
  <c r="W12" i="36"/>
  <c r="AC12" i="36"/>
  <c r="H20" i="36"/>
  <c r="AB20" i="36" s="1"/>
  <c r="U20" i="36"/>
  <c r="J20" i="36"/>
  <c r="W20" i="36" s="1"/>
  <c r="J27" i="36"/>
  <c r="W27" i="36" s="1"/>
  <c r="AC33" i="40"/>
  <c r="H35" i="40"/>
  <c r="AC29" i="35"/>
  <c r="H35" i="37"/>
  <c r="U35" i="37" s="1"/>
  <c r="AC14" i="35"/>
  <c r="H20" i="35"/>
  <c r="U20" i="35" s="1"/>
  <c r="F20" i="35"/>
  <c r="AA20" i="35" s="1"/>
  <c r="AB29" i="36"/>
  <c r="U29" i="36"/>
  <c r="H32" i="37"/>
  <c r="H27" i="40"/>
  <c r="U27" i="40" s="1"/>
  <c r="J27" i="40"/>
  <c r="AC27" i="40" s="1"/>
  <c r="F27" i="40"/>
  <c r="J30" i="40"/>
  <c r="AC30" i="40" s="1"/>
  <c r="F30" i="40"/>
  <c r="S11" i="40"/>
  <c r="E98" i="40"/>
  <c r="F98" i="40" s="1"/>
  <c r="G98" i="40" s="1"/>
  <c r="H98" i="40" s="1"/>
  <c r="I98" i="40" s="1"/>
  <c r="J98" i="40" s="1"/>
  <c r="K98" i="40" s="1"/>
  <c r="L98" i="40" s="1"/>
  <c r="M98" i="40" s="1"/>
  <c r="F10" i="33"/>
  <c r="S10" i="33" s="1"/>
  <c r="F34" i="33"/>
  <c r="H34" i="33"/>
  <c r="F35" i="33"/>
  <c r="S35" i="33" s="1"/>
  <c r="F39" i="34"/>
  <c r="S39" i="34" s="1"/>
  <c r="J39" i="34"/>
  <c r="AC39" i="34" s="1"/>
  <c r="W39" i="34"/>
  <c r="F40" i="34"/>
  <c r="F43" i="34"/>
  <c r="AA43" i="34" s="1"/>
  <c r="H44" i="34"/>
  <c r="AB44" i="34" s="1"/>
  <c r="AC38" i="39"/>
  <c r="F39" i="39"/>
  <c r="J39" i="39"/>
  <c r="AC39" i="39" s="1"/>
  <c r="F23" i="39"/>
  <c r="H27" i="36"/>
  <c r="U27" i="36" s="1"/>
  <c r="F27" i="36"/>
  <c r="AA27" i="36" s="1"/>
  <c r="H33" i="34"/>
  <c r="F32" i="37"/>
  <c r="AA32" i="37"/>
  <c r="F20" i="36"/>
  <c r="AA20" i="36" s="1"/>
  <c r="J33" i="34"/>
  <c r="AC33" i="34" s="1"/>
  <c r="H23" i="39"/>
  <c r="U23" i="39" s="1"/>
  <c r="D48" i="9"/>
  <c r="M52" i="9" s="1"/>
  <c r="K9" i="1"/>
  <c r="M9" i="1" s="1"/>
  <c r="K6" i="1"/>
  <c r="AP6" i="1" s="1"/>
  <c r="AC26" i="33"/>
  <c r="W26" i="33"/>
  <c r="AB34" i="36"/>
  <c r="U34" i="36"/>
  <c r="AC12" i="39"/>
  <c r="W12" i="39"/>
  <c r="W12" i="33"/>
  <c r="AC12" i="33"/>
  <c r="AA32" i="36"/>
  <c r="S32" i="36"/>
  <c r="BL14" i="3"/>
  <c r="AC13" i="34"/>
  <c r="S19" i="39"/>
  <c r="F12" i="33"/>
  <c r="S12" i="33" s="1"/>
  <c r="H12" i="39"/>
  <c r="F39" i="40"/>
  <c r="AA39" i="40" s="1"/>
  <c r="BA14" i="3"/>
  <c r="AZ19" i="3"/>
  <c r="B12" i="1"/>
  <c r="E12" i="1" s="1"/>
  <c r="B10" i="1"/>
  <c r="E10" i="1" s="1"/>
  <c r="K12" i="1"/>
  <c r="M12" i="1" s="1"/>
  <c r="S13" i="1"/>
  <c r="AR13" i="1" s="1"/>
  <c r="R13" i="1"/>
  <c r="J51" i="67"/>
  <c r="AC34" i="33"/>
  <c r="S35" i="40"/>
  <c r="S17" i="40"/>
  <c r="AC15" i="40"/>
  <c r="AB27" i="40"/>
  <c r="U37" i="39"/>
  <c r="S43" i="39"/>
  <c r="S37" i="39"/>
  <c r="F32" i="39"/>
  <c r="F106" i="39"/>
  <c r="G106" i="39" s="1"/>
  <c r="H106" i="39" s="1"/>
  <c r="I106" i="39" s="1"/>
  <c r="J106" i="39" s="1"/>
  <c r="K106" i="39" s="1"/>
  <c r="L106" i="39" s="1"/>
  <c r="M106" i="39" s="1"/>
  <c r="U31" i="39"/>
  <c r="J21" i="39"/>
  <c r="W21" i="39" s="1"/>
  <c r="F21" i="39"/>
  <c r="AA21" i="39" s="1"/>
  <c r="G94" i="39"/>
  <c r="H21" i="39"/>
  <c r="U21" i="39" s="1"/>
  <c r="W19" i="39"/>
  <c r="U19" i="39"/>
  <c r="AA12" i="39"/>
  <c r="S9" i="39"/>
  <c r="U14" i="39"/>
  <c r="AC13" i="39"/>
  <c r="S23" i="36"/>
  <c r="U26" i="36"/>
  <c r="AC26" i="36"/>
  <c r="AA22" i="36"/>
  <c r="AB14" i="36"/>
  <c r="U22" i="36"/>
  <c r="U16" i="36"/>
  <c r="S14" i="36"/>
  <c r="AA25" i="35"/>
  <c r="U28" i="35"/>
  <c r="AB27" i="35"/>
  <c r="U36" i="35"/>
  <c r="U32" i="35"/>
  <c r="AA33" i="35"/>
  <c r="AC30" i="35"/>
  <c r="S32" i="35"/>
  <c r="AA36" i="35"/>
  <c r="S28" i="35"/>
  <c r="AB16" i="35"/>
  <c r="U22" i="35"/>
  <c r="U14" i="35"/>
  <c r="AC9" i="35"/>
  <c r="W9" i="35"/>
  <c r="F9" i="35"/>
  <c r="S9" i="35" s="1"/>
  <c r="H9" i="35"/>
  <c r="U9" i="35" s="1"/>
  <c r="AB40" i="37"/>
  <c r="S25" i="37"/>
  <c r="AC29" i="37"/>
  <c r="U29" i="37"/>
  <c r="S32" i="37"/>
  <c r="AB31" i="37"/>
  <c r="W30" i="37"/>
  <c r="S36" i="37"/>
  <c r="W38" i="37"/>
  <c r="AC35" i="37"/>
  <c r="S30" i="37"/>
  <c r="S37" i="37"/>
  <c r="J17" i="37"/>
  <c r="G73" i="37"/>
  <c r="F17" i="37"/>
  <c r="AA17" i="37" s="1"/>
  <c r="F75" i="37"/>
  <c r="F19" i="37"/>
  <c r="AA19" i="37" s="1"/>
  <c r="F79" i="37"/>
  <c r="F23" i="37"/>
  <c r="S23" i="37"/>
  <c r="U23" i="37"/>
  <c r="U15" i="37"/>
  <c r="AA13" i="37"/>
  <c r="H10" i="37"/>
  <c r="AB10" i="37" s="1"/>
  <c r="F63" i="37"/>
  <c r="F11" i="37"/>
  <c r="S11" i="37" s="1"/>
  <c r="W25" i="34"/>
  <c r="AB8" i="34"/>
  <c r="AA33" i="34"/>
  <c r="U43" i="34"/>
  <c r="W41" i="34"/>
  <c r="AC42" i="34"/>
  <c r="AB35" i="34"/>
  <c r="U39" i="34"/>
  <c r="S43" i="34"/>
  <c r="AB41" i="34"/>
  <c r="AA45" i="34"/>
  <c r="AA25" i="34"/>
  <c r="S17" i="34"/>
  <c r="U27" i="34"/>
  <c r="U15" i="34"/>
  <c r="H10" i="34"/>
  <c r="AB10" i="34" s="1"/>
  <c r="F11" i="34"/>
  <c r="S11" i="34" s="1"/>
  <c r="F70" i="34"/>
  <c r="W42" i="33"/>
  <c r="S32" i="33"/>
  <c r="AA29" i="33"/>
  <c r="W38" i="33"/>
  <c r="H41" i="33"/>
  <c r="AB41" i="33" s="1"/>
  <c r="I121" i="33"/>
  <c r="J121" i="33" s="1"/>
  <c r="K121" i="33" s="1"/>
  <c r="L121" i="33" s="1"/>
  <c r="M121" i="33" s="1"/>
  <c r="U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F87" i="33"/>
  <c r="H25" i="33"/>
  <c r="F25" i="33"/>
  <c r="S25" i="33" s="1"/>
  <c r="J23" i="33"/>
  <c r="W23" i="33" s="1"/>
  <c r="F85" i="33"/>
  <c r="G85" i="33" s="1"/>
  <c r="H23" i="33"/>
  <c r="U23" i="33" s="1"/>
  <c r="F81" i="33"/>
  <c r="G81" i="33" s="1"/>
  <c r="F19" i="33"/>
  <c r="W19" i="33"/>
  <c r="J17" i="33"/>
  <c r="W17" i="33" s="1"/>
  <c r="F79" i="33"/>
  <c r="S15" i="33"/>
  <c r="W15" i="33"/>
  <c r="J10" i="33"/>
  <c r="W10" i="33" s="1"/>
  <c r="H10" i="33"/>
  <c r="U10" i="33" s="1"/>
  <c r="AB14" i="33"/>
  <c r="W43" i="21"/>
  <c r="W41" i="21"/>
  <c r="AB39" i="21"/>
  <c r="AA43" i="21"/>
  <c r="AC40" i="21"/>
  <c r="J15" i="21"/>
  <c r="W15" i="21" s="1"/>
  <c r="F77" i="21"/>
  <c r="G77" i="21"/>
  <c r="F23" i="21"/>
  <c r="S23" i="21" s="1"/>
  <c r="E85" i="21"/>
  <c r="F85" i="21" s="1"/>
  <c r="G85" i="21" s="1"/>
  <c r="D120" i="9"/>
  <c r="C18" i="9"/>
  <c r="D18" i="9" s="1"/>
  <c r="F34" i="67"/>
  <c r="F62" i="67" s="1"/>
  <c r="M20" i="67"/>
  <c r="F34" i="15"/>
  <c r="F62" i="15" s="1"/>
  <c r="G13" i="3"/>
  <c r="BL17" i="3"/>
  <c r="BL13" i="3"/>
  <c r="J56" i="9"/>
  <c r="J57" i="9" s="1"/>
  <c r="J59" i="9" s="1"/>
  <c r="J61" i="9" s="1"/>
  <c r="A24" i="51"/>
  <c r="B18" i="72" s="1"/>
  <c r="G1" i="68"/>
  <c r="K1" i="12"/>
  <c r="E19" i="69"/>
  <c r="E19" i="68"/>
  <c r="E19" i="11"/>
  <c r="G22" i="69"/>
  <c r="C6" i="43"/>
  <c r="B19" i="53"/>
  <c r="B37" i="72" s="1"/>
  <c r="C7" i="21"/>
  <c r="A4" i="51"/>
  <c r="B6" i="72" s="1"/>
  <c r="L20" i="6"/>
  <c r="B6" i="1"/>
  <c r="E6" i="1" s="1"/>
  <c r="K11" i="1"/>
  <c r="M11" i="1" s="1"/>
  <c r="O11" i="1" s="1"/>
  <c r="B9" i="1"/>
  <c r="E9" i="1" s="1"/>
  <c r="K7" i="1"/>
  <c r="M7" i="1" s="1"/>
  <c r="O7" i="1" s="1"/>
  <c r="P7" i="1" s="1"/>
  <c r="G1" i="15"/>
  <c r="G1" i="69"/>
  <c r="G1" i="67"/>
  <c r="W23" i="40"/>
  <c r="AB31" i="40"/>
  <c r="S37" i="40"/>
  <c r="AB28" i="40"/>
  <c r="W28" i="40"/>
  <c r="W34" i="40"/>
  <c r="W27" i="40"/>
  <c r="S36" i="40"/>
  <c r="W37" i="40"/>
  <c r="S13" i="40"/>
  <c r="S33" i="40"/>
  <c r="AA15" i="40"/>
  <c r="U11" i="40"/>
  <c r="AB13" i="40"/>
  <c r="U15" i="40"/>
  <c r="U8" i="40"/>
  <c r="S8" i="40"/>
  <c r="U42" i="39"/>
  <c r="U41" i="39"/>
  <c r="W25" i="39"/>
  <c r="AC25" i="39"/>
  <c r="AA13" i="39"/>
  <c r="S14" i="39"/>
  <c r="AA14" i="39"/>
  <c r="U43" i="39"/>
  <c r="AB11" i="39"/>
  <c r="AA27" i="39"/>
  <c r="S27" i="39"/>
  <c r="W17" i="39"/>
  <c r="AC17" i="39"/>
  <c r="AB39" i="39"/>
  <c r="W34" i="39"/>
  <c r="U38" i="39"/>
  <c r="S8" i="39"/>
  <c r="S20" i="36"/>
  <c r="U32" i="36"/>
  <c r="W29" i="36"/>
  <c r="AB28" i="36"/>
  <c r="AA13" i="36"/>
  <c r="W9" i="36"/>
  <c r="W22" i="36"/>
  <c r="AB20" i="35"/>
  <c r="S24" i="35"/>
  <c r="AA35" i="37"/>
  <c r="W36" i="37"/>
  <c r="S27" i="37"/>
  <c r="S28" i="37"/>
  <c r="W32" i="37"/>
  <c r="U36" i="37"/>
  <c r="S40" i="37"/>
  <c r="U38" i="37"/>
  <c r="AC34" i="37"/>
  <c r="AB35" i="37"/>
  <c r="AA31" i="37"/>
  <c r="U8" i="37"/>
  <c r="AB40" i="34"/>
  <c r="U19" i="34"/>
  <c r="W19" i="34"/>
  <c r="AB47" i="34"/>
  <c r="U25" i="34"/>
  <c r="AB36" i="34"/>
  <c r="AC14" i="34"/>
  <c r="AC32" i="34"/>
  <c r="W46" i="34"/>
  <c r="AC46" i="34"/>
  <c r="AA32" i="34"/>
  <c r="U30" i="34"/>
  <c r="AB30" i="34"/>
  <c r="U38" i="34"/>
  <c r="AC40" i="34"/>
  <c r="AA19" i="34"/>
  <c r="S19" i="34"/>
  <c r="AA36" i="34"/>
  <c r="S36" i="34"/>
  <c r="AA8" i="34"/>
  <c r="S8" i="34"/>
  <c r="AB9" i="34"/>
  <c r="U9" i="34"/>
  <c r="S46" i="34"/>
  <c r="AA46" i="34"/>
  <c r="U14" i="34"/>
  <c r="AB14" i="34"/>
  <c r="AC43" i="34"/>
  <c r="W43" i="34"/>
  <c r="W23" i="34"/>
  <c r="AC23" i="34"/>
  <c r="AC35" i="34"/>
  <c r="W35" i="34"/>
  <c r="U12" i="34"/>
  <c r="AB28" i="33"/>
  <c r="AC37" i="33"/>
  <c r="U39" i="33"/>
  <c r="U38" i="33"/>
  <c r="S33" i="33"/>
  <c r="S31" i="33"/>
  <c r="AA31" i="33"/>
  <c r="W13" i="33"/>
  <c r="AC13" i="33"/>
  <c r="U15" i="33"/>
  <c r="S11" i="33"/>
  <c r="S28" i="33"/>
  <c r="W9" i="33"/>
  <c r="W8" i="33"/>
  <c r="U28" i="21"/>
  <c r="F33" i="21"/>
  <c r="AA33" i="21" s="1"/>
  <c r="J33" i="21"/>
  <c r="AC33" i="21" s="1"/>
  <c r="H33" i="21"/>
  <c r="AB33" i="21" s="1"/>
  <c r="F37" i="21"/>
  <c r="S37" i="21" s="1"/>
  <c r="AB31" i="21"/>
  <c r="U31" i="21"/>
  <c r="AC15" i="21"/>
  <c r="U13" i="21"/>
  <c r="AB13" i="21"/>
  <c r="S35" i="21"/>
  <c r="J37" i="21"/>
  <c r="W37" i="21" s="1"/>
  <c r="H15" i="21"/>
  <c r="J17" i="21"/>
  <c r="AC17" i="21" s="1"/>
  <c r="AC19" i="21"/>
  <c r="W39" i="21"/>
  <c r="S46" i="21"/>
  <c r="H45" i="21"/>
  <c r="F29" i="21"/>
  <c r="S29" i="21" s="1"/>
  <c r="F13" i="21"/>
  <c r="AA13" i="21" s="1"/>
  <c r="H32" i="21"/>
  <c r="AB32" i="21" s="1"/>
  <c r="H9" i="21"/>
  <c r="AB9" i="21" s="1"/>
  <c r="J9" i="21"/>
  <c r="AC9" i="21" s="1"/>
  <c r="J32" i="21"/>
  <c r="W32" i="21" s="1"/>
  <c r="F32" i="21"/>
  <c r="AA32" i="21" s="1"/>
  <c r="AA31" i="21"/>
  <c r="W29" i="21"/>
  <c r="S19" i="21"/>
  <c r="K141" i="21"/>
  <c r="K144" i="21"/>
  <c r="K143" i="21"/>
  <c r="AB44" i="21"/>
  <c r="W13" i="21"/>
  <c r="F10" i="21"/>
  <c r="AA10" i="21" s="1"/>
  <c r="K145" i="21"/>
  <c r="W31" i="21"/>
  <c r="S17" i="21"/>
  <c r="AA15" i="21"/>
  <c r="AB29" i="21"/>
  <c r="C15" i="40"/>
  <c r="C17" i="40"/>
  <c r="C23" i="40"/>
  <c r="C21" i="40"/>
  <c r="B54" i="43"/>
  <c r="B58" i="43"/>
  <c r="B65" i="43"/>
  <c r="E4" i="4"/>
  <c r="B5" i="62" s="1"/>
  <c r="B73" i="72" s="1"/>
  <c r="C4" i="4"/>
  <c r="S39" i="40"/>
  <c r="J32" i="39"/>
  <c r="H32" i="39"/>
  <c r="AB32" i="39" s="1"/>
  <c r="AB21" i="39"/>
  <c r="S21" i="39"/>
  <c r="S17" i="37"/>
  <c r="J19" i="37"/>
  <c r="W19" i="37" s="1"/>
  <c r="G75"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H111" i="33"/>
  <c r="I111" i="33" s="1"/>
  <c r="J111" i="33"/>
  <c r="K111" i="33" s="1"/>
  <c r="L111" i="33" s="1"/>
  <c r="M111" i="33" s="1"/>
  <c r="J36" i="33"/>
  <c r="W36" i="33" s="1"/>
  <c r="H36" i="33"/>
  <c r="AB27" i="33"/>
  <c r="J27" i="33"/>
  <c r="AC27" i="33" s="1"/>
  <c r="U25" i="33"/>
  <c r="AB25" i="33"/>
  <c r="G87" i="33"/>
  <c r="H87" i="33" s="1"/>
  <c r="I87" i="33" s="1"/>
  <c r="J87" i="33"/>
  <c r="K87" i="33" s="1"/>
  <c r="L87" i="33" s="1"/>
  <c r="M87" i="33" s="1"/>
  <c r="J25" i="33"/>
  <c r="AC25" i="33" s="1"/>
  <c r="AB23" i="33"/>
  <c r="F23" i="33"/>
  <c r="AA23" i="33" s="1"/>
  <c r="H19" i="33"/>
  <c r="G79" i="33"/>
  <c r="H17" i="33"/>
  <c r="AB17" i="33" s="1"/>
  <c r="F17" i="33"/>
  <c r="S17" i="33" s="1"/>
  <c r="AC17" i="33"/>
  <c r="AA23" i="21"/>
  <c r="J23" i="21"/>
  <c r="W23" i="21" s="1"/>
  <c r="H23" i="21"/>
  <c r="U23" i="21" s="1"/>
  <c r="S13" i="21"/>
  <c r="AP7" i="1"/>
  <c r="AC32" i="39"/>
  <c r="W32" i="39"/>
  <c r="J11" i="37"/>
  <c r="AC11" i="37" s="1"/>
  <c r="J11" i="34"/>
  <c r="W11" i="34" s="1"/>
  <c r="W27" i="33"/>
  <c r="S23" i="33"/>
  <c r="U17" i="33"/>
  <c r="H109" i="9"/>
  <c r="H112" i="9"/>
  <c r="D21" i="53" s="1"/>
  <c r="B39" i="72" s="1"/>
  <c r="H111" i="9"/>
  <c r="D126" i="9" s="1"/>
  <c r="D19" i="53"/>
  <c r="B38" i="72" s="1"/>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F40" i="15"/>
  <c r="B12" i="76"/>
  <c r="F13" i="15"/>
  <c r="F43" i="15"/>
  <c r="F26" i="67"/>
  <c r="E11" i="76"/>
  <c r="E8" i="76"/>
  <c r="M24" i="67"/>
  <c r="E9" i="76"/>
  <c r="L48" i="15"/>
  <c r="F20" i="31"/>
  <c r="M9" i="15"/>
  <c r="E7" i="76"/>
  <c r="F6" i="15"/>
  <c r="M28" i="15"/>
  <c r="F37" i="67"/>
  <c r="B10" i="76"/>
  <c r="F9" i="67"/>
  <c r="E12" i="76"/>
  <c r="F7" i="15"/>
  <c r="F3" i="73"/>
  <c r="E13" i="76"/>
  <c r="M22" i="15"/>
  <c r="F6" i="73"/>
  <c r="F7" i="67"/>
  <c r="M8" i="15"/>
  <c r="M26" i="15"/>
  <c r="C76" i="15"/>
  <c r="C76" i="67"/>
  <c r="F13" i="67"/>
  <c r="M23" i="15"/>
  <c r="B11" i="76"/>
  <c r="F16" i="15"/>
  <c r="F42" i="15"/>
  <c r="L47" i="15"/>
  <c r="B13" i="76"/>
  <c r="F5" i="73"/>
  <c r="B9" i="76"/>
  <c r="D34" i="9"/>
  <c r="E2" i="69"/>
  <c r="J15" i="67"/>
  <c r="E2" i="68"/>
  <c r="M8" i="67"/>
  <c r="M9" i="67"/>
  <c r="F37" i="15"/>
  <c r="D35" i="9"/>
  <c r="J15" i="15"/>
  <c r="M23" i="67"/>
  <c r="M6" i="15"/>
  <c r="F40" i="67"/>
  <c r="B7" i="76"/>
  <c r="M29" i="15"/>
  <c r="B8" i="76"/>
  <c r="AO13" i="1"/>
  <c r="F4" i="73"/>
  <c r="F42" i="67"/>
  <c r="E10" i="76"/>
  <c r="F36" i="67"/>
  <c r="F9" i="15"/>
  <c r="B62" i="43" l="1"/>
  <c r="AZ364" i="3"/>
  <c r="S11" i="35"/>
  <c r="AA11" i="35"/>
  <c r="W30" i="34"/>
  <c r="AC30" i="34"/>
  <c r="AA28" i="40"/>
  <c r="S28" i="40"/>
  <c r="W25" i="33"/>
  <c r="U32" i="39"/>
  <c r="W35" i="33"/>
  <c r="W30" i="40"/>
  <c r="AZ17" i="3"/>
  <c r="AA35" i="33"/>
  <c r="AB12" i="39"/>
  <c r="U12" i="39"/>
  <c r="AZ338" i="3"/>
  <c r="AZ497" i="3"/>
  <c r="AZ584" i="3"/>
  <c r="AZ498" i="3"/>
  <c r="C21" i="71"/>
  <c r="C20" i="71" s="1"/>
  <c r="AC19" i="37"/>
  <c r="AA12" i="40"/>
  <c r="AZ303" i="3"/>
  <c r="AZ549" i="3"/>
  <c r="AB13" i="37"/>
  <c r="U13" i="37"/>
  <c r="AC40" i="37"/>
  <c r="W40" i="37"/>
  <c r="AZ304" i="3"/>
  <c r="AZ380" i="3"/>
  <c r="F28" i="21"/>
  <c r="S35" i="34"/>
  <c r="U34" i="34"/>
  <c r="S36" i="39"/>
  <c r="S41" i="21"/>
  <c r="AA41" i="21"/>
  <c r="BA582" i="3"/>
  <c r="AZ582" i="3" s="1"/>
  <c r="BL580" i="3"/>
  <c r="BL578" i="3"/>
  <c r="F30" i="21"/>
  <c r="J30" i="21"/>
  <c r="J14" i="40"/>
  <c r="H14" i="40"/>
  <c r="AC31" i="40"/>
  <c r="W31" i="40"/>
  <c r="BL564" i="3"/>
  <c r="BA560" i="3"/>
  <c r="BA530" i="3"/>
  <c r="BL506" i="3"/>
  <c r="BA502" i="3"/>
  <c r="BA494" i="3"/>
  <c r="AZ494" i="3" s="1"/>
  <c r="S16" i="36"/>
  <c r="AZ369" i="3"/>
  <c r="AZ382" i="3"/>
  <c r="AZ344" i="3"/>
  <c r="AZ389" i="3"/>
  <c r="AZ376" i="3"/>
  <c r="AA42" i="33"/>
  <c r="BL515" i="3"/>
  <c r="BL527" i="3"/>
  <c r="BL535" i="3"/>
  <c r="BL543" i="3"/>
  <c r="H26" i="33"/>
  <c r="F12" i="36"/>
  <c r="AC16" i="36"/>
  <c r="U34" i="40"/>
  <c r="F26" i="33"/>
  <c r="E106" i="21"/>
  <c r="F106" i="21" s="1"/>
  <c r="G106" i="21" s="1"/>
  <c r="H106" i="21" s="1"/>
  <c r="I106" i="21" s="1"/>
  <c r="J106" i="21" s="1"/>
  <c r="K106" i="21" s="1"/>
  <c r="L106" i="21" s="1"/>
  <c r="M106" i="21" s="1"/>
  <c r="H34" i="21"/>
  <c r="AB34" i="21" s="1"/>
  <c r="AB33" i="33"/>
  <c r="U33" i="33"/>
  <c r="H31" i="34"/>
  <c r="J31" i="34"/>
  <c r="F47" i="34"/>
  <c r="J47" i="34"/>
  <c r="H12" i="36"/>
  <c r="U12" i="36" s="1"/>
  <c r="J34" i="36"/>
  <c r="W34" i="36" s="1"/>
  <c r="F34" i="36"/>
  <c r="H26" i="37"/>
  <c r="F26" i="37"/>
  <c r="H39" i="40"/>
  <c r="J39" i="40"/>
  <c r="G566" i="3"/>
  <c r="G559" i="3"/>
  <c r="G558" i="3"/>
  <c r="BL552" i="3"/>
  <c r="AZ552" i="3" s="1"/>
  <c r="BA548" i="3"/>
  <c r="G528" i="3"/>
  <c r="BA510" i="3"/>
  <c r="G508" i="3"/>
  <c r="AC11" i="39"/>
  <c r="AZ326" i="3"/>
  <c r="AZ360" i="3"/>
  <c r="AZ325" i="3"/>
  <c r="U12" i="21"/>
  <c r="BL501" i="3"/>
  <c r="BL559" i="3"/>
  <c r="BL565" i="3"/>
  <c r="F14" i="40"/>
  <c r="H30" i="21"/>
  <c r="U30" i="21" s="1"/>
  <c r="S27" i="35"/>
  <c r="U31" i="36"/>
  <c r="F14" i="21"/>
  <c r="J14" i="21"/>
  <c r="J27" i="34"/>
  <c r="W27" i="34" s="1"/>
  <c r="F27" i="34"/>
  <c r="AA45" i="33"/>
  <c r="S45" i="33"/>
  <c r="H9" i="36"/>
  <c r="F9" i="36"/>
  <c r="J26" i="37"/>
  <c r="W45" i="39"/>
  <c r="AC45" i="39"/>
  <c r="G576" i="3"/>
  <c r="BA572" i="3"/>
  <c r="AZ572" i="3" s="1"/>
  <c r="G560" i="3"/>
  <c r="BL530" i="3"/>
  <c r="BA520" i="3"/>
  <c r="AZ520" i="3" s="1"/>
  <c r="BL504" i="3"/>
  <c r="BA400" i="3"/>
  <c r="BL405" i="3"/>
  <c r="BA410" i="3"/>
  <c r="BL416" i="3"/>
  <c r="BA418" i="3"/>
  <c r="BA433" i="3"/>
  <c r="AZ433" i="3" s="1"/>
  <c r="BL439" i="3"/>
  <c r="BA446" i="3"/>
  <c r="BA451" i="3"/>
  <c r="BL456" i="3"/>
  <c r="BA458" i="3"/>
  <c r="BA459" i="3"/>
  <c r="BL466" i="3"/>
  <c r="BA467" i="3"/>
  <c r="BL469" i="3"/>
  <c r="G472" i="3"/>
  <c r="G483" i="3"/>
  <c r="BL489" i="3"/>
  <c r="G313" i="3"/>
  <c r="BA331" i="3"/>
  <c r="AZ331" i="3" s="1"/>
  <c r="BL333" i="3"/>
  <c r="BA335" i="3"/>
  <c r="AZ335" i="3" s="1"/>
  <c r="G343" i="3"/>
  <c r="G364" i="3"/>
  <c r="BA374" i="3"/>
  <c r="AZ374" i="3" s="1"/>
  <c r="G387" i="3"/>
  <c r="BL393" i="3"/>
  <c r="AZ393" i="3" s="1"/>
  <c r="BL208" i="3"/>
  <c r="BL212" i="3"/>
  <c r="BA226" i="3"/>
  <c r="G239" i="3"/>
  <c r="BL241" i="3"/>
  <c r="G243" i="3"/>
  <c r="G255" i="3"/>
  <c r="BA255" i="3"/>
  <c r="BA259" i="3"/>
  <c r="BL262" i="3"/>
  <c r="BL263" i="3"/>
  <c r="BL115" i="3"/>
  <c r="AZ115" i="3" s="1"/>
  <c r="G175" i="3"/>
  <c r="G587" i="3"/>
  <c r="G510" i="3"/>
  <c r="G496" i="3"/>
  <c r="G401" i="3"/>
  <c r="BA406" i="3"/>
  <c r="AZ406" i="3" s="1"/>
  <c r="G411" i="3"/>
  <c r="BL415" i="3"/>
  <c r="G416" i="3"/>
  <c r="G421" i="3"/>
  <c r="BA422" i="3"/>
  <c r="BL430" i="3"/>
  <c r="BA437" i="3"/>
  <c r="G443" i="3"/>
  <c r="BL443" i="3"/>
  <c r="BL447" i="3"/>
  <c r="G448" i="3"/>
  <c r="G449" i="3"/>
  <c r="BA449" i="3"/>
  <c r="BL451" i="3"/>
  <c r="G452" i="3"/>
  <c r="G453" i="3"/>
  <c r="BA453" i="3"/>
  <c r="BL455" i="3"/>
  <c r="G456" i="3"/>
  <c r="G476" i="3"/>
  <c r="G477" i="3"/>
  <c r="BL479" i="3"/>
  <c r="BL316" i="3"/>
  <c r="G329" i="3"/>
  <c r="BL348" i="3"/>
  <c r="BA350" i="3"/>
  <c r="AZ350" i="3" s="1"/>
  <c r="BL368" i="3"/>
  <c r="BA370" i="3"/>
  <c r="AZ370" i="3" s="1"/>
  <c r="G380" i="3"/>
  <c r="BA386" i="3"/>
  <c r="G209" i="3"/>
  <c r="BA209" i="3"/>
  <c r="BL211" i="3"/>
  <c r="BL219" i="3"/>
  <c r="BA223" i="3"/>
  <c r="AZ223" i="3" s="1"/>
  <c r="BL227" i="3"/>
  <c r="BL231" i="3"/>
  <c r="BA232" i="3"/>
  <c r="G236" i="3"/>
  <c r="G237" i="3"/>
  <c r="G241" i="3"/>
  <c r="BA242" i="3"/>
  <c r="BL244" i="3"/>
  <c r="G245" i="3"/>
  <c r="BL249" i="3"/>
  <c r="BA250" i="3"/>
  <c r="BA254" i="3"/>
  <c r="BL256" i="3"/>
  <c r="BA269" i="3"/>
  <c r="BA279" i="3"/>
  <c r="G282" i="3"/>
  <c r="BL285" i="3"/>
  <c r="BA286" i="3"/>
  <c r="BA294" i="3"/>
  <c r="BL300" i="3"/>
  <c r="BA302" i="3"/>
  <c r="G162" i="3"/>
  <c r="BA402" i="3"/>
  <c r="AZ402" i="3" s="1"/>
  <c r="G404" i="3"/>
  <c r="BA407" i="3"/>
  <c r="BA413" i="3"/>
  <c r="G419" i="3"/>
  <c r="BL419" i="3"/>
  <c r="BL423" i="3"/>
  <c r="G424" i="3"/>
  <c r="BA425" i="3"/>
  <c r="BL428" i="3"/>
  <c r="G429" i="3"/>
  <c r="BA430" i="3"/>
  <c r="BA435" i="3"/>
  <c r="G438" i="3"/>
  <c r="BA443" i="3"/>
  <c r="G447" i="3"/>
  <c r="BA448" i="3"/>
  <c r="BA452" i="3"/>
  <c r="G459" i="3"/>
  <c r="BL462" i="3"/>
  <c r="G463" i="3"/>
  <c r="BL463" i="3"/>
  <c r="BA465" i="3"/>
  <c r="G468" i="3"/>
  <c r="BL474" i="3"/>
  <c r="BA482" i="3"/>
  <c r="BL483" i="3"/>
  <c r="BL490" i="3"/>
  <c r="G492" i="3"/>
  <c r="BA303" i="3"/>
  <c r="BA307" i="3"/>
  <c r="AZ307" i="3" s="1"/>
  <c r="BL353" i="3"/>
  <c r="AZ353" i="3" s="1"/>
  <c r="BA358" i="3"/>
  <c r="AZ358" i="3" s="1"/>
  <c r="BA368" i="3"/>
  <c r="AZ368" i="3" s="1"/>
  <c r="G384" i="3"/>
  <c r="BA385" i="3"/>
  <c r="G392" i="3"/>
  <c r="BL215" i="3"/>
  <c r="G219" i="3"/>
  <c r="BL247" i="3"/>
  <c r="G248" i="3"/>
  <c r="BL248" i="3"/>
  <c r="BA249" i="3"/>
  <c r="BL251" i="3"/>
  <c r="G252" i="3"/>
  <c r="G253" i="3"/>
  <c r="G256" i="3"/>
  <c r="BL259" i="3"/>
  <c r="G261" i="3"/>
  <c r="BA262" i="3"/>
  <c r="BL266" i="3"/>
  <c r="BL271" i="3"/>
  <c r="G276" i="3"/>
  <c r="G277" i="3"/>
  <c r="BA278" i="3"/>
  <c r="BA124" i="3"/>
  <c r="AZ124" i="3" s="1"/>
  <c r="G127" i="3"/>
  <c r="BA129" i="3"/>
  <c r="BA137" i="3"/>
  <c r="BL143" i="3"/>
  <c r="AZ143" i="3" s="1"/>
  <c r="BL146" i="3"/>
  <c r="BL155" i="3"/>
  <c r="AZ155" i="3" s="1"/>
  <c r="O67" i="71"/>
  <c r="C66" i="71"/>
  <c r="D67" i="71"/>
  <c r="BL261" i="3"/>
  <c r="G262" i="3"/>
  <c r="G268" i="3"/>
  <c r="G269" i="3"/>
  <c r="BL274" i="3"/>
  <c r="BA275" i="3"/>
  <c r="BA276" i="3"/>
  <c r="G279" i="3"/>
  <c r="G280" i="3"/>
  <c r="BA281" i="3"/>
  <c r="G284" i="3"/>
  <c r="G285" i="3"/>
  <c r="BL287" i="3"/>
  <c r="G288" i="3"/>
  <c r="G297" i="3"/>
  <c r="BL122" i="3"/>
  <c r="G124" i="3"/>
  <c r="BL133" i="3"/>
  <c r="G139" i="3"/>
  <c r="G143" i="3"/>
  <c r="BL149" i="3"/>
  <c r="BA162" i="3"/>
  <c r="BL163" i="3"/>
  <c r="AZ163" i="3" s="1"/>
  <c r="BL169" i="3"/>
  <c r="BA170" i="3"/>
  <c r="BA174" i="3"/>
  <c r="BA188" i="3"/>
  <c r="AZ188" i="3" s="1"/>
  <c r="BL195" i="3"/>
  <c r="AZ195" i="3" s="1"/>
  <c r="BA197" i="3"/>
  <c r="BL207" i="3"/>
  <c r="BA23" i="3"/>
  <c r="BA24" i="3"/>
  <c r="AZ24" i="3" s="1"/>
  <c r="BA40" i="3"/>
  <c r="BL54" i="3"/>
  <c r="BA61" i="3"/>
  <c r="G65" i="3"/>
  <c r="G71" i="3"/>
  <c r="BA77" i="3"/>
  <c r="BA84" i="3"/>
  <c r="AZ84" i="3" s="1"/>
  <c r="BL84" i="3"/>
  <c r="G93" i="3"/>
  <c r="BA93" i="3"/>
  <c r="BL97" i="3"/>
  <c r="G107" i="3"/>
  <c r="BA107" i="3"/>
  <c r="BA108" i="3"/>
  <c r="AC21" i="21"/>
  <c r="X25" i="71"/>
  <c r="G291" i="3"/>
  <c r="BL291" i="3"/>
  <c r="BA296" i="3"/>
  <c r="BL298" i="3"/>
  <c r="G299" i="3"/>
  <c r="BL302" i="3"/>
  <c r="G114" i="3"/>
  <c r="G118" i="3"/>
  <c r="G119" i="3"/>
  <c r="BL121" i="3"/>
  <c r="BA126" i="3"/>
  <c r="BL127" i="3"/>
  <c r="AZ127" i="3" s="1"/>
  <c r="G128" i="3"/>
  <c r="BA130" i="3"/>
  <c r="G132" i="3"/>
  <c r="BA133" i="3"/>
  <c r="AZ133" i="3" s="1"/>
  <c r="BA142" i="3"/>
  <c r="G146" i="3"/>
  <c r="BL154" i="3"/>
  <c r="AZ154" i="3" s="1"/>
  <c r="BL157" i="3"/>
  <c r="BL158" i="3"/>
  <c r="BL166" i="3"/>
  <c r="G167" i="3"/>
  <c r="G168" i="3"/>
  <c r="BA169" i="3"/>
  <c r="BL186" i="3"/>
  <c r="G195" i="3"/>
  <c r="G200" i="3"/>
  <c r="BA200" i="3"/>
  <c r="AZ200" i="3" s="1"/>
  <c r="G24" i="3"/>
  <c r="BL30" i="3"/>
  <c r="G31" i="3"/>
  <c r="BA32" i="3"/>
  <c r="BA38" i="3"/>
  <c r="BA39" i="3"/>
  <c r="G42" i="3"/>
  <c r="G49" i="3"/>
  <c r="BL49" i="3"/>
  <c r="G52" i="3"/>
  <c r="G53" i="3"/>
  <c r="BL53" i="3"/>
  <c r="G56" i="3"/>
  <c r="G57" i="3"/>
  <c r="BA57" i="3"/>
  <c r="BA59" i="3"/>
  <c r="AZ59" i="3" s="1"/>
  <c r="G63" i="3"/>
  <c r="BA70" i="3"/>
  <c r="BL72" i="3"/>
  <c r="G74" i="3"/>
  <c r="G75" i="3"/>
  <c r="BA76" i="3"/>
  <c r="BA82" i="3"/>
  <c r="AZ82" i="3" s="1"/>
  <c r="BL82" i="3"/>
  <c r="S25" i="40"/>
  <c r="AB18" i="36"/>
  <c r="B28" i="71"/>
  <c r="B27" i="71" s="1"/>
  <c r="B26" i="71" s="1"/>
  <c r="AA32" i="71"/>
  <c r="X35" i="71"/>
  <c r="C51" i="71"/>
  <c r="E59" i="71"/>
  <c r="E60" i="71" s="1"/>
  <c r="U60" i="71" s="1"/>
  <c r="F79" i="71"/>
  <c r="F78" i="71" s="1"/>
  <c r="BA181" i="3"/>
  <c r="BL183" i="3"/>
  <c r="AZ183" i="3" s="1"/>
  <c r="BL185" i="3"/>
  <c r="BA186" i="3"/>
  <c r="G198" i="3"/>
  <c r="BA204" i="3"/>
  <c r="AZ204" i="3" s="1"/>
  <c r="G206" i="3"/>
  <c r="G23" i="3"/>
  <c r="BA27" i="3"/>
  <c r="BL28" i="3"/>
  <c r="BL29" i="3"/>
  <c r="G34" i="3"/>
  <c r="BA37" i="3"/>
  <c r="BA45" i="3"/>
  <c r="AZ45" i="3" s="1"/>
  <c r="BL45" i="3"/>
  <c r="G47" i="3"/>
  <c r="BL47" i="3"/>
  <c r="BL48" i="3"/>
  <c r="BA52" i="3"/>
  <c r="BA56" i="3"/>
  <c r="G59" i="3"/>
  <c r="BL66" i="3"/>
  <c r="G67" i="3"/>
  <c r="BL67" i="3"/>
  <c r="G72" i="3"/>
  <c r="BL79" i="3"/>
  <c r="BA89" i="3"/>
  <c r="BA92" i="3"/>
  <c r="AZ92" i="3" s="1"/>
  <c r="BA101" i="3"/>
  <c r="BA103" i="3"/>
  <c r="AZ103" i="3" s="1"/>
  <c r="BA106" i="3"/>
  <c r="AZ106" i="3" s="1"/>
  <c r="BA111" i="3"/>
  <c r="C29" i="39"/>
  <c r="D71" i="71"/>
  <c r="B43" i="71"/>
  <c r="B44" i="71" s="1"/>
  <c r="S44" i="71" s="1"/>
  <c r="E47" i="71"/>
  <c r="E48" i="71" s="1"/>
  <c r="U48" i="71" s="1"/>
  <c r="C59" i="71"/>
  <c r="B67" i="71"/>
  <c r="S76" i="71"/>
  <c r="AA37" i="21"/>
  <c r="AC34" i="21"/>
  <c r="C19" i="39"/>
  <c r="D22" i="15"/>
  <c r="D23" i="15"/>
  <c r="J1" i="73"/>
  <c r="M49" i="9"/>
  <c r="D16" i="53"/>
  <c r="B34" i="72" s="1"/>
  <c r="S39" i="39"/>
  <c r="AA39" i="39"/>
  <c r="D21" i="71"/>
  <c r="AA17" i="33"/>
  <c r="U41" i="33"/>
  <c r="U45" i="21"/>
  <c r="AB45" i="21"/>
  <c r="AA32" i="39"/>
  <c r="S32" i="39"/>
  <c r="U33" i="34"/>
  <c r="AB33" i="34"/>
  <c r="U43" i="33"/>
  <c r="AB43" i="33"/>
  <c r="AB15" i="21"/>
  <c r="U15" i="21"/>
  <c r="AC17" i="37"/>
  <c r="W17" i="37"/>
  <c r="AA34" i="33"/>
  <c r="S34" i="33"/>
  <c r="AA27" i="40"/>
  <c r="S27" i="40"/>
  <c r="S41" i="39"/>
  <c r="AA41" i="39"/>
  <c r="AC34" i="35"/>
  <c r="W34" i="35"/>
  <c r="AC24" i="36"/>
  <c r="W24" i="36"/>
  <c r="J39" i="37"/>
  <c r="H39" i="37"/>
  <c r="AB39" i="37" s="1"/>
  <c r="F39" i="37"/>
  <c r="S39" i="37" s="1"/>
  <c r="F32" i="40"/>
  <c r="J32" i="40"/>
  <c r="H32" i="40"/>
  <c r="AC39" i="40"/>
  <c r="W39" i="40"/>
  <c r="S16" i="35"/>
  <c r="AA16" i="35"/>
  <c r="AC27" i="34"/>
  <c r="U19" i="33"/>
  <c r="AB19" i="33"/>
  <c r="D121" i="9"/>
  <c r="D7" i="52" s="1"/>
  <c r="D6" i="52"/>
  <c r="S40" i="34"/>
  <c r="AA40" i="34"/>
  <c r="AA26" i="36"/>
  <c r="S26" i="36"/>
  <c r="G509" i="3"/>
  <c r="AC5" i="3"/>
  <c r="AB32" i="34"/>
  <c r="U32" i="34"/>
  <c r="AC29" i="33"/>
  <c r="W29" i="33"/>
  <c r="AB29" i="35"/>
  <c r="U29" i="35"/>
  <c r="U36" i="33"/>
  <c r="AB36" i="33"/>
  <c r="S44" i="21"/>
  <c r="AB37" i="37"/>
  <c r="AA36" i="33"/>
  <c r="S36" i="33"/>
  <c r="AZ14" i="3"/>
  <c r="AB35" i="40"/>
  <c r="U35" i="40"/>
  <c r="AC15" i="37"/>
  <c r="W15" i="37"/>
  <c r="F14" i="37"/>
  <c r="S23" i="39"/>
  <c r="AA23" i="39"/>
  <c r="AZ373" i="3"/>
  <c r="AZ362" i="3"/>
  <c r="AZ351" i="3"/>
  <c r="AZ525" i="3"/>
  <c r="AZ512" i="3"/>
  <c r="AC35" i="40"/>
  <c r="W35" i="40"/>
  <c r="AA13" i="35"/>
  <c r="S13" i="35"/>
  <c r="AB35" i="21"/>
  <c r="U35" i="21"/>
  <c r="E69" i="21"/>
  <c r="F69" i="21" s="1"/>
  <c r="G69" i="21" s="1"/>
  <c r="H69" i="21" s="1"/>
  <c r="I69" i="21" s="1"/>
  <c r="J69" i="21" s="1"/>
  <c r="K69" i="21" s="1"/>
  <c r="L69" i="21" s="1"/>
  <c r="M69" i="21" s="1"/>
  <c r="F11" i="21"/>
  <c r="S11" i="21" s="1"/>
  <c r="J11" i="21"/>
  <c r="W11" i="21" s="1"/>
  <c r="F89" i="21"/>
  <c r="AC28" i="35"/>
  <c r="W28" i="35"/>
  <c r="F30" i="33"/>
  <c r="S30" i="33" s="1"/>
  <c r="H30" i="33"/>
  <c r="J46" i="33"/>
  <c r="F46" i="33"/>
  <c r="H46" i="33"/>
  <c r="AB46" i="33" s="1"/>
  <c r="J29" i="34"/>
  <c r="H29" i="34"/>
  <c r="J45" i="34"/>
  <c r="H45" i="34"/>
  <c r="J13" i="35"/>
  <c r="H13" i="35"/>
  <c r="AB12" i="36"/>
  <c r="AA38" i="39"/>
  <c r="S38" i="39"/>
  <c r="S19" i="37"/>
  <c r="AA29" i="21"/>
  <c r="W33" i="34"/>
  <c r="AC20" i="36"/>
  <c r="AA39" i="34"/>
  <c r="S30" i="40"/>
  <c r="AA30" i="40"/>
  <c r="AZ345" i="3"/>
  <c r="F29" i="34"/>
  <c r="J30" i="33"/>
  <c r="U33" i="35"/>
  <c r="AB33" i="35"/>
  <c r="H46" i="21"/>
  <c r="J46" i="21"/>
  <c r="W46" i="21" s="1"/>
  <c r="AA38" i="33"/>
  <c r="S38" i="33"/>
  <c r="J28" i="34"/>
  <c r="H28" i="34"/>
  <c r="F28" i="34"/>
  <c r="F23" i="35"/>
  <c r="H23" i="35"/>
  <c r="J35" i="35"/>
  <c r="F35" i="35"/>
  <c r="J25" i="36"/>
  <c r="F25" i="36"/>
  <c r="H25" i="36"/>
  <c r="H33" i="36"/>
  <c r="J33" i="36"/>
  <c r="AC33" i="36" s="1"/>
  <c r="F33" i="36"/>
  <c r="AC26" i="37"/>
  <c r="W26" i="37"/>
  <c r="AA31" i="35"/>
  <c r="S31" i="35"/>
  <c r="H35" i="39"/>
  <c r="J35" i="39"/>
  <c r="F35" i="39"/>
  <c r="BM5" i="3"/>
  <c r="BK5" i="3"/>
  <c r="BA580" i="3"/>
  <c r="AZ580" i="3" s="1"/>
  <c r="BA579" i="3"/>
  <c r="AZ579" i="3" s="1"/>
  <c r="BO5" i="3"/>
  <c r="BA578" i="3"/>
  <c r="AZ578" i="3" s="1"/>
  <c r="AZ387" i="3"/>
  <c r="AZ322" i="3"/>
  <c r="W19" i="40"/>
  <c r="AC19" i="40"/>
  <c r="AZ553" i="3"/>
  <c r="AZ511" i="3"/>
  <c r="AZ523" i="3"/>
  <c r="AZ542" i="3"/>
  <c r="AZ564" i="3"/>
  <c r="BA587" i="3"/>
  <c r="AZ587" i="3" s="1"/>
  <c r="BA586" i="3"/>
  <c r="AZ586" i="3" s="1"/>
  <c r="BN5" i="3"/>
  <c r="G29" i="6" s="1"/>
  <c r="BA585" i="3"/>
  <c r="H12" i="33"/>
  <c r="U12" i="33" s="1"/>
  <c r="S9" i="40"/>
  <c r="AA9" i="40"/>
  <c r="BL587" i="3"/>
  <c r="BL586" i="3"/>
  <c r="F38" i="40"/>
  <c r="J38" i="40"/>
  <c r="AZ377" i="3"/>
  <c r="AZ390" i="3"/>
  <c r="AZ356" i="3"/>
  <c r="AZ337" i="3"/>
  <c r="AZ320" i="3"/>
  <c r="AC45" i="33"/>
  <c r="AA41" i="34"/>
  <c r="U17" i="37"/>
  <c r="AZ503" i="3"/>
  <c r="AZ515" i="3"/>
  <c r="AZ555" i="3"/>
  <c r="AZ508" i="3"/>
  <c r="AZ570" i="3"/>
  <c r="BH5" i="3"/>
  <c r="H34" i="35"/>
  <c r="H38" i="40"/>
  <c r="BL547" i="3"/>
  <c r="AZ547" i="3" s="1"/>
  <c r="BA546" i="3"/>
  <c r="BA544" i="3"/>
  <c r="AZ544" i="3" s="1"/>
  <c r="BA543" i="3"/>
  <c r="BA541" i="3"/>
  <c r="AZ541" i="3" s="1"/>
  <c r="BL540" i="3"/>
  <c r="BA540" i="3"/>
  <c r="BL539" i="3"/>
  <c r="AZ539" i="3" s="1"/>
  <c r="BL538" i="3"/>
  <c r="AZ538" i="3" s="1"/>
  <c r="BL536" i="3"/>
  <c r="BA536" i="3"/>
  <c r="BA535" i="3"/>
  <c r="BL534" i="3"/>
  <c r="AZ534" i="3" s="1"/>
  <c r="BA533" i="3"/>
  <c r="AZ533" i="3" s="1"/>
  <c r="BA532" i="3"/>
  <c r="AZ532" i="3" s="1"/>
  <c r="BL531" i="3"/>
  <c r="AZ531" i="3" s="1"/>
  <c r="BL528" i="3"/>
  <c r="BA528" i="3"/>
  <c r="BA527" i="3"/>
  <c r="AZ347" i="3"/>
  <c r="W44" i="21"/>
  <c r="AC31" i="33"/>
  <c r="BL581" i="3"/>
  <c r="AZ581" i="3" s="1"/>
  <c r="AZ573" i="3"/>
  <c r="AZ510" i="3"/>
  <c r="AZ560" i="3"/>
  <c r="W36" i="35"/>
  <c r="BG5" i="3"/>
  <c r="BE5" i="3"/>
  <c r="BT5" i="3"/>
  <c r="B75" i="43"/>
  <c r="H24" i="36"/>
  <c r="H25" i="37"/>
  <c r="J25" i="37"/>
  <c r="BL569" i="3"/>
  <c r="BA569" i="3"/>
  <c r="AZ569" i="3" s="1"/>
  <c r="BA566" i="3"/>
  <c r="BJ5" i="3"/>
  <c r="BA563" i="3"/>
  <c r="AZ563" i="3" s="1"/>
  <c r="BL562" i="3"/>
  <c r="BA562" i="3"/>
  <c r="BA561" i="3"/>
  <c r="G561" i="3"/>
  <c r="BL560" i="3"/>
  <c r="BL558" i="3"/>
  <c r="AZ558" i="3" s="1"/>
  <c r="BL556" i="3"/>
  <c r="BA556" i="3"/>
  <c r="G552" i="3"/>
  <c r="AZ419" i="3"/>
  <c r="AZ430" i="3"/>
  <c r="G556" i="3"/>
  <c r="BL398" i="3"/>
  <c r="G399" i="3"/>
  <c r="G400" i="3"/>
  <c r="BL400" i="3"/>
  <c r="BL401" i="3"/>
  <c r="G402" i="3"/>
  <c r="BL403" i="3"/>
  <c r="BL404" i="3"/>
  <c r="G405" i="3"/>
  <c r="G407" i="3"/>
  <c r="BL407" i="3"/>
  <c r="BL408" i="3"/>
  <c r="G409" i="3"/>
  <c r="G410" i="3"/>
  <c r="BL410" i="3"/>
  <c r="BL411" i="3"/>
  <c r="G412" i="3"/>
  <c r="G413" i="3"/>
  <c r="BL413" i="3"/>
  <c r="BL414" i="3"/>
  <c r="G415" i="3"/>
  <c r="BA416" i="3"/>
  <c r="AZ416" i="3" s="1"/>
  <c r="BA417" i="3"/>
  <c r="BA421" i="3"/>
  <c r="BL426" i="3"/>
  <c r="G427" i="3"/>
  <c r="G428" i="3"/>
  <c r="BA429" i="3"/>
  <c r="BA432" i="3"/>
  <c r="BL436" i="3"/>
  <c r="G437" i="3"/>
  <c r="BL437" i="3"/>
  <c r="AZ437" i="3" s="1"/>
  <c r="BL438" i="3"/>
  <c r="G439" i="3"/>
  <c r="BA440" i="3"/>
  <c r="AZ440" i="3" s="1"/>
  <c r="BA441" i="3"/>
  <c r="BA445" i="3"/>
  <c r="AZ445" i="3" s="1"/>
  <c r="BL450" i="3"/>
  <c r="G451" i="3"/>
  <c r="BL454" i="3"/>
  <c r="G455" i="3"/>
  <c r="BA456" i="3"/>
  <c r="AZ456" i="3" s="1"/>
  <c r="BA457" i="3"/>
  <c r="G460" i="3"/>
  <c r="BL460" i="3"/>
  <c r="BL461" i="3"/>
  <c r="G462" i="3"/>
  <c r="BA463" i="3"/>
  <c r="AZ463" i="3" s="1"/>
  <c r="BA476" i="3"/>
  <c r="BA478" i="3"/>
  <c r="BA479" i="3"/>
  <c r="AZ479" i="3" s="1"/>
  <c r="BA481" i="3"/>
  <c r="BA483" i="3"/>
  <c r="AZ483" i="3" s="1"/>
  <c r="G488" i="3"/>
  <c r="BL488" i="3"/>
  <c r="G490" i="3"/>
  <c r="G526" i="3"/>
  <c r="BA524" i="3"/>
  <c r="BL522" i="3"/>
  <c r="AZ522" i="3" s="1"/>
  <c r="BL518" i="3"/>
  <c r="BA518" i="3"/>
  <c r="BA517" i="3"/>
  <c r="BA514" i="3"/>
  <c r="AZ514" i="3" s="1"/>
  <c r="H5" i="3"/>
  <c r="BA507" i="3"/>
  <c r="AZ507" i="3" s="1"/>
  <c r="BL502" i="3"/>
  <c r="AZ502" i="3" s="1"/>
  <c r="BL500" i="3"/>
  <c r="AZ500" i="3" s="1"/>
  <c r="BA499" i="3"/>
  <c r="BA399" i="3"/>
  <c r="AZ399" i="3" s="1"/>
  <c r="BA405" i="3"/>
  <c r="AZ405" i="3" s="1"/>
  <c r="BA409" i="3"/>
  <c r="AZ409" i="3" s="1"/>
  <c r="BA412" i="3"/>
  <c r="AZ412" i="3" s="1"/>
  <c r="BA415" i="3"/>
  <c r="AZ415" i="3" s="1"/>
  <c r="BL418" i="3"/>
  <c r="BL422" i="3"/>
  <c r="BL424" i="3"/>
  <c r="BL425" i="3"/>
  <c r="BA427" i="3"/>
  <c r="AZ427" i="3" s="1"/>
  <c r="BA428" i="3"/>
  <c r="AZ428" i="3" s="1"/>
  <c r="BL434" i="3"/>
  <c r="BL435" i="3"/>
  <c r="BA439" i="3"/>
  <c r="AZ439" i="3" s="1"/>
  <c r="BL442" i="3"/>
  <c r="BL446" i="3"/>
  <c r="BL448" i="3"/>
  <c r="BL449" i="3"/>
  <c r="BL452" i="3"/>
  <c r="BL453" i="3"/>
  <c r="BA455" i="3"/>
  <c r="AZ455" i="3" s="1"/>
  <c r="BL458" i="3"/>
  <c r="BL459" i="3"/>
  <c r="BA462" i="3"/>
  <c r="AZ462" i="3" s="1"/>
  <c r="BA469" i="3"/>
  <c r="AZ469" i="3" s="1"/>
  <c r="BA471" i="3"/>
  <c r="BL480" i="3"/>
  <c r="AZ480" i="3" s="1"/>
  <c r="BA487" i="3"/>
  <c r="AZ487" i="3" s="1"/>
  <c r="BA491" i="3"/>
  <c r="BA492" i="3"/>
  <c r="BL317" i="3"/>
  <c r="BA319" i="3"/>
  <c r="AZ319" i="3" s="1"/>
  <c r="BA323" i="3"/>
  <c r="AZ323" i="3" s="1"/>
  <c r="BA349" i="3"/>
  <c r="AZ349" i="3" s="1"/>
  <c r="BA222" i="3"/>
  <c r="BA13" i="3"/>
  <c r="BL15" i="3"/>
  <c r="AZ15" i="3" s="1"/>
  <c r="BA398" i="3"/>
  <c r="BA401" i="3"/>
  <c r="BA403" i="3"/>
  <c r="BA404" i="3"/>
  <c r="BA408" i="3"/>
  <c r="BA411" i="3"/>
  <c r="BA414" i="3"/>
  <c r="BL417" i="3"/>
  <c r="G418" i="3"/>
  <c r="G420" i="3"/>
  <c r="BL420" i="3"/>
  <c r="BL421" i="3"/>
  <c r="G422" i="3"/>
  <c r="BA423" i="3"/>
  <c r="AZ423" i="3" s="1"/>
  <c r="BA426" i="3"/>
  <c r="BL429" i="3"/>
  <c r="G430" i="3"/>
  <c r="G431" i="3"/>
  <c r="BL431" i="3"/>
  <c r="BL432" i="3"/>
  <c r="G433" i="3"/>
  <c r="G434" i="3"/>
  <c r="BA436" i="3"/>
  <c r="BA438" i="3"/>
  <c r="BL441" i="3"/>
  <c r="G442" i="3"/>
  <c r="G444" i="3"/>
  <c r="BL444" i="3"/>
  <c r="BL445" i="3"/>
  <c r="G446" i="3"/>
  <c r="BA447" i="3"/>
  <c r="AZ447" i="3" s="1"/>
  <c r="BA450" i="3"/>
  <c r="BA454" i="3"/>
  <c r="BL457" i="3"/>
  <c r="G465" i="3"/>
  <c r="BA466" i="3"/>
  <c r="AZ466" i="3" s="1"/>
  <c r="BA468" i="3"/>
  <c r="BL472" i="3"/>
  <c r="G474" i="3"/>
  <c r="BL475" i="3"/>
  <c r="BL476" i="3"/>
  <c r="G479" i="3"/>
  <c r="G485" i="3"/>
  <c r="BL485" i="3"/>
  <c r="BL486" i="3"/>
  <c r="BA489" i="3"/>
  <c r="BL346" i="3"/>
  <c r="AZ346" i="3" s="1"/>
  <c r="BA219" i="3"/>
  <c r="BA227" i="3"/>
  <c r="AZ227" i="3" s="1"/>
  <c r="BA339" i="3"/>
  <c r="AZ339" i="3" s="1"/>
  <c r="BL354" i="3"/>
  <c r="BL375" i="3"/>
  <c r="AZ375" i="3" s="1"/>
  <c r="BA384" i="3"/>
  <c r="AZ384" i="3" s="1"/>
  <c r="BL386" i="3"/>
  <c r="AZ386" i="3" s="1"/>
  <c r="BA396" i="3"/>
  <c r="BL210" i="3"/>
  <c r="BL217" i="3"/>
  <c r="BA218" i="3"/>
  <c r="BA225" i="3"/>
  <c r="BL233" i="3"/>
  <c r="BA234" i="3"/>
  <c r="AZ234" i="3" s="1"/>
  <c r="BA235" i="3"/>
  <c r="BA236" i="3"/>
  <c r="BA238" i="3"/>
  <c r="BL242" i="3"/>
  <c r="BL243" i="3"/>
  <c r="BL245" i="3"/>
  <c r="BL252" i="3"/>
  <c r="AZ252" i="3" s="1"/>
  <c r="BL254" i="3"/>
  <c r="AZ254" i="3" s="1"/>
  <c r="BL257" i="3"/>
  <c r="BA260" i="3"/>
  <c r="BA268" i="3"/>
  <c r="BA273" i="3"/>
  <c r="BA282" i="3"/>
  <c r="AZ282" i="3" s="1"/>
  <c r="BA283" i="3"/>
  <c r="BA284" i="3"/>
  <c r="BL288" i="3"/>
  <c r="BL294" i="3"/>
  <c r="AZ294" i="3" s="1"/>
  <c r="BL296" i="3"/>
  <c r="AZ296" i="3" s="1"/>
  <c r="BL299" i="3"/>
  <c r="BA113" i="3"/>
  <c r="BA125" i="3"/>
  <c r="AZ125" i="3" s="1"/>
  <c r="BA144" i="3"/>
  <c r="AZ144" i="3" s="1"/>
  <c r="BL150" i="3"/>
  <c r="BA157" i="3"/>
  <c r="AZ157" i="3" s="1"/>
  <c r="AZ169" i="3"/>
  <c r="D80" i="71"/>
  <c r="T80" i="71"/>
  <c r="C79" i="71"/>
  <c r="BL491" i="3"/>
  <c r="BL492" i="3"/>
  <c r="BL308" i="3"/>
  <c r="AZ308" i="3" s="1"/>
  <c r="BA317" i="3"/>
  <c r="AZ317" i="3" s="1"/>
  <c r="G323" i="3"/>
  <c r="BL330" i="3"/>
  <c r="AZ330" i="3" s="1"/>
  <c r="G334" i="3"/>
  <c r="BL340" i="3"/>
  <c r="AZ340" i="3" s="1"/>
  <c r="G345" i="3"/>
  <c r="BA348" i="3"/>
  <c r="AZ348" i="3" s="1"/>
  <c r="G358" i="3"/>
  <c r="BL365" i="3"/>
  <c r="AZ365" i="3" s="1"/>
  <c r="BL367" i="3"/>
  <c r="AZ367" i="3" s="1"/>
  <c r="G369" i="3"/>
  <c r="G374" i="3"/>
  <c r="G378" i="3"/>
  <c r="BL383" i="3"/>
  <c r="AZ383" i="3" s="1"/>
  <c r="BL385" i="3"/>
  <c r="BA388" i="3"/>
  <c r="AZ388" i="3" s="1"/>
  <c r="BA392" i="3"/>
  <c r="AZ392" i="3" s="1"/>
  <c r="G395" i="3"/>
  <c r="BL395" i="3"/>
  <c r="AZ395" i="3" s="1"/>
  <c r="G397" i="3"/>
  <c r="BL397" i="3"/>
  <c r="G210" i="3"/>
  <c r="BA211" i="3"/>
  <c r="AZ211" i="3" s="1"/>
  <c r="G214" i="3"/>
  <c r="G215" i="3"/>
  <c r="G216" i="3"/>
  <c r="G217" i="3"/>
  <c r="BA217" i="3"/>
  <c r="BA221" i="3"/>
  <c r="BA224" i="3"/>
  <c r="AZ224" i="3" s="1"/>
  <c r="BA230" i="3"/>
  <c r="G232" i="3"/>
  <c r="BL232" i="3"/>
  <c r="AZ232" i="3" s="1"/>
  <c r="BA233" i="3"/>
  <c r="BL236" i="3"/>
  <c r="BL237" i="3"/>
  <c r="AZ237" i="3" s="1"/>
  <c r="BL238" i="3"/>
  <c r="G240" i="3"/>
  <c r="BL240" i="3"/>
  <c r="AZ240" i="3" s="1"/>
  <c r="G244" i="3"/>
  <c r="BA245" i="3"/>
  <c r="BA246" i="3"/>
  <c r="G249" i="3"/>
  <c r="G250" i="3"/>
  <c r="BL250" i="3"/>
  <c r="AZ250" i="3" s="1"/>
  <c r="BA251" i="3"/>
  <c r="AZ251" i="3" s="1"/>
  <c r="G254" i="3"/>
  <c r="BL255" i="3"/>
  <c r="BA256" i="3"/>
  <c r="AZ256" i="3" s="1"/>
  <c r="BA257" i="3"/>
  <c r="AZ257" i="3" s="1"/>
  <c r="BA258" i="3"/>
  <c r="AZ258" i="3" s="1"/>
  <c r="BA263" i="3"/>
  <c r="AZ263" i="3" s="1"/>
  <c r="G266" i="3"/>
  <c r="G267" i="3"/>
  <c r="BL267" i="3"/>
  <c r="AZ267" i="3" s="1"/>
  <c r="BL268" i="3"/>
  <c r="BL269" i="3"/>
  <c r="G271" i="3"/>
  <c r="G272" i="3"/>
  <c r="BL272" i="3"/>
  <c r="AZ272" i="3" s="1"/>
  <c r="BL273" i="3"/>
  <c r="G275" i="3"/>
  <c r="BL275" i="3"/>
  <c r="AZ275" i="3" s="1"/>
  <c r="BL284" i="3"/>
  <c r="G286" i="3"/>
  <c r="BL286" i="3"/>
  <c r="AZ286" i="3" s="1"/>
  <c r="BA288" i="3"/>
  <c r="BA289" i="3"/>
  <c r="G292" i="3"/>
  <c r="G293" i="3"/>
  <c r="BA293" i="3"/>
  <c r="AZ293" i="3" s="1"/>
  <c r="G296" i="3"/>
  <c r="G298" i="3"/>
  <c r="BA298" i="3"/>
  <c r="AZ298" i="3" s="1"/>
  <c r="BA299" i="3"/>
  <c r="AZ299" i="3" s="1"/>
  <c r="BA300" i="3"/>
  <c r="AZ300" i="3" s="1"/>
  <c r="BL113" i="3"/>
  <c r="BL114" i="3"/>
  <c r="AZ114" i="3" s="1"/>
  <c r="BL117" i="3"/>
  <c r="G122" i="3"/>
  <c r="BA122" i="3"/>
  <c r="AZ122" i="3" s="1"/>
  <c r="BA128" i="3"/>
  <c r="AZ128" i="3" s="1"/>
  <c r="G134" i="3"/>
  <c r="BL134" i="3"/>
  <c r="BL137" i="3"/>
  <c r="BL138" i="3"/>
  <c r="AZ138" i="3" s="1"/>
  <c r="BL139" i="3"/>
  <c r="AZ139" i="3" s="1"/>
  <c r="BA140" i="3"/>
  <c r="AZ140" i="3" s="1"/>
  <c r="BA141" i="3"/>
  <c r="BA156" i="3"/>
  <c r="AZ156" i="3" s="1"/>
  <c r="BA158" i="3"/>
  <c r="AZ158" i="3" s="1"/>
  <c r="G160" i="3"/>
  <c r="G172" i="3"/>
  <c r="BL177" i="3"/>
  <c r="BL178" i="3"/>
  <c r="AZ178" i="3" s="1"/>
  <c r="BL179" i="3"/>
  <c r="AZ179" i="3" s="1"/>
  <c r="BA180" i="3"/>
  <c r="AZ180" i="3" s="1"/>
  <c r="BL198" i="3"/>
  <c r="G199" i="3"/>
  <c r="BA201" i="3"/>
  <c r="AZ201" i="3" s="1"/>
  <c r="BA202" i="3"/>
  <c r="BL205" i="3"/>
  <c r="G19" i="3"/>
  <c r="G22" i="3"/>
  <c r="BA25" i="3"/>
  <c r="BA117" i="3"/>
  <c r="AZ117" i="3" s="1"/>
  <c r="BA118" i="3"/>
  <c r="BL141" i="3"/>
  <c r="BL142" i="3"/>
  <c r="AZ142" i="3" s="1"/>
  <c r="BL145" i="3"/>
  <c r="BL147" i="3"/>
  <c r="AZ147" i="3" s="1"/>
  <c r="BA148" i="3"/>
  <c r="AZ148" i="3" s="1"/>
  <c r="BL159" i="3"/>
  <c r="AZ159" i="3" s="1"/>
  <c r="BA160" i="3"/>
  <c r="AZ160" i="3" s="1"/>
  <c r="BA161" i="3"/>
  <c r="BA165" i="3"/>
  <c r="BL174" i="3"/>
  <c r="AZ174" i="3" s="1"/>
  <c r="BL181" i="3"/>
  <c r="AZ181" i="3" s="1"/>
  <c r="BL182" i="3"/>
  <c r="BL187" i="3"/>
  <c r="AZ187" i="3" s="1"/>
  <c r="BL189" i="3"/>
  <c r="AZ189" i="3" s="1"/>
  <c r="BL190" i="3"/>
  <c r="BL191" i="3"/>
  <c r="AZ191" i="3" s="1"/>
  <c r="BA192" i="3"/>
  <c r="AZ192" i="3" s="1"/>
  <c r="BA193" i="3"/>
  <c r="G207" i="3"/>
  <c r="AA21" i="37"/>
  <c r="S21" i="37"/>
  <c r="AC25" i="40"/>
  <c r="W25" i="40"/>
  <c r="G458" i="3"/>
  <c r="BA461" i="3"/>
  <c r="G464" i="3"/>
  <c r="BL464" i="3"/>
  <c r="AZ464" i="3" s="1"/>
  <c r="BL465" i="3"/>
  <c r="AZ465" i="3" s="1"/>
  <c r="G466" i="3"/>
  <c r="G467" i="3"/>
  <c r="BL467" i="3"/>
  <c r="BL468" i="3"/>
  <c r="G469" i="3"/>
  <c r="BL471" i="3"/>
  <c r="BL478" i="3"/>
  <c r="BL481" i="3"/>
  <c r="BL482" i="3"/>
  <c r="AZ482" i="3" s="1"/>
  <c r="BL484" i="3"/>
  <c r="AZ484" i="3" s="1"/>
  <c r="G486" i="3"/>
  <c r="G487" i="3"/>
  <c r="BA490" i="3"/>
  <c r="G307" i="3"/>
  <c r="BL314" i="3"/>
  <c r="AZ314" i="3" s="1"/>
  <c r="G318" i="3"/>
  <c r="BL324" i="3"/>
  <c r="AZ324" i="3" s="1"/>
  <c r="BA333" i="3"/>
  <c r="AZ333" i="3" s="1"/>
  <c r="G339" i="3"/>
  <c r="G349" i="3"/>
  <c r="BA352" i="3"/>
  <c r="AZ352" i="3" s="1"/>
  <c r="BA354" i="3"/>
  <c r="BL359" i="3"/>
  <c r="AZ359" i="3" s="1"/>
  <c r="BL363" i="3"/>
  <c r="AZ363" i="3" s="1"/>
  <c r="BA208" i="3"/>
  <c r="AZ208" i="3" s="1"/>
  <c r="G211" i="3"/>
  <c r="G212" i="3"/>
  <c r="BA212" i="3"/>
  <c r="AZ212" i="3" s="1"/>
  <c r="BL213" i="3"/>
  <c r="BA216" i="3"/>
  <c r="G218" i="3"/>
  <c r="BL218" i="3"/>
  <c r="G221" i="3"/>
  <c r="G222" i="3"/>
  <c r="G223" i="3"/>
  <c r="BL225" i="3"/>
  <c r="G227" i="3"/>
  <c r="G229" i="3"/>
  <c r="G230" i="3"/>
  <c r="G231" i="3"/>
  <c r="BA231" i="3"/>
  <c r="AZ231" i="3" s="1"/>
  <c r="G234" i="3"/>
  <c r="G235" i="3"/>
  <c r="BL235" i="3"/>
  <c r="BA243" i="3"/>
  <c r="G246" i="3"/>
  <c r="G247" i="3"/>
  <c r="BA248" i="3"/>
  <c r="AZ248" i="3" s="1"/>
  <c r="BA253" i="3"/>
  <c r="G258" i="3"/>
  <c r="G259" i="3"/>
  <c r="BL260" i="3"/>
  <c r="G264" i="3"/>
  <c r="BA265" i="3"/>
  <c r="AZ265" i="3" s="1"/>
  <c r="BA270" i="3"/>
  <c r="BL276" i="3"/>
  <c r="G278" i="3"/>
  <c r="BL278" i="3"/>
  <c r="AZ278" i="3" s="1"/>
  <c r="BL280" i="3"/>
  <c r="AZ280" i="3" s="1"/>
  <c r="G283" i="3"/>
  <c r="BL283" i="3"/>
  <c r="G289" i="3"/>
  <c r="G290" i="3"/>
  <c r="BA290" i="3"/>
  <c r="AZ290" i="3" s="1"/>
  <c r="BA291" i="3"/>
  <c r="AZ291" i="3" s="1"/>
  <c r="BA292" i="3"/>
  <c r="BA295" i="3"/>
  <c r="BA297" i="3"/>
  <c r="G300" i="3"/>
  <c r="G301" i="3"/>
  <c r="BA301" i="3"/>
  <c r="AZ301" i="3" s="1"/>
  <c r="BA116" i="3"/>
  <c r="AZ116" i="3" s="1"/>
  <c r="BL118" i="3"/>
  <c r="BL119" i="3"/>
  <c r="AZ119" i="3" s="1"/>
  <c r="BA120" i="3"/>
  <c r="AZ120" i="3" s="1"/>
  <c r="BA121" i="3"/>
  <c r="BL123" i="3"/>
  <c r="AZ123" i="3" s="1"/>
  <c r="G126" i="3"/>
  <c r="BL126" i="3"/>
  <c r="AZ126" i="3" s="1"/>
  <c r="BL129" i="3"/>
  <c r="BL130" i="3"/>
  <c r="AZ130" i="3" s="1"/>
  <c r="BL131" i="3"/>
  <c r="AZ131" i="3" s="1"/>
  <c r="BA132" i="3"/>
  <c r="AZ132" i="3" s="1"/>
  <c r="BA136" i="3"/>
  <c r="AZ136" i="3" s="1"/>
  <c r="G142" i="3"/>
  <c r="G144" i="3"/>
  <c r="G147" i="3"/>
  <c r="G151" i="3"/>
  <c r="BA153" i="3"/>
  <c r="G163" i="3"/>
  <c r="BA164" i="3"/>
  <c r="AZ164" i="3" s="1"/>
  <c r="BL167" i="3"/>
  <c r="AZ167" i="3" s="1"/>
  <c r="G170" i="3"/>
  <c r="BL170" i="3"/>
  <c r="AZ170" i="3" s="1"/>
  <c r="BA172" i="3"/>
  <c r="AZ172" i="3" s="1"/>
  <c r="BL173" i="3"/>
  <c r="AZ173" i="3" s="1"/>
  <c r="BA177" i="3"/>
  <c r="BA182" i="3"/>
  <c r="BA184" i="3"/>
  <c r="AZ184" i="3" s="1"/>
  <c r="G186" i="3"/>
  <c r="G187" i="3"/>
  <c r="G188" i="3"/>
  <c r="G191" i="3"/>
  <c r="BL193" i="3"/>
  <c r="BL194" i="3"/>
  <c r="AZ194" i="3" s="1"/>
  <c r="BL197" i="3"/>
  <c r="AZ197" i="3" s="1"/>
  <c r="BA198" i="3"/>
  <c r="G204" i="3"/>
  <c r="BA205" i="3"/>
  <c r="BL22" i="3"/>
  <c r="BL26" i="3"/>
  <c r="BL27" i="3"/>
  <c r="BA29" i="3"/>
  <c r="AZ29" i="3" s="1"/>
  <c r="G32" i="3"/>
  <c r="BL32" i="3"/>
  <c r="AZ32" i="3" s="1"/>
  <c r="BA33" i="3"/>
  <c r="BA34" i="3"/>
  <c r="AC21" i="33"/>
  <c r="W21" i="33"/>
  <c r="D83" i="71"/>
  <c r="C82" i="71"/>
  <c r="D82" i="71" s="1"/>
  <c r="AA34" i="71"/>
  <c r="C38" i="71"/>
  <c r="Y35" i="71"/>
  <c r="Z35" i="71" s="1"/>
  <c r="Y29" i="71"/>
  <c r="Z29" i="71" s="1"/>
  <c r="Y37" i="71"/>
  <c r="Z37" i="71" s="1"/>
  <c r="BL37" i="3"/>
  <c r="AZ37" i="3" s="1"/>
  <c r="BL40" i="3"/>
  <c r="BL42" i="3"/>
  <c r="G45" i="3"/>
  <c r="BL46" i="3"/>
  <c r="BA47" i="3"/>
  <c r="AZ47" i="3" s="1"/>
  <c r="BA48" i="3"/>
  <c r="BA49" i="3"/>
  <c r="AZ49" i="3" s="1"/>
  <c r="BL61" i="3"/>
  <c r="AZ61" i="3" s="1"/>
  <c r="BL63" i="3"/>
  <c r="BA67" i="3"/>
  <c r="AZ67" i="3" s="1"/>
  <c r="BA69" i="3"/>
  <c r="BA79" i="3"/>
  <c r="AZ79" i="3" s="1"/>
  <c r="BL83" i="3"/>
  <c r="BL85" i="3"/>
  <c r="BA87" i="3"/>
  <c r="BA88" i="3"/>
  <c r="AZ88" i="3" s="1"/>
  <c r="BL111" i="3"/>
  <c r="AZ111" i="3" s="1"/>
  <c r="S21" i="33"/>
  <c r="AA21" i="33"/>
  <c r="E66" i="71"/>
  <c r="P67" i="71"/>
  <c r="T28" i="71"/>
  <c r="D28" i="71"/>
  <c r="U28" i="71" s="1"/>
  <c r="C27" i="71"/>
  <c r="C31" i="71"/>
  <c r="D31" i="71" s="1"/>
  <c r="D30" i="71"/>
  <c r="P68" i="71"/>
  <c r="U68" i="71"/>
  <c r="B71" i="71"/>
  <c r="B70" i="71" s="1"/>
  <c r="S72" i="71"/>
  <c r="V72" i="71"/>
  <c r="F71" i="71"/>
  <c r="F70" i="71" s="1"/>
  <c r="BL206" i="3"/>
  <c r="BA18" i="3"/>
  <c r="BL21" i="3"/>
  <c r="BL25" i="3"/>
  <c r="G30" i="3"/>
  <c r="BA30" i="3"/>
  <c r="AZ30" i="3" s="1"/>
  <c r="BL31" i="3"/>
  <c r="G35" i="3"/>
  <c r="G40" i="3"/>
  <c r="BL41" i="3"/>
  <c r="BA51" i="3"/>
  <c r="BA53" i="3"/>
  <c r="AZ53" i="3" s="1"/>
  <c r="BA54" i="3"/>
  <c r="AZ54" i="3" s="1"/>
  <c r="BL56" i="3"/>
  <c r="BL58" i="3"/>
  <c r="G61" i="3"/>
  <c r="BL62" i="3"/>
  <c r="BA63" i="3"/>
  <c r="BA64" i="3"/>
  <c r="BL69" i="3"/>
  <c r="BL70" i="3"/>
  <c r="BL74" i="3"/>
  <c r="BL77" i="3"/>
  <c r="AZ77" i="3" s="1"/>
  <c r="BL78" i="3"/>
  <c r="AZ78" i="3" s="1"/>
  <c r="BA81" i="3"/>
  <c r="BA83" i="3"/>
  <c r="BA98" i="3"/>
  <c r="AA29" i="71"/>
  <c r="AA31" i="71"/>
  <c r="B51" i="71"/>
  <c r="B52" i="71" s="1"/>
  <c r="S52" i="71" s="1"/>
  <c r="C55" i="71"/>
  <c r="D54" i="71"/>
  <c r="N67" i="71"/>
  <c r="B66" i="71"/>
  <c r="BA146" i="3"/>
  <c r="AZ146" i="3" s="1"/>
  <c r="G148" i="3"/>
  <c r="BA149" i="3"/>
  <c r="AZ149" i="3" s="1"/>
  <c r="BA150" i="3"/>
  <c r="BA152" i="3"/>
  <c r="AZ152" i="3" s="1"/>
  <c r="G154" i="3"/>
  <c r="G155" i="3"/>
  <c r="G156" i="3"/>
  <c r="G159" i="3"/>
  <c r="BL161" i="3"/>
  <c r="BL162" i="3"/>
  <c r="AZ162" i="3" s="1"/>
  <c r="BL165" i="3"/>
  <c r="BA166" i="3"/>
  <c r="AZ166" i="3" s="1"/>
  <c r="BL171" i="3"/>
  <c r="AZ171" i="3" s="1"/>
  <c r="G174" i="3"/>
  <c r="G176" i="3"/>
  <c r="G179" i="3"/>
  <c r="G183" i="3"/>
  <c r="BA185" i="3"/>
  <c r="AZ185" i="3" s="1"/>
  <c r="BA190" i="3"/>
  <c r="G192" i="3"/>
  <c r="BA196" i="3"/>
  <c r="AZ196" i="3" s="1"/>
  <c r="BL199" i="3"/>
  <c r="AZ199" i="3" s="1"/>
  <c r="G202" i="3"/>
  <c r="BL202" i="3"/>
  <c r="BA206" i="3"/>
  <c r="BA207" i="3"/>
  <c r="AZ207" i="3" s="1"/>
  <c r="BA20" i="3"/>
  <c r="AZ20" i="3" s="1"/>
  <c r="BA21" i="3"/>
  <c r="AZ21" i="3" s="1"/>
  <c r="BA22" i="3"/>
  <c r="AZ22" i="3" s="1"/>
  <c r="G27" i="3"/>
  <c r="G28" i="3"/>
  <c r="BA28" i="3"/>
  <c r="AZ28" i="3" s="1"/>
  <c r="G33" i="3"/>
  <c r="BL33" i="3"/>
  <c r="BL34" i="3"/>
  <c r="BL39" i="3"/>
  <c r="AZ39" i="3" s="1"/>
  <c r="BA41" i="3"/>
  <c r="BA43" i="3"/>
  <c r="AZ43" i="3" s="1"/>
  <c r="G48" i="3"/>
  <c r="BL50" i="3"/>
  <c r="BL52" i="3"/>
  <c r="AZ52" i="3" s="1"/>
  <c r="BL64" i="3"/>
  <c r="BL65" i="3"/>
  <c r="G68" i="3"/>
  <c r="G69" i="3"/>
  <c r="G70" i="3"/>
  <c r="BL71" i="3"/>
  <c r="BA73" i="3"/>
  <c r="BA74" i="3"/>
  <c r="BL86" i="3"/>
  <c r="G88" i="3"/>
  <c r="BA90" i="3"/>
  <c r="G96" i="3"/>
  <c r="BL96" i="3"/>
  <c r="BA104" i="3"/>
  <c r="E31" i="71"/>
  <c r="E32" i="71" s="1"/>
  <c r="U32" i="71" s="1"/>
  <c r="F30" i="71"/>
  <c r="F31" i="71" s="1"/>
  <c r="F32" i="71" s="1"/>
  <c r="V32" i="71" s="1"/>
  <c r="AB25" i="71"/>
  <c r="AB32" i="71"/>
  <c r="AA37" i="71"/>
  <c r="AA39" i="71"/>
  <c r="AA38" i="71"/>
  <c r="C47" i="71"/>
  <c r="D47" i="71" s="1"/>
  <c r="D46" i="71"/>
  <c r="D51" i="71"/>
  <c r="C52" i="71"/>
  <c r="BL94" i="3"/>
  <c r="AZ94" i="3" s="1"/>
  <c r="BA97" i="3"/>
  <c r="AZ97" i="3" s="1"/>
  <c r="G101" i="3"/>
  <c r="G103" i="3"/>
  <c r="G109" i="3"/>
  <c r="G111" i="3"/>
  <c r="BL112" i="3"/>
  <c r="AC21" i="34"/>
  <c r="E40" i="71"/>
  <c r="U40" i="71" s="1"/>
  <c r="X30" i="71"/>
  <c r="X33" i="71"/>
  <c r="AB26" i="71"/>
  <c r="E51" i="71"/>
  <c r="E52" i="71" s="1"/>
  <c r="U52" i="71" s="1"/>
  <c r="B59" i="71"/>
  <c r="B60" i="71" s="1"/>
  <c r="S60" i="71" s="1"/>
  <c r="BA42" i="3"/>
  <c r="BA44" i="3"/>
  <c r="BA46" i="3"/>
  <c r="G51" i="3"/>
  <c r="BL51" i="3"/>
  <c r="G54" i="3"/>
  <c r="BL57" i="3"/>
  <c r="AZ57" i="3" s="1"/>
  <c r="BA58" i="3"/>
  <c r="AZ58" i="3" s="1"/>
  <c r="BA60" i="3"/>
  <c r="BA62" i="3"/>
  <c r="BA72" i="3"/>
  <c r="AZ72" i="3" s="1"/>
  <c r="G76" i="3"/>
  <c r="BL76" i="3"/>
  <c r="G80" i="3"/>
  <c r="BA80" i="3"/>
  <c r="BA86" i="3"/>
  <c r="G90" i="3"/>
  <c r="BL90" i="3"/>
  <c r="G92" i="3"/>
  <c r="BL95" i="3"/>
  <c r="G97" i="3"/>
  <c r="G99" i="3"/>
  <c r="BL100" i="3"/>
  <c r="AZ100" i="3" s="1"/>
  <c r="G106" i="3"/>
  <c r="BL108" i="3"/>
  <c r="AZ108" i="3" s="1"/>
  <c r="AB21" i="21"/>
  <c r="AB21" i="33"/>
  <c r="S18" i="36"/>
  <c r="O65" i="71"/>
  <c r="Y26" i="71"/>
  <c r="Z26" i="71" s="1"/>
  <c r="F55" i="71"/>
  <c r="F56" i="71" s="1"/>
  <c r="V56" i="71" s="1"/>
  <c r="B79" i="71"/>
  <c r="B78" i="71" s="1"/>
  <c r="P27" i="6"/>
  <c r="S28" i="71"/>
  <c r="C75" i="71"/>
  <c r="C74" i="71" s="1"/>
  <c r="D74" i="71" s="1"/>
  <c r="Q68" i="71"/>
  <c r="B31" i="71"/>
  <c r="B32" i="71" s="1"/>
  <c r="S32" i="71" s="1"/>
  <c r="C63" i="71"/>
  <c r="V68" i="71"/>
  <c r="E23" i="71"/>
  <c r="E22" i="71" s="1"/>
  <c r="E21" i="71" s="1"/>
  <c r="E20" i="71" s="1"/>
  <c r="H67" i="43"/>
  <c r="H50" i="43"/>
  <c r="AC35" i="21"/>
  <c r="W45" i="21"/>
  <c r="AC45" i="21"/>
  <c r="F45" i="21"/>
  <c r="S25" i="21"/>
  <c r="AB25" i="21"/>
  <c r="W25" i="21"/>
  <c r="W42" i="21"/>
  <c r="U36" i="21"/>
  <c r="U32" i="21"/>
  <c r="S32" i="21"/>
  <c r="S27" i="21"/>
  <c r="AA27" i="21"/>
  <c r="J27" i="21"/>
  <c r="H27" i="21"/>
  <c r="U27" i="21" s="1"/>
  <c r="C25" i="39"/>
  <c r="B79" i="43"/>
  <c r="B69" i="43"/>
  <c r="B57" i="43"/>
  <c r="B68" i="43"/>
  <c r="B77" i="43"/>
  <c r="B67" i="43"/>
  <c r="B56" i="43"/>
  <c r="B76" i="43"/>
  <c r="C21" i="39"/>
  <c r="B51" i="43"/>
  <c r="B73" i="43"/>
  <c r="AB42" i="21"/>
  <c r="U40" i="21"/>
  <c r="S40" i="21"/>
  <c r="S39" i="21"/>
  <c r="AC38" i="21"/>
  <c r="AB38" i="21"/>
  <c r="AA38" i="21"/>
  <c r="W36" i="21"/>
  <c r="AA36" i="21"/>
  <c r="U34" i="21"/>
  <c r="S34" i="21"/>
  <c r="W9" i="21"/>
  <c r="U9" i="21"/>
  <c r="AA9" i="21"/>
  <c r="B41" i="1"/>
  <c r="F48" i="9" s="1"/>
  <c r="O52" i="9" s="1"/>
  <c r="F30" i="69"/>
  <c r="F48" i="69" s="1"/>
  <c r="F31" i="12"/>
  <c r="M18" i="15"/>
  <c r="M18" i="67"/>
  <c r="F30" i="11"/>
  <c r="C48" i="11" s="1"/>
  <c r="F32" i="15"/>
  <c r="F60" i="15" s="1"/>
  <c r="F52" i="9"/>
  <c r="F30" i="68"/>
  <c r="F48" i="68" s="1"/>
  <c r="D93" i="9"/>
  <c r="F28" i="15"/>
  <c r="F32" i="67"/>
  <c r="F60" i="67" s="1"/>
  <c r="F28" i="67"/>
  <c r="C40" i="11"/>
  <c r="C21" i="68"/>
  <c r="G22" i="11"/>
  <c r="G26" i="12"/>
  <c r="E1" i="73"/>
  <c r="G22" i="68"/>
  <c r="BB5" i="3"/>
  <c r="E5" i="6" s="1"/>
  <c r="D19" i="12" s="1"/>
  <c r="C19" i="12" s="1"/>
  <c r="F29" i="6"/>
  <c r="G23" i="43"/>
  <c r="C7" i="33"/>
  <c r="M47" i="9"/>
  <c r="C7" i="35"/>
  <c r="C48" i="35" s="1"/>
  <c r="D48" i="35" s="1"/>
  <c r="C42" i="1"/>
  <c r="C24" i="12" s="1"/>
  <c r="C7" i="36"/>
  <c r="C46" i="36" s="1"/>
  <c r="D46" i="36" s="1"/>
  <c r="E46" i="36" s="1"/>
  <c r="F46" i="36" s="1"/>
  <c r="G46" i="36" s="1"/>
  <c r="H46" i="36" s="1"/>
  <c r="I46" i="36" s="1"/>
  <c r="C7" i="40"/>
  <c r="C63" i="40" s="1"/>
  <c r="C65" i="40" s="1"/>
  <c r="C7" i="39"/>
  <c r="C67" i="39" s="1"/>
  <c r="AZ557" i="3"/>
  <c r="E19" i="71"/>
  <c r="E18" i="71" s="1"/>
  <c r="E17" i="71" s="1"/>
  <c r="E16" i="71" s="1"/>
  <c r="V20" i="71"/>
  <c r="C19" i="71"/>
  <c r="T20" i="71"/>
  <c r="D20" i="71"/>
  <c r="U20" i="71" s="1"/>
  <c r="AC23" i="21"/>
  <c r="AA11" i="39"/>
  <c r="S11" i="39"/>
  <c r="AA15" i="37"/>
  <c r="S15" i="37"/>
  <c r="W12" i="37"/>
  <c r="AC12" i="37"/>
  <c r="AA31" i="40"/>
  <c r="S31" i="40"/>
  <c r="W41" i="39"/>
  <c r="AC41" i="39"/>
  <c r="AC27" i="37"/>
  <c r="W27" i="37"/>
  <c r="AB14" i="40"/>
  <c r="U14" i="40"/>
  <c r="AB25" i="36"/>
  <c r="U25" i="36"/>
  <c r="AA35" i="35"/>
  <c r="S35" i="35"/>
  <c r="W25" i="35"/>
  <c r="AC25" i="35"/>
  <c r="AC44" i="33"/>
  <c r="W44" i="33"/>
  <c r="S29" i="37"/>
  <c r="AA29" i="37"/>
  <c r="U29" i="33"/>
  <c r="AB29" i="33"/>
  <c r="AB37" i="33"/>
  <c r="U37" i="33"/>
  <c r="W36" i="34"/>
  <c r="AC36" i="34"/>
  <c r="G28" i="6"/>
  <c r="S19" i="33"/>
  <c r="AA19" i="33"/>
  <c r="S15" i="39"/>
  <c r="AB21" i="40"/>
  <c r="AZ559" i="3"/>
  <c r="AA14" i="34"/>
  <c r="U46" i="33"/>
  <c r="AA14" i="40"/>
  <c r="S14" i="40"/>
  <c r="AC28" i="37"/>
  <c r="W28" i="37"/>
  <c r="AB25" i="35"/>
  <c r="U25" i="35"/>
  <c r="S31" i="34"/>
  <c r="AA31" i="34"/>
  <c r="S14" i="33"/>
  <c r="AA14" i="33"/>
  <c r="AB13" i="36"/>
  <c r="U13" i="36"/>
  <c r="S30" i="34"/>
  <c r="AA30" i="34"/>
  <c r="U46" i="21"/>
  <c r="AB46" i="21"/>
  <c r="AA44" i="34"/>
  <c r="S44" i="34"/>
  <c r="AB17" i="34"/>
  <c r="AC35" i="35"/>
  <c r="W35" i="35"/>
  <c r="AC23" i="33"/>
  <c r="AB23" i="21"/>
  <c r="AC23" i="37"/>
  <c r="AA12" i="33"/>
  <c r="U19" i="37"/>
  <c r="S20" i="35"/>
  <c r="U34" i="33"/>
  <c r="AB34" i="33"/>
  <c r="AZ327" i="3"/>
  <c r="W36" i="40"/>
  <c r="AC36" i="40"/>
  <c r="AZ565" i="3"/>
  <c r="AZ575" i="3"/>
  <c r="AZ504" i="3"/>
  <c r="AZ530" i="3"/>
  <c r="AC31" i="34"/>
  <c r="W31" i="34"/>
  <c r="U46" i="34"/>
  <c r="AB46" i="34"/>
  <c r="U45" i="33"/>
  <c r="AB45" i="33"/>
  <c r="AA27" i="33"/>
  <c r="S27" i="33"/>
  <c r="U14" i="21"/>
  <c r="AB14" i="21"/>
  <c r="S29" i="35"/>
  <c r="AA29" i="35"/>
  <c r="AC24" i="35"/>
  <c r="W24" i="35"/>
  <c r="AA31" i="39"/>
  <c r="S31" i="39"/>
  <c r="AZ524" i="3"/>
  <c r="BL521" i="3"/>
  <c r="AZ521" i="3" s="1"/>
  <c r="AZ518" i="3"/>
  <c r="BL517" i="3"/>
  <c r="AZ517" i="3" s="1"/>
  <c r="BL505" i="3"/>
  <c r="AZ505" i="3" s="1"/>
  <c r="BL499" i="3"/>
  <c r="AZ499" i="3" s="1"/>
  <c r="BL495" i="3"/>
  <c r="AZ495" i="3" s="1"/>
  <c r="W32" i="33"/>
  <c r="AA25" i="33"/>
  <c r="U44" i="34"/>
  <c r="AB32" i="37"/>
  <c r="U32" i="37"/>
  <c r="AZ341" i="3"/>
  <c r="AZ309" i="3"/>
  <c r="AB25" i="39"/>
  <c r="U25" i="39"/>
  <c r="AC43" i="33"/>
  <c r="W43" i="33"/>
  <c r="AA39" i="33"/>
  <c r="S39" i="33"/>
  <c r="BQ5" i="3"/>
  <c r="F28" i="6" s="1"/>
  <c r="BL493" i="3"/>
  <c r="AZ493" i="3" s="1"/>
  <c r="AZ501" i="3"/>
  <c r="AZ506" i="3"/>
  <c r="AB17" i="21"/>
  <c r="AB30" i="21"/>
  <c r="S38" i="37"/>
  <c r="AA38" i="37"/>
  <c r="W25" i="36"/>
  <c r="AC25" i="36"/>
  <c r="AC46" i="33"/>
  <c r="W46" i="33"/>
  <c r="AC30" i="21"/>
  <c r="W30" i="21"/>
  <c r="W14" i="21"/>
  <c r="AC14" i="21"/>
  <c r="AA23" i="34"/>
  <c r="S23" i="34"/>
  <c r="AA44" i="33"/>
  <c r="S44" i="33"/>
  <c r="AB13" i="34"/>
  <c r="U13" i="34"/>
  <c r="AA47" i="34"/>
  <c r="S47" i="34"/>
  <c r="BL567" i="3"/>
  <c r="AZ567" i="3" s="1"/>
  <c r="AZ566" i="3"/>
  <c r="AZ562" i="3"/>
  <c r="BL561" i="3"/>
  <c r="AZ561" i="3" s="1"/>
  <c r="AZ546" i="3"/>
  <c r="BL545" i="3"/>
  <c r="AZ545" i="3" s="1"/>
  <c r="AZ543" i="3"/>
  <c r="BL537" i="3"/>
  <c r="AZ537" i="3" s="1"/>
  <c r="AZ535" i="3"/>
  <c r="BL529" i="3"/>
  <c r="AZ529" i="3" s="1"/>
  <c r="AZ528" i="3"/>
  <c r="AZ527" i="3"/>
  <c r="U30" i="40"/>
  <c r="W17" i="21"/>
  <c r="AC28" i="33"/>
  <c r="AA30" i="33"/>
  <c r="S37" i="34"/>
  <c r="AC11" i="33"/>
  <c r="AC13" i="37"/>
  <c r="S22" i="35"/>
  <c r="S24" i="36"/>
  <c r="S17" i="39"/>
  <c r="AB27" i="39"/>
  <c r="AC17" i="40"/>
  <c r="AB37" i="40"/>
  <c r="U43" i="21"/>
  <c r="AC13" i="40"/>
  <c r="W16" i="35"/>
  <c r="H24" i="35"/>
  <c r="U32" i="33"/>
  <c r="H13" i="39"/>
  <c r="H44" i="33"/>
  <c r="S41" i="33"/>
  <c r="AB23" i="34"/>
  <c r="AC11" i="40"/>
  <c r="AA39" i="37"/>
  <c r="AB12" i="33"/>
  <c r="W8" i="40"/>
  <c r="W39" i="33"/>
  <c r="S34" i="35"/>
  <c r="J12" i="21"/>
  <c r="F9" i="33"/>
  <c r="AA9" i="33" s="1"/>
  <c r="J12" i="35"/>
  <c r="H12" i="35"/>
  <c r="AB17" i="40"/>
  <c r="AC20" i="35"/>
  <c r="W14" i="36"/>
  <c r="S23" i="40"/>
  <c r="AC21" i="40"/>
  <c r="S14" i="35"/>
  <c r="U39" i="37"/>
  <c r="W23" i="35"/>
  <c r="J14" i="37"/>
  <c r="H35" i="35"/>
  <c r="F13" i="34"/>
  <c r="J14" i="33"/>
  <c r="AC11" i="35"/>
  <c r="J28" i="21"/>
  <c r="J31" i="39"/>
  <c r="W33" i="33"/>
  <c r="H9" i="33"/>
  <c r="F12" i="35"/>
  <c r="H23" i="36"/>
  <c r="J23" i="36"/>
  <c r="F12" i="21"/>
  <c r="AC22" i="35"/>
  <c r="U14" i="37"/>
  <c r="AB14" i="37"/>
  <c r="H45" i="39"/>
  <c r="F45" i="39"/>
  <c r="BL585" i="3"/>
  <c r="AZ585" i="3" s="1"/>
  <c r="BL550" i="3"/>
  <c r="G574" i="3"/>
  <c r="BA551" i="3"/>
  <c r="AZ551" i="3" s="1"/>
  <c r="BA550" i="3"/>
  <c r="AZ550" i="3" s="1"/>
  <c r="BL548" i="3"/>
  <c r="AZ548" i="3" s="1"/>
  <c r="AZ400" i="3"/>
  <c r="AZ407" i="3"/>
  <c r="AZ410" i="3"/>
  <c r="AZ413" i="3"/>
  <c r="AZ460" i="3"/>
  <c r="AZ472" i="3"/>
  <c r="AZ475" i="3"/>
  <c r="AZ398" i="3"/>
  <c r="AZ403" i="3"/>
  <c r="AZ404" i="3"/>
  <c r="AZ411" i="3"/>
  <c r="AZ414" i="3"/>
  <c r="AZ424" i="3"/>
  <c r="AZ426" i="3"/>
  <c r="AZ436" i="3"/>
  <c r="AZ438" i="3"/>
  <c r="AZ448" i="3"/>
  <c r="AZ450" i="3"/>
  <c r="AZ452" i="3"/>
  <c r="AZ454" i="3"/>
  <c r="AZ461" i="3"/>
  <c r="AZ418" i="3"/>
  <c r="AZ420" i="3"/>
  <c r="AZ422" i="3"/>
  <c r="AZ425" i="3"/>
  <c r="AZ431" i="3"/>
  <c r="AZ434" i="3"/>
  <c r="AZ435" i="3"/>
  <c r="AZ442" i="3"/>
  <c r="AZ444" i="3"/>
  <c r="AZ446" i="3"/>
  <c r="AZ449" i="3"/>
  <c r="AZ453" i="3"/>
  <c r="AZ458" i="3"/>
  <c r="AZ459" i="3"/>
  <c r="AZ467" i="3"/>
  <c r="BA470" i="3"/>
  <c r="BA474" i="3"/>
  <c r="AZ474" i="3" s="1"/>
  <c r="BA477" i="3"/>
  <c r="BL328" i="3"/>
  <c r="AZ328" i="3" s="1"/>
  <c r="BA332" i="3"/>
  <c r="AZ332" i="3" s="1"/>
  <c r="AZ385" i="3"/>
  <c r="AZ397" i="3"/>
  <c r="A15" i="62"/>
  <c r="B61" i="72" s="1"/>
  <c r="AZ476" i="3"/>
  <c r="AZ481" i="3"/>
  <c r="AZ485" i="3"/>
  <c r="AZ486" i="3"/>
  <c r="AZ488" i="3"/>
  <c r="BL312" i="3"/>
  <c r="AZ312" i="3" s="1"/>
  <c r="BA316" i="3"/>
  <c r="AZ316" i="3" s="1"/>
  <c r="BL470" i="3"/>
  <c r="BA473" i="3"/>
  <c r="AZ473" i="3" s="1"/>
  <c r="BL477" i="3"/>
  <c r="AZ225" i="3"/>
  <c r="BL396" i="3"/>
  <c r="AZ396" i="3" s="1"/>
  <c r="BA210" i="3"/>
  <c r="AZ210" i="3" s="1"/>
  <c r="AZ219" i="3"/>
  <c r="AZ255" i="3"/>
  <c r="BL279" i="3"/>
  <c r="AZ279" i="3" s="1"/>
  <c r="BL281" i="3"/>
  <c r="AZ281" i="3" s="1"/>
  <c r="BA287" i="3"/>
  <c r="AZ287" i="3" s="1"/>
  <c r="AZ289" i="3"/>
  <c r="BL292" i="3"/>
  <c r="AZ292" i="3" s="1"/>
  <c r="AZ134" i="3"/>
  <c r="AZ137" i="3"/>
  <c r="AZ34" i="3"/>
  <c r="BL209" i="3"/>
  <c r="AZ209" i="3" s="1"/>
  <c r="BL216" i="3"/>
  <c r="AZ216" i="3" s="1"/>
  <c r="BL221" i="3"/>
  <c r="AZ221" i="3" s="1"/>
  <c r="BL230" i="3"/>
  <c r="AZ230" i="3" s="1"/>
  <c r="BA241" i="3"/>
  <c r="AZ241" i="3" s="1"/>
  <c r="AZ242" i="3"/>
  <c r="BA247" i="3"/>
  <c r="AZ247" i="3" s="1"/>
  <c r="BA261" i="3"/>
  <c r="AZ261" i="3" s="1"/>
  <c r="AZ262" i="3"/>
  <c r="BA266" i="3"/>
  <c r="AZ266" i="3" s="1"/>
  <c r="BA271" i="3"/>
  <c r="AZ271" i="3" s="1"/>
  <c r="BA277" i="3"/>
  <c r="AZ277" i="3" s="1"/>
  <c r="BA285" i="3"/>
  <c r="AZ285" i="3" s="1"/>
  <c r="BL289" i="3"/>
  <c r="BL295" i="3"/>
  <c r="AZ295" i="3" s="1"/>
  <c r="BL297" i="3"/>
  <c r="AZ297" i="3" s="1"/>
  <c r="AZ302" i="3"/>
  <c r="AZ121" i="3"/>
  <c r="AZ145" i="3"/>
  <c r="AZ153" i="3"/>
  <c r="AZ27" i="3"/>
  <c r="G208" i="3"/>
  <c r="BA213" i="3"/>
  <c r="AZ213" i="3" s="1"/>
  <c r="BA214" i="3"/>
  <c r="AZ214" i="3" s="1"/>
  <c r="BA215" i="3"/>
  <c r="AZ215" i="3" s="1"/>
  <c r="BA220" i="3"/>
  <c r="AZ220" i="3" s="1"/>
  <c r="BL222" i="3"/>
  <c r="AZ222" i="3" s="1"/>
  <c r="BL226" i="3"/>
  <c r="AZ226" i="3" s="1"/>
  <c r="BA228" i="3"/>
  <c r="AZ228" i="3" s="1"/>
  <c r="BA229" i="3"/>
  <c r="AZ229" i="3" s="1"/>
  <c r="BA239" i="3"/>
  <c r="AZ239" i="3" s="1"/>
  <c r="BA244" i="3"/>
  <c r="AZ244" i="3" s="1"/>
  <c r="AZ246" i="3"/>
  <c r="BL253" i="3"/>
  <c r="AZ253" i="3" s="1"/>
  <c r="AZ260" i="3"/>
  <c r="BA264" i="3"/>
  <c r="AZ264" i="3" s="1"/>
  <c r="AZ270" i="3"/>
  <c r="BA274" i="3"/>
  <c r="AZ274" i="3" s="1"/>
  <c r="AZ276" i="3"/>
  <c r="AZ284" i="3"/>
  <c r="AZ113" i="3"/>
  <c r="AZ129" i="3"/>
  <c r="AZ161" i="3"/>
  <c r="AZ40" i="3"/>
  <c r="BL203" i="3"/>
  <c r="AZ203" i="3" s="1"/>
  <c r="BL18" i="3"/>
  <c r="AZ18" i="3" s="1"/>
  <c r="BA26" i="3"/>
  <c r="AZ26" i="3" s="1"/>
  <c r="BA36" i="3"/>
  <c r="AZ36" i="3" s="1"/>
  <c r="G203" i="3"/>
  <c r="BL23" i="3"/>
  <c r="AZ23" i="3" s="1"/>
  <c r="BA31" i="3"/>
  <c r="AZ31" i="3" s="1"/>
  <c r="BL35" i="3"/>
  <c r="AZ35" i="3" s="1"/>
  <c r="BL38" i="3"/>
  <c r="AZ38" i="3" s="1"/>
  <c r="AZ48" i="3"/>
  <c r="AZ65" i="3"/>
  <c r="AZ70" i="3"/>
  <c r="G37" i="3"/>
  <c r="AZ56" i="3"/>
  <c r="AZ60" i="3"/>
  <c r="AZ62" i="3"/>
  <c r="BL44" i="3"/>
  <c r="BL60" i="3"/>
  <c r="AZ76" i="3"/>
  <c r="AZ90" i="3"/>
  <c r="AZ95" i="3"/>
  <c r="P65" i="71"/>
  <c r="P66" i="71"/>
  <c r="BA50" i="3"/>
  <c r="AZ50" i="3" s="1"/>
  <c r="BA55" i="3"/>
  <c r="AZ55" i="3" s="1"/>
  <c r="BA66" i="3"/>
  <c r="AZ66" i="3" s="1"/>
  <c r="BA71" i="3"/>
  <c r="AZ71" i="3" s="1"/>
  <c r="BL73" i="3"/>
  <c r="AZ73" i="3" s="1"/>
  <c r="BL80" i="3"/>
  <c r="AZ80" i="3" s="1"/>
  <c r="G82" i="3"/>
  <c r="BA85" i="3"/>
  <c r="AZ85" i="3" s="1"/>
  <c r="BL87" i="3"/>
  <c r="AZ87" i="3" s="1"/>
  <c r="BA91" i="3"/>
  <c r="AZ91" i="3" s="1"/>
  <c r="G94" i="3"/>
  <c r="BA96" i="3"/>
  <c r="AZ96" i="3" s="1"/>
  <c r="BL98" i="3"/>
  <c r="AZ98" i="3" s="1"/>
  <c r="G100" i="3"/>
  <c r="BA102" i="3"/>
  <c r="AZ102" i="3" s="1"/>
  <c r="BA105" i="3"/>
  <c r="AZ105" i="3" s="1"/>
  <c r="G108" i="3"/>
  <c r="BA110" i="3"/>
  <c r="AZ110" i="3" s="1"/>
  <c r="BA112" i="3"/>
  <c r="AZ112" i="3" s="1"/>
  <c r="K13" i="1"/>
  <c r="M13" i="1" s="1"/>
  <c r="O13" i="1" s="1"/>
  <c r="P13" i="1" s="1"/>
  <c r="C35" i="71"/>
  <c r="D34" i="71"/>
  <c r="G64" i="3"/>
  <c r="BL68" i="3"/>
  <c r="AZ68" i="3" s="1"/>
  <c r="BL75" i="3"/>
  <c r="AZ75" i="3" s="1"/>
  <c r="G77" i="3"/>
  <c r="BL81" i="3"/>
  <c r="G84" i="3"/>
  <c r="BL89" i="3"/>
  <c r="AZ89" i="3" s="1"/>
  <c r="G91" i="3"/>
  <c r="BL93" i="3"/>
  <c r="AZ93" i="3" s="1"/>
  <c r="BL99" i="3"/>
  <c r="BL101" i="3"/>
  <c r="AZ101" i="3" s="1"/>
  <c r="BL104" i="3"/>
  <c r="AZ104" i="3" s="1"/>
  <c r="BL107" i="3"/>
  <c r="AZ107" i="3" s="1"/>
  <c r="BL109" i="3"/>
  <c r="AZ109" i="3" s="1"/>
  <c r="F3" i="35"/>
  <c r="AZ81" i="3"/>
  <c r="AZ99" i="3"/>
  <c r="C60" i="71"/>
  <c r="D59" i="71"/>
  <c r="AB18" i="35"/>
  <c r="AB25" i="40"/>
  <c r="S21" i="21"/>
  <c r="S18" i="35"/>
  <c r="C25" i="40"/>
  <c r="C32" i="71"/>
  <c r="D75" i="71"/>
  <c r="AA27" i="71"/>
  <c r="AB27" i="71"/>
  <c r="D76" i="71"/>
  <c r="Y28" i="71"/>
  <c r="Z28" i="71" s="1"/>
  <c r="AA30" i="71"/>
  <c r="AB29" i="71"/>
  <c r="Y30" i="71"/>
  <c r="Z30" i="71" s="1"/>
  <c r="Y25" i="71"/>
  <c r="Z25" i="71" s="1"/>
  <c r="Y27" i="71"/>
  <c r="Z27" i="71" s="1"/>
  <c r="C43" i="71"/>
  <c r="D42" i="71"/>
  <c r="AB24" i="71"/>
  <c r="AB23" i="71"/>
  <c r="AB21" i="71"/>
  <c r="X13" i="71"/>
  <c r="X17" i="71"/>
  <c r="AA21" i="34"/>
  <c r="AA26" i="71"/>
  <c r="E27" i="71"/>
  <c r="E26" i="71" s="1"/>
  <c r="X26" i="71"/>
  <c r="X27" i="71"/>
  <c r="AB35" i="71"/>
  <c r="F66" i="71"/>
  <c r="Q67" i="71"/>
  <c r="X22" i="71"/>
  <c r="X24" i="71"/>
  <c r="AA22" i="71"/>
  <c r="X21" i="71"/>
  <c r="AA21" i="71"/>
  <c r="X18" i="71"/>
  <c r="Y14" i="71"/>
  <c r="Z14" i="71" s="1"/>
  <c r="Y31" i="71"/>
  <c r="Z31" i="71" s="1"/>
  <c r="Y33" i="71"/>
  <c r="Z33" i="71" s="1"/>
  <c r="AB36" i="71"/>
  <c r="AB37" i="71"/>
  <c r="Y24" i="71"/>
  <c r="Z24" i="71" s="1"/>
  <c r="Y18" i="71"/>
  <c r="Z18" i="71" s="1"/>
  <c r="AA17" i="71"/>
  <c r="AA28" i="71"/>
  <c r="AA3" i="71"/>
  <c r="AB28" i="71"/>
  <c r="AB33" i="71"/>
  <c r="X29" i="71"/>
  <c r="AB31" i="71"/>
  <c r="Y32" i="71"/>
  <c r="Z32" i="71" s="1"/>
  <c r="AB30" i="71"/>
  <c r="E34" i="71"/>
  <c r="E35" i="71" s="1"/>
  <c r="E36" i="71" s="1"/>
  <c r="U36" i="71" s="1"/>
  <c r="AA33" i="71"/>
  <c r="AB34" i="71"/>
  <c r="Y34" i="71"/>
  <c r="Z34" i="71" s="1"/>
  <c r="Y36" i="71"/>
  <c r="Z36" i="71" s="1"/>
  <c r="F38" i="71"/>
  <c r="F39" i="71" s="1"/>
  <c r="F40" i="71" s="1"/>
  <c r="V40" i="71" s="1"/>
  <c r="Y9" i="71"/>
  <c r="Z9" i="71" s="1"/>
  <c r="Y39" i="71"/>
  <c r="Z39" i="71" s="1"/>
  <c r="Y10" i="71"/>
  <c r="Z10" i="71" s="1"/>
  <c r="F75" i="71"/>
  <c r="F74" i="71" s="1"/>
  <c r="AA24" i="71"/>
  <c r="AA18" i="71"/>
  <c r="Y17" i="71"/>
  <c r="Z17" i="71" s="1"/>
  <c r="AB18" i="71"/>
  <c r="AB14" i="71"/>
  <c r="AA36" i="71"/>
  <c r="X32" i="71"/>
  <c r="X37" i="71"/>
  <c r="AA9" i="71"/>
  <c r="K56" i="9"/>
  <c r="Y23" i="71"/>
  <c r="Z23" i="71" s="1"/>
  <c r="AA23" i="71"/>
  <c r="AA15" i="71"/>
  <c r="AB12" i="71"/>
  <c r="AA10" i="71"/>
  <c r="X12" i="71"/>
  <c r="X36" i="71"/>
  <c r="X34" i="71"/>
  <c r="AB10" i="71"/>
  <c r="N56" i="9"/>
  <c r="AB15" i="71"/>
  <c r="AB17" i="71"/>
  <c r="AB9" i="71"/>
  <c r="AA12" i="71"/>
  <c r="AA14" i="71"/>
  <c r="Y11" i="71"/>
  <c r="Z11" i="71" s="1"/>
  <c r="Y22" i="71"/>
  <c r="Z22" i="71" s="1"/>
  <c r="Y21" i="71"/>
  <c r="Z21" i="71" s="1"/>
  <c r="X15" i="71"/>
  <c r="AB11" i="71"/>
  <c r="AA11" i="71"/>
  <c r="X11" i="71"/>
  <c r="X14" i="71"/>
  <c r="Y13" i="71"/>
  <c r="Z13" i="71" s="1"/>
  <c r="X9" i="71"/>
  <c r="AB13" i="71"/>
  <c r="AA13" i="71"/>
  <c r="X10"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G30" i="6"/>
  <c r="G31" i="6" s="1"/>
  <c r="E28" i="6"/>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AZ13" i="3"/>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J6" i="15" s="1"/>
  <c r="F50" i="15"/>
  <c r="F71" i="15"/>
  <c r="L59" i="15"/>
  <c r="N59" i="15"/>
  <c r="L58" i="15"/>
  <c r="M59" i="15"/>
  <c r="Q71" i="67"/>
  <c r="C27" i="67"/>
  <c r="F65" i="15"/>
  <c r="B13" i="70"/>
  <c r="M7" i="67"/>
  <c r="F50" i="67"/>
  <c r="F68" i="67"/>
  <c r="F64" i="67"/>
  <c r="F68" i="15"/>
  <c r="C36" i="68"/>
  <c r="D9" i="69"/>
  <c r="C36" i="69"/>
  <c r="D9" i="68"/>
  <c r="F36" i="15"/>
  <c r="M22" i="67"/>
  <c r="M6" i="67"/>
  <c r="F38" i="15"/>
  <c r="C16" i="15"/>
  <c r="F8" i="15"/>
  <c r="F43" i="67"/>
  <c r="L47" i="67"/>
  <c r="F38" i="67"/>
  <c r="D4" i="73"/>
  <c r="D5" i="73"/>
  <c r="M28" i="67"/>
  <c r="M26" i="67"/>
  <c r="D3" i="73"/>
  <c r="F6" i="67"/>
  <c r="F16" i="67"/>
  <c r="L48" i="67"/>
  <c r="M24" i="15"/>
  <c r="D6" i="73"/>
  <c r="F8" i="67"/>
  <c r="F26" i="15"/>
  <c r="M29" i="67"/>
  <c r="D7" i="73"/>
  <c r="C27" i="15" l="1"/>
  <c r="F51" i="15"/>
  <c r="C49" i="15" s="1"/>
  <c r="C6" i="15"/>
  <c r="C32" i="15" s="1"/>
  <c r="F31" i="15"/>
  <c r="F66" i="67"/>
  <c r="F66" i="15"/>
  <c r="J57" i="67"/>
  <c r="J55" i="67" s="1"/>
  <c r="J58" i="67" s="1"/>
  <c r="Q50" i="67" s="1"/>
  <c r="L56" i="67"/>
  <c r="J53" i="67"/>
  <c r="F64" i="15"/>
  <c r="F51" i="67"/>
  <c r="F59" i="67" s="1"/>
  <c r="AZ236" i="3"/>
  <c r="O66" i="71"/>
  <c r="D66" i="71"/>
  <c r="AB9" i="36"/>
  <c r="U9" i="36"/>
  <c r="AA26" i="37"/>
  <c r="S26" i="37"/>
  <c r="AB31" i="34"/>
  <c r="U31" i="34"/>
  <c r="S12" i="36"/>
  <c r="AA12" i="36"/>
  <c r="W14" i="40"/>
  <c r="AC14" i="40"/>
  <c r="F30" i="6"/>
  <c r="AZ193" i="3"/>
  <c r="AZ233" i="3"/>
  <c r="AZ441" i="3"/>
  <c r="AZ249" i="3"/>
  <c r="AZ443" i="3"/>
  <c r="AZ451" i="3"/>
  <c r="AB26" i="37"/>
  <c r="U26" i="37"/>
  <c r="AC47" i="34"/>
  <c r="W47" i="34"/>
  <c r="AA26" i="33"/>
  <c r="S26" i="33"/>
  <c r="AB26" i="33"/>
  <c r="U26" i="33"/>
  <c r="J6" i="67"/>
  <c r="J18" i="67" s="1"/>
  <c r="F7" i="36"/>
  <c r="AZ44" i="3"/>
  <c r="D68" i="9"/>
  <c r="F54" i="9"/>
  <c r="AZ46" i="3"/>
  <c r="AZ190" i="3"/>
  <c r="AZ150" i="3"/>
  <c r="AZ83" i="3"/>
  <c r="AZ63" i="3"/>
  <c r="AZ205" i="3"/>
  <c r="AZ177" i="3"/>
  <c r="AZ243" i="3"/>
  <c r="AZ490" i="3"/>
  <c r="AZ269" i="3"/>
  <c r="AZ489" i="3"/>
  <c r="AZ401" i="3"/>
  <c r="AZ186" i="3"/>
  <c r="AZ259" i="3"/>
  <c r="S14" i="21"/>
  <c r="AA14" i="21"/>
  <c r="AA34" i="36"/>
  <c r="S34" i="36"/>
  <c r="S30" i="21"/>
  <c r="AA30" i="21"/>
  <c r="AZ478" i="3"/>
  <c r="AA9" i="36"/>
  <c r="S9" i="36"/>
  <c r="AA27" i="34"/>
  <c r="S27" i="34"/>
  <c r="U39" i="40"/>
  <c r="AB39" i="40"/>
  <c r="AA28" i="21"/>
  <c r="S28" i="21"/>
  <c r="AC46" i="21"/>
  <c r="G89" i="21"/>
  <c r="H89" i="21" s="1"/>
  <c r="I89" i="21" s="1"/>
  <c r="J89" i="21" s="1"/>
  <c r="K89" i="21" s="1"/>
  <c r="L89" i="21" s="1"/>
  <c r="M89" i="21" s="1"/>
  <c r="J26" i="21"/>
  <c r="K1" i="73"/>
  <c r="C77" i="9"/>
  <c r="C74" i="9" s="1"/>
  <c r="C28" i="15"/>
  <c r="C48" i="69"/>
  <c r="C30" i="69"/>
  <c r="F71" i="67"/>
  <c r="L59" i="67"/>
  <c r="Q61" i="67" s="1"/>
  <c r="L58" i="67"/>
  <c r="Q60" i="67" s="1"/>
  <c r="N59" i="67"/>
  <c r="M59" i="67"/>
  <c r="F31" i="67"/>
  <c r="C6" i="67"/>
  <c r="C32" i="67" s="1"/>
  <c r="N65" i="71"/>
  <c r="N66" i="71"/>
  <c r="AZ283" i="3"/>
  <c r="AZ491" i="3"/>
  <c r="AC25" i="37"/>
  <c r="W25" i="37"/>
  <c r="AB38" i="40"/>
  <c r="U38" i="40"/>
  <c r="AA38" i="40"/>
  <c r="S38" i="40"/>
  <c r="AB35" i="39"/>
  <c r="U35" i="39"/>
  <c r="AB28" i="34"/>
  <c r="U28" i="34"/>
  <c r="AC30" i="33"/>
  <c r="W30" i="33"/>
  <c r="W45" i="34"/>
  <c r="AC45" i="34"/>
  <c r="AA46" i="33"/>
  <c r="S46" i="33"/>
  <c r="S32" i="40"/>
  <c r="AA32" i="40"/>
  <c r="AZ470" i="3"/>
  <c r="C28" i="67"/>
  <c r="C64" i="71"/>
  <c r="D63" i="71"/>
  <c r="T52" i="71"/>
  <c r="D52" i="71"/>
  <c r="AZ33" i="3"/>
  <c r="AZ165" i="3"/>
  <c r="AZ25" i="3"/>
  <c r="AZ202" i="3"/>
  <c r="AZ141" i="3"/>
  <c r="AZ245" i="3"/>
  <c r="D79" i="71"/>
  <c r="C78" i="71"/>
  <c r="D78" i="71" s="1"/>
  <c r="AZ235" i="3"/>
  <c r="AZ218" i="3"/>
  <c r="AZ432" i="3"/>
  <c r="U25" i="37"/>
  <c r="AB25" i="37"/>
  <c r="AZ536" i="3"/>
  <c r="AZ540" i="3"/>
  <c r="AB34" i="35"/>
  <c r="U34" i="35"/>
  <c r="AA33" i="36"/>
  <c r="S33" i="36"/>
  <c r="S25" i="36"/>
  <c r="AA25" i="36"/>
  <c r="U23" i="35"/>
  <c r="AB23" i="35"/>
  <c r="W28" i="34"/>
  <c r="AC28" i="34"/>
  <c r="S29" i="34"/>
  <c r="AA29" i="34"/>
  <c r="U13" i="35"/>
  <c r="AB13" i="35"/>
  <c r="AB29" i="34"/>
  <c r="U29" i="34"/>
  <c r="AZ42" i="3"/>
  <c r="AZ74" i="3"/>
  <c r="AZ41" i="3"/>
  <c r="AZ206" i="3"/>
  <c r="D27" i="71"/>
  <c r="C26" i="71"/>
  <c r="D26" i="71" s="1"/>
  <c r="C39" i="71"/>
  <c r="D38" i="71"/>
  <c r="AZ198" i="3"/>
  <c r="AZ118" i="3"/>
  <c r="AZ273" i="3"/>
  <c r="AZ217" i="3"/>
  <c r="AZ429" i="3"/>
  <c r="AZ421" i="3"/>
  <c r="AB24" i="36"/>
  <c r="U24" i="36"/>
  <c r="AA35" i="39"/>
  <c r="S35" i="39"/>
  <c r="AA23" i="35"/>
  <c r="S23" i="35"/>
  <c r="AC13" i="35"/>
  <c r="W13" i="35"/>
  <c r="W29" i="34"/>
  <c r="AC29" i="34"/>
  <c r="AB30" i="33"/>
  <c r="U30" i="33"/>
  <c r="S14" i="37"/>
  <c r="AA14" i="37"/>
  <c r="AB32" i="40"/>
  <c r="U32" i="40"/>
  <c r="J7" i="36"/>
  <c r="L19" i="6"/>
  <c r="L27" i="6" s="1"/>
  <c r="AZ86" i="3"/>
  <c r="C56" i="71"/>
  <c r="D55" i="71"/>
  <c r="AZ64" i="3"/>
  <c r="AZ51" i="3"/>
  <c r="AZ69" i="3"/>
  <c r="AZ182" i="3"/>
  <c r="AZ354" i="3"/>
  <c r="AZ288" i="3"/>
  <c r="AZ268" i="3"/>
  <c r="AZ238" i="3"/>
  <c r="AZ468" i="3"/>
  <c r="AZ408" i="3"/>
  <c r="AZ492" i="3"/>
  <c r="AZ471" i="3"/>
  <c r="AZ457" i="3"/>
  <c r="AZ417" i="3"/>
  <c r="AZ556" i="3"/>
  <c r="AC38" i="40"/>
  <c r="W38" i="40"/>
  <c r="AC35" i="39"/>
  <c r="W35" i="39"/>
  <c r="AB33" i="36"/>
  <c r="U33" i="36"/>
  <c r="AA28" i="34"/>
  <c r="S28" i="34"/>
  <c r="U45" i="34"/>
  <c r="AB45" i="34"/>
  <c r="F26" i="21"/>
  <c r="AC32" i="40"/>
  <c r="W32" i="40"/>
  <c r="AC39" i="37"/>
  <c r="W39" i="37"/>
  <c r="S45" i="21"/>
  <c r="AA45" i="21"/>
  <c r="AB27" i="21"/>
  <c r="W27" i="21"/>
  <c r="AC27" i="21"/>
  <c r="C30" i="68"/>
  <c r="C48" i="68"/>
  <c r="C30" i="11"/>
  <c r="G16" i="1"/>
  <c r="F10" i="39" s="1"/>
  <c r="AA10" i="39" s="1"/>
  <c r="E26" i="43"/>
  <c r="G26" i="43"/>
  <c r="J26" i="43"/>
  <c r="N370" i="46"/>
  <c r="Q16" i="1"/>
  <c r="F27" i="69" s="1"/>
  <c r="F45" i="69" s="1"/>
  <c r="P6" i="1"/>
  <c r="C13" i="12" s="1"/>
  <c r="K16" i="1"/>
  <c r="H16" i="1"/>
  <c r="D63" i="40"/>
  <c r="J7" i="37"/>
  <c r="AC7" i="37" s="1"/>
  <c r="V42" i="37" s="1"/>
  <c r="I42" i="37" s="1"/>
  <c r="S45" i="39"/>
  <c r="AA45" i="39"/>
  <c r="S12" i="35"/>
  <c r="AA12" i="35"/>
  <c r="AC28" i="21"/>
  <c r="W28" i="21"/>
  <c r="AB35" i="35"/>
  <c r="U35" i="35"/>
  <c r="BL5" i="3"/>
  <c r="E15" i="71"/>
  <c r="E14" i="71" s="1"/>
  <c r="E13" i="71" s="1"/>
  <c r="E12" i="71" s="1"/>
  <c r="V16" i="71"/>
  <c r="T60" i="71"/>
  <c r="D60" i="71"/>
  <c r="U45" i="39"/>
  <c r="AB45" i="39"/>
  <c r="S12" i="21"/>
  <c r="AA12" i="21"/>
  <c r="AB9" i="33"/>
  <c r="U9" i="33"/>
  <c r="AC14" i="37"/>
  <c r="W14" i="37"/>
  <c r="AC12" i="21"/>
  <c r="W12" i="21"/>
  <c r="AB24" i="35"/>
  <c r="U24" i="35"/>
  <c r="Q66" i="71"/>
  <c r="Q65" i="71"/>
  <c r="T32" i="71"/>
  <c r="D32" i="71"/>
  <c r="AZ477" i="3"/>
  <c r="AC23" i="36"/>
  <c r="W23" i="36"/>
  <c r="AC14" i="33"/>
  <c r="W14" i="33"/>
  <c r="U12" i="35"/>
  <c r="AB12" i="35"/>
  <c r="AB44" i="33"/>
  <c r="U44" i="33"/>
  <c r="BA5" i="3"/>
  <c r="E27" i="6" s="1"/>
  <c r="K26" i="6" s="1"/>
  <c r="M26" i="6" s="1"/>
  <c r="I26" i="6" s="1"/>
  <c r="S26" i="6" s="1"/>
  <c r="C18" i="71"/>
  <c r="D19" i="71"/>
  <c r="B15" i="71"/>
  <c r="B14" i="71" s="1"/>
  <c r="B13" i="71" s="1"/>
  <c r="B12" i="71" s="1"/>
  <c r="S16" i="71"/>
  <c r="C44" i="71"/>
  <c r="D43" i="71"/>
  <c r="C36" i="71"/>
  <c r="D35" i="71"/>
  <c r="AB23" i="36"/>
  <c r="U23" i="36"/>
  <c r="AC31" i="39"/>
  <c r="W31" i="39"/>
  <c r="AA13" i="34"/>
  <c r="S13" i="34"/>
  <c r="W12" i="35"/>
  <c r="AC12" i="35"/>
  <c r="U13" i="39"/>
  <c r="AB13" i="39"/>
  <c r="G5" i="3"/>
  <c r="B3" i="3" s="1"/>
  <c r="E100" i="3"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39"/>
  <c r="W10" i="39" s="1"/>
  <c r="C7" i="43"/>
  <c r="C5" i="43" s="1"/>
  <c r="D10" i="52"/>
  <c r="D125" i="9"/>
  <c r="D11" i="52" s="1"/>
  <c r="B7" i="74"/>
  <c r="C7" i="74" s="1"/>
  <c r="F67"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F1" i="67"/>
  <c r="Q52" i="67"/>
  <c r="Q60" i="15"/>
  <c r="Q73" i="15"/>
  <c r="Q74" i="15"/>
  <c r="Q61" i="15"/>
  <c r="AE11" i="1"/>
  <c r="AE9" i="1"/>
  <c r="F27" i="68"/>
  <c r="AE7" i="1"/>
  <c r="AE8" i="1"/>
  <c r="AE12" i="1"/>
  <c r="AE10" i="1"/>
  <c r="AE6" i="1"/>
  <c r="C16" i="67"/>
  <c r="G1" i="73"/>
  <c r="J5" i="67" l="1"/>
  <c r="C49" i="67"/>
  <c r="H26" i="21"/>
  <c r="W26" i="21"/>
  <c r="AC26" i="21"/>
  <c r="Q74" i="67"/>
  <c r="D26" i="43"/>
  <c r="C25" i="43" s="1"/>
  <c r="B40" i="1"/>
  <c r="L36" i="43" s="1"/>
  <c r="P36" i="43" s="1"/>
  <c r="W7" i="37"/>
  <c r="AZ5" i="3"/>
  <c r="AY6" i="3" s="1"/>
  <c r="D39" i="71"/>
  <c r="C40" i="71"/>
  <c r="Q73" i="67"/>
  <c r="S10" i="39"/>
  <c r="H10" i="39"/>
  <c r="U10" i="39" s="1"/>
  <c r="S26" i="21"/>
  <c r="AA26" i="21"/>
  <c r="D56" i="71"/>
  <c r="T56" i="71"/>
  <c r="D64" i="71"/>
  <c r="T64" i="71"/>
  <c r="C29" i="69"/>
  <c r="D27" i="69" s="1"/>
  <c r="C47" i="69"/>
  <c r="D45" i="69" s="1"/>
  <c r="F10" i="40"/>
  <c r="S10" i="40" s="1"/>
  <c r="H10" i="40"/>
  <c r="AB10" i="40" s="1"/>
  <c r="J10" i="40"/>
  <c r="AC10" i="40" s="1"/>
  <c r="E65" i="39"/>
  <c r="E37" i="3"/>
  <c r="E64" i="3"/>
  <c r="E108" i="3"/>
  <c r="T44" i="71"/>
  <c r="D44" i="71"/>
  <c r="C17" i="71"/>
  <c r="D18" i="71"/>
  <c r="E11" i="71"/>
  <c r="E10" i="71" s="1"/>
  <c r="E9" i="71" s="1"/>
  <c r="E8" i="71" s="1"/>
  <c r="E7" i="71" s="1"/>
  <c r="E6" i="71" s="1"/>
  <c r="E5" i="71" s="1"/>
  <c r="V12" i="7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455" i="3"/>
  <c r="E79" i="3"/>
  <c r="E38" i="3"/>
  <c r="E170" i="3"/>
  <c r="E137" i="3"/>
  <c r="E194" i="3"/>
  <c r="E234" i="3"/>
  <c r="E219" i="3"/>
  <c r="E299" i="3"/>
  <c r="E339" i="3"/>
  <c r="E325" i="3"/>
  <c r="E392" i="3"/>
  <c r="AQ6" i="3"/>
  <c r="E52" i="3"/>
  <c r="E112" i="3"/>
  <c r="E123" i="3"/>
  <c r="E147" i="3"/>
  <c r="E289" i="3"/>
  <c r="E340" i="3"/>
  <c r="E50" i="3"/>
  <c r="E20" i="3"/>
  <c r="E62" i="3"/>
  <c r="E218" i="3"/>
  <c r="E265" i="3"/>
  <c r="E524" i="3"/>
  <c r="E101" i="3"/>
  <c r="E296" i="3"/>
  <c r="E140" i="3"/>
  <c r="E173" i="3"/>
  <c r="E369" i="3"/>
  <c r="E534" i="3"/>
  <c r="E405" i="3"/>
  <c r="E469" i="3"/>
  <c r="E512" i="3"/>
  <c r="E451" i="3"/>
  <c r="E556" i="3"/>
  <c r="E497" i="3"/>
  <c r="E494" i="3"/>
  <c r="E452" i="3"/>
  <c r="E420" i="3"/>
  <c r="E104" i="3"/>
  <c r="E41" i="3"/>
  <c r="E198" i="3"/>
  <c r="E225" i="3"/>
  <c r="E281" i="3"/>
  <c r="E332" i="3"/>
  <c r="E356" i="3"/>
  <c r="E42" i="3"/>
  <c r="E75" i="3"/>
  <c r="E428" i="3"/>
  <c r="E412" i="3"/>
  <c r="E96" i="3"/>
  <c r="E129" i="3"/>
  <c r="E174" i="3"/>
  <c r="E220" i="3"/>
  <c r="E235" i="3"/>
  <c r="E383" i="3"/>
  <c r="E522" i="3"/>
  <c r="E86" i="3"/>
  <c r="E49" i="3"/>
  <c r="E232" i="3"/>
  <c r="E370" i="3"/>
  <c r="E80" i="3"/>
  <c r="E158" i="3"/>
  <c r="E22" i="3"/>
  <c r="E15" i="3"/>
  <c r="E36" i="3"/>
  <c r="E364" i="3"/>
  <c r="E176" i="3"/>
  <c r="E365" i="3"/>
  <c r="E539" i="3"/>
  <c r="E536" i="3"/>
  <c r="E148" i="3"/>
  <c r="E212" i="3"/>
  <c r="E199" i="3"/>
  <c r="E286" i="3"/>
  <c r="E575" i="3"/>
  <c r="E499" i="3"/>
  <c r="R6" i="3"/>
  <c r="E502" i="3"/>
  <c r="E442" i="3"/>
  <c r="E466" i="3"/>
  <c r="E541" i="3"/>
  <c r="E430" i="3"/>
  <c r="E449" i="3"/>
  <c r="E255" i="3"/>
  <c r="I3" i="6"/>
  <c r="AP6" i="3"/>
  <c r="E554" i="3"/>
  <c r="E517" i="3"/>
  <c r="E435" i="3"/>
  <c r="E491" i="3"/>
  <c r="E417" i="3"/>
  <c r="E479" i="3"/>
  <c r="E56" i="3"/>
  <c r="E95" i="3"/>
  <c r="E152" i="3"/>
  <c r="E132" i="3"/>
  <c r="E192" i="3"/>
  <c r="E258" i="3"/>
  <c r="E241" i="3"/>
  <c r="E292" i="3"/>
  <c r="E363" i="3"/>
  <c r="E349" i="3"/>
  <c r="E389" i="3"/>
  <c r="E544" i="3"/>
  <c r="E76" i="3"/>
  <c r="E59" i="3"/>
  <c r="E409" i="3"/>
  <c r="E425" i="3"/>
  <c r="E467" i="3"/>
  <c r="E46" i="3"/>
  <c r="E103" i="3"/>
  <c r="E160" i="3"/>
  <c r="E142" i="3"/>
  <c r="E200" i="3"/>
  <c r="E267" i="3"/>
  <c r="E249" i="3"/>
  <c r="E300" i="3"/>
  <c r="E371" i="3"/>
  <c r="E492" i="3"/>
  <c r="E23" i="3"/>
  <c r="E67" i="3"/>
  <c r="E144" i="3"/>
  <c r="E233" i="3"/>
  <c r="E355" i="3"/>
  <c r="E68" i="3"/>
  <c r="E81" i="3"/>
  <c r="E264" i="3"/>
  <c r="E283" i="3"/>
  <c r="E513" i="3"/>
  <c r="E484" i="3"/>
  <c r="E310" i="3"/>
  <c r="E33" i="3"/>
  <c r="E184" i="3"/>
  <c r="E381" i="3"/>
  <c r="E63" i="3"/>
  <c r="E118" i="3"/>
  <c r="E309" i="3"/>
  <c r="E21" i="3"/>
  <c r="E78" i="3"/>
  <c r="E308" i="3"/>
  <c r="E205" i="3"/>
  <c r="E197" i="3"/>
  <c r="E525" i="3"/>
  <c r="T6" i="3"/>
  <c r="E456" i="3"/>
  <c r="E408" i="3"/>
  <c r="E360" i="3"/>
  <c r="E13" i="3"/>
  <c r="E470" i="3"/>
  <c r="E26" i="3"/>
  <c r="E115" i="3"/>
  <c r="E139" i="3"/>
  <c r="E243" i="3"/>
  <c r="E391" i="3"/>
  <c r="AL6" i="3"/>
  <c r="E482" i="3"/>
  <c r="E18" i="3"/>
  <c r="E190" i="3"/>
  <c r="E275" i="3"/>
  <c r="E324" i="3"/>
  <c r="E342" i="3"/>
  <c r="E35" i="3"/>
  <c r="E34" i="3"/>
  <c r="E206" i="3"/>
  <c r="E251" i="3"/>
  <c r="AF6" i="3"/>
  <c r="E102" i="3"/>
  <c r="E113" i="3"/>
  <c r="E287" i="3"/>
  <c r="E326"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82" i="3"/>
  <c r="T36" i="71"/>
  <c r="D36" i="71"/>
  <c r="B11" i="71"/>
  <c r="B10" i="71" s="1"/>
  <c r="B9" i="71" s="1"/>
  <c r="B8" i="71" s="1"/>
  <c r="B7" i="71" s="1"/>
  <c r="B6" i="71" s="1"/>
  <c r="B5" i="71" s="1"/>
  <c r="S12" i="71"/>
  <c r="E94" i="3"/>
  <c r="E84" i="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D3" i="21"/>
  <c r="M18" i="9"/>
  <c r="B118" i="9" s="1"/>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F41" i="67"/>
  <c r="M27" i="15"/>
  <c r="M27" i="67"/>
  <c r="C48" i="67" l="1"/>
  <c r="L37" i="43"/>
  <c r="AB26" i="21"/>
  <c r="U26" i="21"/>
  <c r="F24" i="67"/>
  <c r="C24" i="67" s="1"/>
  <c r="F22" i="69"/>
  <c r="F41" i="69" s="1"/>
  <c r="O36" i="43"/>
  <c r="F24" i="15"/>
  <c r="C24" i="15" s="1"/>
  <c r="Q36" i="43"/>
  <c r="F22" i="68"/>
  <c r="C23" i="68" s="1"/>
  <c r="F25" i="12"/>
  <c r="C26" i="12" s="1"/>
  <c r="D25" i="12" s="1"/>
  <c r="N36" i="43"/>
  <c r="F22" i="11"/>
  <c r="C44" i="11" s="1"/>
  <c r="D41" i="11" s="1"/>
  <c r="M36" i="43"/>
  <c r="H6" i="3"/>
  <c r="E3" i="6"/>
  <c r="F69" i="67"/>
  <c r="AA10"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14" i="3"/>
  <c r="AY179" i="3"/>
  <c r="AY416" i="3"/>
  <c r="AY498" i="3"/>
  <c r="AY385" i="3"/>
  <c r="AY418" i="3"/>
  <c r="AY564" i="3"/>
  <c r="AY30" i="3"/>
  <c r="AY296" i="3"/>
  <c r="AY347" i="3"/>
  <c r="AY102" i="3"/>
  <c r="AY175" i="3"/>
  <c r="AY474" i="3"/>
  <c r="AY583" i="3"/>
  <c r="AY174" i="3"/>
  <c r="AY305" i="3"/>
  <c r="AY445" i="3"/>
  <c r="AY551" i="3"/>
  <c r="AY79" i="3"/>
  <c r="AY394" i="3"/>
  <c r="AY451" i="3"/>
  <c r="AY568" i="3"/>
  <c r="AY257" i="3"/>
  <c r="AY307" i="3"/>
  <c r="AY521" i="3"/>
  <c r="AY419" i="3"/>
  <c r="AY531" i="3"/>
  <c r="AY167" i="3"/>
  <c r="AY221" i="3"/>
  <c r="AY331" i="3"/>
  <c r="AY405" i="3"/>
  <c r="AY512" i="3"/>
  <c r="AY86" i="3"/>
  <c r="AY273" i="3"/>
  <c r="AY213" i="3"/>
  <c r="AY459" i="3"/>
  <c r="AY504" i="3"/>
  <c r="AY235" i="3"/>
  <c r="AY461" i="3"/>
  <c r="AY399" i="3"/>
  <c r="AY140" i="3"/>
  <c r="AY482" i="3"/>
  <c r="AY22" i="3"/>
  <c r="AY339" i="3"/>
  <c r="AY113" i="3"/>
  <c r="AY479" i="3"/>
  <c r="AY522" i="3"/>
  <c r="AY19" i="3"/>
  <c r="AY500" i="3"/>
  <c r="AY143" i="3"/>
  <c r="AY443" i="3"/>
  <c r="BT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19" i="3"/>
  <c r="AY256" i="3"/>
  <c r="AY367" i="3"/>
  <c r="AY306" i="3"/>
  <c r="BC6" i="3"/>
  <c r="AY122" i="3"/>
  <c r="AY304" i="3"/>
  <c r="AY548" i="3"/>
  <c r="AY421" i="3"/>
  <c r="AY208" i="3"/>
  <c r="AY250" i="3"/>
  <c r="AY505" i="3"/>
  <c r="AY151" i="3"/>
  <c r="AY200" i="3"/>
  <c r="AY313" i="3"/>
  <c r="AY27" i="3"/>
  <c r="AY550" i="3"/>
  <c r="AY321" i="3"/>
  <c r="AY537" i="3"/>
  <c r="AY216" i="3"/>
  <c r="AY528" i="3"/>
  <c r="AY288" i="3"/>
  <c r="AY64" i="3"/>
  <c r="AY361" i="3"/>
  <c r="AY402" i="3"/>
  <c r="BP6" i="3"/>
  <c r="AY315" i="3"/>
  <c r="AY71" i="3"/>
  <c r="AY38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36" i="3"/>
  <c r="AY584" i="3"/>
  <c r="AY519" i="3"/>
  <c r="AY80" i="3"/>
  <c r="AY189" i="3"/>
  <c r="AY129" i="3"/>
  <c r="AY266" i="3"/>
  <c r="AY369" i="3"/>
  <c r="AY487" i="3"/>
  <c r="AY453" i="3"/>
  <c r="AY410" i="3"/>
  <c r="AY579" i="3"/>
  <c r="D3" i="6"/>
  <c r="AY509" i="3"/>
  <c r="AY94" i="3"/>
  <c r="AY35" i="3"/>
  <c r="AY280" i="3"/>
  <c r="AY466" i="3"/>
  <c r="AY159" i="3"/>
  <c r="AY323" i="3"/>
  <c r="AY205" i="3"/>
  <c r="AY110" i="3"/>
  <c r="AY413" i="3"/>
  <c r="AY265" i="3"/>
  <c r="T40" i="71"/>
  <c r="D40" i="71"/>
  <c r="D116" i="43"/>
  <c r="AC6" i="3"/>
  <c r="E6" i="3" s="1"/>
  <c r="C16" i="71"/>
  <c r="D17"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4" i="67"/>
  <c r="C17" i="15"/>
  <c r="F41" i="68" l="1"/>
  <c r="D30" i="6"/>
  <c r="C44" i="68"/>
  <c r="D41" i="68" s="1"/>
  <c r="C26" i="69"/>
  <c r="D22" i="69" s="1"/>
  <c r="C44" i="69"/>
  <c r="D41" i="69" s="1"/>
  <c r="C26" i="68"/>
  <c r="D22" i="68" s="1"/>
  <c r="C26" i="11"/>
  <c r="D22" i="11" s="1"/>
  <c r="C23" i="11"/>
  <c r="D3" i="34"/>
  <c r="D37" i="11"/>
  <c r="D19" i="11"/>
  <c r="C19" i="11" s="1"/>
  <c r="D14" i="12"/>
  <c r="D17" i="12" s="1"/>
  <c r="C17" i="12" s="1"/>
  <c r="C17" i="4"/>
  <c r="A7" i="51" s="1"/>
  <c r="B7" i="72" s="1"/>
  <c r="D3" i="33"/>
  <c r="E6" i="6"/>
  <c r="D3" i="37"/>
  <c r="H22" i="6"/>
  <c r="H25" i="6"/>
  <c r="C15" i="71"/>
  <c r="T16" i="71"/>
  <c r="D16" i="71"/>
  <c r="U16"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F50" i="69"/>
  <c r="F50" i="11"/>
  <c r="F50" i="68"/>
  <c r="C4" i="52"/>
  <c r="B45" i="72" s="1"/>
  <c r="A10" i="51"/>
  <c r="B9"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B6" i="76"/>
  <c r="E6" i="76"/>
  <c r="D6" i="6" l="1"/>
  <c r="D10" i="68"/>
  <c r="D10" i="11"/>
  <c r="C10" i="11" s="1"/>
  <c r="D20" i="12"/>
  <c r="C20" i="12" s="1"/>
  <c r="C18" i="12" s="1"/>
  <c r="D10" i="69"/>
  <c r="C24" i="11"/>
  <c r="C20" i="11"/>
  <c r="B4" i="52"/>
  <c r="B43" i="72" s="1"/>
  <c r="B14" i="74"/>
  <c r="B1" i="74" s="1"/>
  <c r="D15" i="71"/>
  <c r="C14" i="7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28" i="11"/>
  <c r="C27" i="11" s="1"/>
  <c r="C25" i="11"/>
  <c r="C22" i="11" s="1"/>
  <c r="D19" i="68"/>
  <c r="C10" i="68"/>
  <c r="C10" i="69"/>
  <c r="C8" i="69" s="1"/>
  <c r="C5" i="69" s="1"/>
  <c r="C23" i="69" s="1"/>
  <c r="D19" i="69"/>
  <c r="C13" i="71"/>
  <c r="D14" i="71"/>
  <c r="F7" i="21"/>
  <c r="S7" i="21" s="1"/>
  <c r="J7" i="21"/>
  <c r="AC7" i="21" s="1"/>
  <c r="V48" i="21" s="1"/>
  <c r="I48" i="21" s="1"/>
  <c r="C23" i="67"/>
  <c r="C29"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C31" i="11"/>
  <c r="C19" i="68"/>
  <c r="D37" i="68"/>
  <c r="C37" i="68" s="1"/>
  <c r="C33" i="68" s="1"/>
  <c r="C39" i="68" s="1"/>
  <c r="C43" i="68" s="1"/>
  <c r="D37" i="69"/>
  <c r="C37" i="69" s="1"/>
  <c r="C33" i="69" s="1"/>
  <c r="C19" i="69"/>
  <c r="C24" i="69" s="1"/>
  <c r="J59" i="67"/>
  <c r="J60" i="67" s="1"/>
  <c r="Q48" i="67" s="1"/>
  <c r="C33" i="67"/>
  <c r="W7" i="21"/>
  <c r="AA7" i="21"/>
  <c r="R48" i="21" s="1"/>
  <c r="E48" i="21" s="1"/>
  <c r="D13" i="71"/>
  <c r="C12" i="7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M21" i="15"/>
  <c r="F35" i="15"/>
  <c r="C32" i="12" l="1"/>
  <c r="B2" i="12" s="1"/>
  <c r="B3" i="12" s="1"/>
  <c r="C46" i="68"/>
  <c r="C45" i="68" s="1"/>
  <c r="C42" i="68"/>
  <c r="C41" i="68" s="1"/>
  <c r="C49" i="68" s="1"/>
  <c r="C51" i="68" s="1"/>
  <c r="C42" i="69"/>
  <c r="C39" i="69"/>
  <c r="C20" i="69"/>
  <c r="C24" i="68"/>
  <c r="C20" i="68"/>
  <c r="AC7" i="35"/>
  <c r="V38" i="35" s="1"/>
  <c r="I38" i="35" s="1"/>
  <c r="R49" i="21"/>
  <c r="C49" i="21" s="1"/>
  <c r="C11" i="7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8" i="21"/>
  <c r="E52" i="21"/>
  <c r="F52" i="21" s="1"/>
  <c r="E53" i="21"/>
  <c r="F53" i="21" s="1"/>
  <c r="G42" i="35"/>
  <c r="H42" i="35" s="1"/>
  <c r="G43" i="35"/>
  <c r="H43" i="35" s="1"/>
  <c r="I53" i="21"/>
  <c r="J53" i="21" s="1"/>
  <c r="K65" i="40"/>
  <c r="L63" i="40"/>
  <c r="I42" i="35"/>
  <c r="J42" i="35" s="1"/>
  <c r="C28" i="69" l="1"/>
  <c r="C27" i="69" s="1"/>
  <c r="C25" i="69"/>
  <c r="C22" i="69" s="1"/>
  <c r="C43" i="69"/>
  <c r="C41" i="69" s="1"/>
  <c r="C46" i="69"/>
  <c r="C45" i="69" s="1"/>
  <c r="C28" i="68"/>
  <c r="C27" i="68" s="1"/>
  <c r="C25" i="68"/>
  <c r="C22" i="68" s="1"/>
  <c r="C10" i="7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31" i="69"/>
  <c r="C49" i="69"/>
  <c r="C51" i="69" s="1"/>
  <c r="C52" i="69" s="1"/>
  <c r="B2" i="69" s="1"/>
  <c r="B3" i="69" s="1"/>
  <c r="B2" i="68"/>
  <c r="B3" i="68" s="1"/>
  <c r="C57" i="68"/>
  <c r="C56" i="68" s="1"/>
  <c r="D10" i="7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57" i="69" l="1"/>
  <c r="C56" i="69" s="1"/>
  <c r="C102" i="9"/>
  <c r="C21" i="9"/>
  <c r="B3" i="21"/>
  <c r="C8" i="7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4"/>
  <c r="L51" i="15"/>
  <c r="D2" i="35"/>
  <c r="D2" i="36"/>
  <c r="D19" i="9"/>
  <c r="C103" i="9" l="1"/>
  <c r="D22" i="9"/>
  <c r="G19" i="9"/>
  <c r="G21" i="9" s="1"/>
  <c r="D102" i="9"/>
  <c r="D21" i="9"/>
  <c r="D8" i="71"/>
  <c r="C7"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6" i="1"/>
  <c r="D20" i="9"/>
  <c r="AO11" i="1"/>
  <c r="AO10" i="1"/>
  <c r="AO7" i="1"/>
  <c r="AO8" i="1"/>
  <c r="G20" i="9" l="1"/>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N60" i="9"/>
  <c r="N61" i="9"/>
  <c r="P57" i="9"/>
  <c r="N58" i="9"/>
  <c r="N59" i="9"/>
  <c r="I4" i="52"/>
  <c r="C105" i="9"/>
  <c r="B20" i="72"/>
  <c r="D52" i="9"/>
  <c r="D53" i="9"/>
  <c r="M48" i="9"/>
  <c r="C6" i="74"/>
  <c r="C78" i="9"/>
  <c r="C73" i="9"/>
  <c r="M54" i="9"/>
  <c r="C5" i="74"/>
  <c r="C104" i="9"/>
  <c r="H4" i="52"/>
  <c r="D8" i="52"/>
  <c r="B30" i="72"/>
  <c r="F119" i="9"/>
  <c r="F5" i="52"/>
  <c r="B53" i="72"/>
  <c r="H102" i="9"/>
  <c r="D7" i="53"/>
  <c r="B21" i="72"/>
  <c r="C68" i="9"/>
  <c r="D54" i="9"/>
  <c r="C67" i="9"/>
  <c r="D59" i="9"/>
  <c r="M55" i="9"/>
  <c r="H119" i="9"/>
  <c r="H5" i="52"/>
  <c r="C96" i="9"/>
  <c r="E96" i="9"/>
  <c r="E97" i="9"/>
  <c r="D4" i="52"/>
  <c r="B47" i="72"/>
  <c r="E4" i="52"/>
  <c r="B48" i="72"/>
  <c r="B49" i="72"/>
  <c r="D122" i="9"/>
  <c r="D123" i="9"/>
  <c r="D9" i="52"/>
  <c r="D55" i="9"/>
  <c r="M53" i="9"/>
  <c r="N57" i="9"/>
  <c r="F4" i="52"/>
  <c r="B51" i="72"/>
  <c r="F118" i="9"/>
  <c r="G118" i="9"/>
  <c r="G4" i="52"/>
  <c r="B52" i="72"/>
  <c r="C81" i="9"/>
  <c r="D5" i="53"/>
  <c r="D6" i="53"/>
  <c r="B22" i="72"/>
  <c r="D13" i="53"/>
  <c r="D14" i="53"/>
  <c r="B32" i="72"/>
  <c r="E118" i="9"/>
  <c r="D118" i="9"/>
  <c r="D119" i="9"/>
  <c r="D5" i="52"/>
  <c r="C64" i="9"/>
  <c r="C63" i="9"/>
  <c r="E81" i="9"/>
  <c r="C72" i="9"/>
  <c r="C79" i="9"/>
  <c r="C80" i="9"/>
  <c r="E80" i="9"/>
  <c r="H107" i="9"/>
  <c r="H108" i="9"/>
  <c r="D15" i="53"/>
  <c r="B31" i="72"/>
  <c r="C85" i="9"/>
  <c r="C95" i="9"/>
  <c r="C97" i="9"/>
  <c r="D58" i="9"/>
  <c r="D56" i="9"/>
  <c r="I118" i="9"/>
  <c r="H118" i="9"/>
  <c r="H101" i="9"/>
  <c r="D45" i="9"/>
  <c r="C93" i="9"/>
  <c r="C8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<sst xmlns="http://schemas.openxmlformats.org/spreadsheetml/2006/main" count="7887" uniqueCount="3459">
  <si>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</si>
  <si>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</si>
  <si>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</si>
  <si>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</si>
  <si>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</si>
  <si>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</si>
  <si>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</si>
  <si>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</si>
  <si>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</si>
  <si>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</si>
  <si>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</si>
  <si>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</si>
  <si>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</si>
  <si>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</si>
  <si>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</si>
  <si>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</si>
  <si>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</si>
  <si>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</si>
  <si>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</si>
  <si>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</si>
  <si>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</si>
  <si>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</si>
  <si>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</si>
  <si>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</si>
  <si>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</si>
  <si>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</si>
  <si>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</si>
  <si>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</si>
  <si>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</si>
  <si>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</si>
  <si>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</si>
  <si>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</si>
  <si>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</si>
  <si>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</si>
  <si>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</si>
  <si>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</si>
  <si>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</si>
  <si>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</si>
  <si>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</si>
  <si>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</si>
  <si>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</si>
  <si>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</si>
  <si>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</si>
  <si>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</si>
  <si>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</si>
  <si>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</si>
  <si>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</si>
  <si>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</si>
  <si>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</si>
  <si>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</si>
  <si>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</si>
  <si>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</si>
  <si>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</si>
  <si>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</si>
  <si>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</si>
  <si>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</si>
  <si>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</si>
  <si>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</si>
  <si>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</si>
  <si>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</si>
  <si>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</si>
  <si>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</si>
  <si>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</si>
  <si>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</si>
  <si>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</si>
  <si>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</si>
  <si>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</si>
  <si>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</si>
  <si>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</si>
  <si>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</si>
  <si>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</si>
  <si>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</si>
  <si>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</si>
  <si>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</si>
  <si>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</si>
  <si>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</si>
  <si>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</si>
  <si>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</si>
  <si>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</si>
  <si>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</si>
  <si>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</si>
  <si>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</si>
  <si>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</si>
  <si>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</si>
  <si>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</si>
  <si>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</si>
  <si>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</si>
  <si>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</si>
  <si>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</si>
  <si>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</si>
  <si>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</si>
  <si>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</si>
  <si>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</si>
  <si>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</si>
  <si>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</si>
  <si>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</si>
  <si>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</si>
  <si>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</si>
  <si>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</si>
  <si>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</si>
  <si>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</si>
  <si>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</si>
  <si>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</si>
  <si>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</si>
  <si>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</si>
  <si>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</si>
  <si>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</si>
  <si>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</si>
  <si>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</si>
  <si>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</si>
  <si>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</si>
  <si>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</si>
  <si>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</si>
  <si>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</si>
  <si>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</si>
  <si>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</si>
  <si>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</si>
  <si>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</si>
  <si>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</si>
  <si>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</si>
  <si>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</si>
  <si>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</si>
  <si>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</si>
  <si>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</si>
  <si>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</si>
  <si>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</si>
  <si>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</si>
  <si>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</si>
  <si>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</si>
  <si>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</si>
  <si>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</si>
  <si>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</si>
  <si>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</si>
  <si>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</si>
  <si>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</si>
  <si>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</si>
  <si>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</si>
  <si>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</si>
  <si>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</si>
  <si>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</si>
  <si>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</si>
  <si>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</si>
  <si>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</si>
  <si>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</si>
  <si>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</si>
  <si>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</si>
  <si>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</si>
  <si>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</si>
  <si>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</si>
  <si>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</si>
  <si>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</si>
  <si>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</si>
  <si>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</si>
  <si>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</si>
  <si>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</si>
  <si>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</si>
  <si>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</si>
  <si>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</si>
  <si>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</si>
  <si>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</si>
  <si>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</si>
  <si>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</si>
  <si>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</si>
  <si>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</si>
  <si>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</si>
  <si>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</si>
  <si>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</si>
  <si>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</si>
  <si>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</si>
  <si>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</si>
  <si>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</si>
  <si>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</si>
  <si>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</si>
  <si>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</si>
  <si>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</si>
  <si>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</si>
  <si>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</si>
  <si>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</si>
  <si>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</si>
  <si>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</si>
  <si>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</si>
  <si>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</si>
  <si>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</si>
  <si>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</si>
  <si>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</si>
  <si>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</si>
  <si>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</si>
  <si>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</si>
  <si>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</si>
  <si>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</si>
  <si>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</si>
  <si>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</si>
  <si>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</si>
  <si>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</si>
  <si>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</si>
  <si>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</si>
  <si>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</si>
  <si>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</si>
  <si>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</si>
  <si>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</si>
  <si>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</si>
  <si>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</si>
  <si>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</si>
  <si>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</si>
  <si>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</si>
  <si>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</si>
  <si>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</si>
  <si>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</si>
  <si>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</si>
  <si>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</si>
  <si>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</si>
  <si>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</si>
  <si>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</si>
  <si>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</si>
  <si>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</si>
  <si>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</si>
  <si>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</si>
  <si>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</si>
  <si>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</si>
  <si>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</si>
  <si>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</si>
  <si>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</si>
  <si>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</si>
  <si>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</si>
  <si>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</si>
  <si>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</si>
  <si>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</si>
  <si>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</si>
  <si>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</si>
  <si>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</si>
  <si>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</si>
  <si>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</si>
  <si>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</si>
  <si>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</si>
  <si>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</si>
  <si>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</si>
  <si>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</si>
  <si>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</si>
  <si>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</si>
  <si>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</si>
  <si>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</si>
  <si>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</si>
  <si>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</si>
  <si>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</si>
  <si>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</si>
  <si>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</si>
  <si>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</si>
  <si>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</si>
  <si>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</si>
  <si>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</si>
  <si>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</si>
  <si>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</si>
  <si>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</si>
  <si>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</si>
  <si>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</si>
  <si>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</si>
  <si>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</si>
  <si>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</si>
  <si>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</si>
  <si>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</si>
  <si>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</si>
  <si>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</si>
  <si>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</si>
  <si>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</si>
  <si>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</si>
  <si>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</si>
  <si>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</si>
  <si>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</si>
  <si>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</si>
  <si>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</si>
  <si>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</si>
  <si>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</si>
  <si>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</si>
  <si>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</si>
  <si>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</si>
  <si>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</si>
  <si>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</si>
  <si>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</si>
  <si>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</si>
  <si>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</si>
  <si>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</si>
  <si>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</si>
  <si>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</si>
  <si>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</si>
  <si>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</si>
  <si>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</si>
  <si>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</si>
  <si>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</si>
  <si>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</si>
  <si>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</si>
  <si>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</si>
  <si>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</si>
  <si>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</si>
  <si>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</si>
  <si>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</si>
  <si>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</si>
  <si>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</si>
  <si>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</si>
  <si>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</si>
  <si>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</si>
  <si>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</si>
  <si>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</si>
  <si>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</si>
  <si>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</si>
  <si>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</si>
  <si>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</si>
  <si>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</si>
  <si>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</si>
  <si>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</si>
  <si>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</si>
  <si>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</si>
  <si>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</si>
  <si>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</si>
  <si>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</si>
  <si>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</si>
  <si>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</si>
  <si>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</si>
  <si>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</si>
  <si>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</si>
  <si>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</si>
  <si>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</si>
  <si>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</si>
  <si>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</si>
  <si>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</si>
  <si>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</si>
  <si>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</si>
  <si>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</si>
  <si>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</si>
  <si>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</si>
  <si>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</si>
  <si>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</si>
  <si>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</si>
  <si>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</si>
  <si>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</si>
  <si>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</si>
  <si>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</si>
  <si>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</si>
  <si>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</si>
  <si>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</si>
  <si>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</si>
  <si>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</si>
  <si>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</si>
  <si>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</si>
  <si>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</si>
  <si>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</si>
  <si>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</si>
  <si>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</si>
  <si>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</si>
  <si>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</si>
  <si>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</si>
  <si>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</si>
  <si>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</si>
  <si>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</si>
  <si>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</si>
  <si>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</si>
  <si>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</si>
  <si>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</si>
  <si>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</si>
  <si>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</si>
  <si>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</si>
  <si>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</si>
  <si>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</si>
  <si>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</si>
  <si>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</si>
  <si>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</si>
  <si>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</si>
  <si>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</si>
  <si>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</si>
  <si>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</si>
  <si>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</si>
  <si>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</si>
  <si>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</si>
  <si>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</si>
  <si>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</si>
  <si>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</si>
  <si>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</si>
  <si>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</si>
  <si>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</si>
  <si>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</si>
  <si>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</si>
  <si>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</si>
  <si>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</si>
  <si>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</si>
  <si>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</si>
  <si>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</si>
  <si>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</si>
  <si>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</si>
  <si>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</si>
  <si>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</si>
  <si>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</si>
  <si>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</si>
  <si>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</si>
  <si>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</si>
  <si>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</si>
  <si>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</si>
  <si>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</si>
  <si>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</si>
  <si>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</si>
  <si>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</si>
  <si>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</si>
  <si>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</si>
  <si>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</si>
  <si>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</si>
  <si>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</si>
  <si>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</si>
  <si>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</si>
  <si>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</si>
  <si>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</si>
  <si>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</si>
  <si>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</si>
  <si>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</si>
  <si>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</si>
  <si>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</si>
  <si>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</si>
  <si>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</si>
  <si>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</si>
  <si>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</si>
  <si>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</si>
  <si>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</si>
  <si>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</si>
  <si>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</si>
  <si>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</si>
  <si>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</si>
  <si>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</si>
  <si>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</si>
  <si>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</si>
  <si>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</si>
  <si>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</si>
  <si>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</si>
  <si>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</si>
  <si>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</si>
  <si>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</si>
  <si>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</si>
  <si>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</si>
  <si>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</si>
  <si>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</si>
  <si>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</si>
  <si>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</si>
  <si>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</si>
  <si>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</si>
  <si>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</si>
  <si>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</si>
  <si>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</si>
  <si>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</si>
  <si>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</si>
  <si>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</si>
  <si>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</si>
  <si>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</si>
  <si>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</si>
  <si>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</si>
  <si>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</si>
  <si>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</si>
  <si>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</si>
  <si>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</si>
  <si>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</si>
  <si>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</si>
  <si>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</si>
  <si>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</si>
  <si>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</si>
  <si>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</si>
  <si>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</si>
  <si>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</si>
  <si>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</si>
  <si>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</si>
  <si>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</si>
  <si>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</si>
  <si>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</si>
  <si>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</si>
  <si>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</si>
  <si>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</si>
  <si>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</si>
  <si>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</si>
  <si>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</si>
  <si>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</si>
  <si>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</si>
  <si>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</si>
  <si>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</si>
  <si>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</si>
  <si>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</si>
  <si>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</si>
  <si>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</si>
  <si>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</si>
  <si>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</si>
  <si>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</si>
  <si>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</si>
  <si>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</si>
  <si>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</si>
  <si>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</si>
  <si>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</si>
  <si>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</si>
  <si>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</si>
  <si>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</si>
  <si>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</si>
  <si>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</si>
  <si>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</si>
  <si>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</si>
  <si>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</si>
  <si>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</si>
  <si>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</si>
  <si>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</si>
  <si>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</si>
  <si>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</si>
  <si>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</si>
  <si>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</si>
  <si>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</si>
  <si>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</si>
  <si>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</si>
  <si>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</si>
  <si>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</si>
  <si>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</si>
  <si>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</si>
  <si>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</si>
  <si>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</si>
  <si>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</si>
  <si>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</si>
  <si>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</si>
  <si>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</si>
  <si>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</si>
  <si>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</si>
  <si>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</si>
  <si>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</si>
  <si>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</si>
  <si>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</si>
  <si>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</si>
  <si>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</si>
  <si>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</si>
  <si>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</si>
  <si>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</si>
  <si>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</si>
  <si>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</si>
  <si>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</si>
  <si>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</si>
  <si>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</si>
  <si>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</si>
  <si>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</si>
  <si>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</si>
  <si>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</si>
  <si>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</si>
  <si>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</si>
  <si>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</si>
  <si>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</si>
  <si>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</si>
  <si>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</si>
  <si>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</si>
  <si>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</si>
  <si>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</si>
  <si>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</si>
  <si>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</si>
  <si>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</si>
  <si>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</si>
  <si>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</si>
  <si>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</si>
  <si>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</si>
  <si>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</si>
  <si>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</si>
  <si>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</si>
  <si>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</si>
  <si>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</si>
  <si>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</si>
  <si>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</si>
  <si>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</si>
  <si>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</si>
  <si>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</si>
  <si>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</si>
  <si>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</si>
  <si>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</si>
  <si>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</si>
  <si>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</si>
  <si>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</si>
  <si>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</si>
  <si>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</si>
  <si>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</si>
  <si>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</si>
  <si>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</si>
  <si>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</si>
  <si>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</si>
  <si>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</si>
  <si>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</si>
  <si>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</si>
  <si>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</si>
  <si>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</si>
  <si>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</si>
  <si>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</si>
  <si>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</si>
  <si>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</si>
  <si>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</si>
  <si>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</si>
  <si>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</si>
  <si>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</si>
  <si>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</si>
  <si>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</si>
  <si>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</si>
  <si>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</si>
  <si>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</si>
  <si>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</si>
  <si>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</si>
  <si>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</si>
  <si>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</si>
  <si>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</si>
  <si>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</si>
  <si>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</si>
  <si>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</si>
  <si>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</si>
  <si>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</si>
  <si>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</si>
  <si>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</si>
  <si>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</si>
  <si>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</si>
  <si>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</si>
  <si>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</si>
  <si>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</si>
  <si>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</si>
  <si>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</si>
  <si>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</si>
  <si>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</si>
  <si>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</si>
  <si>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</si>
  <si>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</si>
  <si>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</si>
  <si>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</si>
  <si>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</si>
  <si>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</si>
  <si>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</si>
  <si>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</si>
  <si>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</si>
  <si>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</si>
  <si>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</si>
  <si>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</si>
  <si>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</si>
  <si>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</si>
  <si>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</si>
  <si>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</si>
  <si>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</si>
  <si>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</si>
  <si>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</si>
  <si>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</si>
  <si>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</si>
  <si>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</si>
  <si>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</si>
  <si>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</si>
  <si>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</si>
  <si>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</si>
  <si>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</si>
  <si>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</si>
  <si>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</si>
  <si>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</si>
  <si>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</si>
  <si>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</si>
  <si>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</si>
  <si>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</si>
  <si>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</si>
  <si>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</si>
  <si>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</si>
  <si>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</si>
  <si>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</si>
  <si>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</si>
  <si>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</si>
  <si>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</si>
  <si>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</si>
  <si>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</si>
  <si>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</si>
  <si>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</si>
  <si>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</si>
  <si>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</si>
  <si>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</si>
  <si>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</si>
  <si>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</si>
  <si>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</si>
  <si>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</si>
  <si>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</si>
  <si>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</si>
  <si>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</si>
  <si>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</si>
  <si>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</si>
  <si>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</si>
  <si>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</si>
  <si>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</si>
  <si>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</si>
  <si>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</si>
  <si>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</si>
  <si>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</si>
  <si>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</si>
  <si>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</si>
  <si>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</si>
  <si>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</si>
  <si>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</si>
  <si>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</si>
  <si>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</si>
  <si>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</si>
  <si>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</si>
  <si>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</si>
  <si>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</si>
  <si>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</si>
  <si>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</si>
  <si>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</si>
  <si>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</si>
  <si>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</si>
  <si>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</si>
  <si>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</si>
  <si>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</si>
  <si>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</si>
  <si>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</si>
  <si>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</si>
  <si>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</si>
  <si>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</si>
  <si>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</si>
  <si>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</si>
  <si>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</si>
  <si>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</si>
  <si>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</si>
  <si>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</si>
  <si>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</si>
  <si>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</si>
  <si>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</si>
  <si>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</si>
  <si>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</si>
  <si>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</si>
  <si>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</si>
  <si>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</si>
  <si>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</si>
  <si>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</si>
  <si>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</si>
  <si>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</si>
  <si>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</si>
  <si>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</si>
  <si>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</si>
  <si>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</si>
  <si>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</si>
  <si>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</si>
  <si>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</si>
  <si>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</si>
  <si>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</si>
  <si>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</si>
  <si>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</si>
  <si>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</si>
  <si>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</si>
  <si>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</si>
  <si>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</si>
  <si>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</si>
  <si>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</si>
  <si>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</si>
  <si>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</si>
  <si>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</si>
  <si>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</si>
  <si>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</si>
  <si>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</si>
  <si>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</si>
  <si>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</si>
  <si>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</si>
  <si>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</si>
  <si>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</si>
  <si>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</si>
  <si>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</si>
  <si>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</si>
  <si>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</si>
  <si>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</si>
  <si>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</si>
  <si>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</si>
  <si>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</si>
  <si>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</si>
  <si>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</si>
  <si>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</si>
  <si>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</si>
  <si>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</si>
  <si>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</si>
  <si>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</si>
  <si>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</si>
  <si>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</si>
  <si>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</si>
  <si>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</si>
  <si>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</si>
  <si>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</si>
  <si>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</si>
  <si>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</si>
  <si>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</si>
  <si>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</si>
  <si>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</si>
  <si>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</si>
  <si>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</si>
  <si>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</si>
  <si>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</si>
  <si>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</si>
  <si>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</si>
  <si>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</si>
  <si>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</si>
  <si>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</si>
  <si>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</si>
  <si>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</si>
  <si>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</si>
  <si>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</si>
  <si>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</si>
  <si>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</si>
  <si>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</si>
  <si>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</si>
  <si>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</si>
  <si>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</si>
  <si>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</si>
  <si>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</si>
  <si>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</si>
  <si>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</si>
  <si>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</si>
  <si>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</si>
  <si>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</si>
  <si>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</si>
  <si>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</si>
  <si>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</si>
  <si>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</si>
  <si>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</si>
  <si>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</si>
  <si>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</si>
  <si>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</si>
  <si>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</si>
  <si>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</si>
  <si>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</si>
  <si>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</si>
  <si>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</si>
  <si>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</si>
  <si>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</si>
  <si>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</si>
  <si>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</si>
  <si>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</si>
  <si>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</si>
  <si>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</si>
  <si>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</si>
  <si>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</si>
  <si>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</si>
  <si>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</si>
  <si>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</si>
  <si>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</si>
  <si>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</si>
  <si>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</si>
  <si>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</si>
  <si>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</si>
  <si>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</si>
  <si>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</si>
  <si>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</si>
  <si>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</si>
  <si>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</si>
  <si>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</si>
  <si>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</si>
  <si>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</si>
  <si>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</si>
  <si>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</si>
  <si>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</si>
  <si>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</si>
  <si>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</si>
  <si>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</si>
  <si>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</si>
  <si>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</si>
  <si>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</si>
  <si>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</si>
  <si>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</si>
  <si>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</si>
  <si>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</si>
  <si>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</si>
  <si>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</si>
  <si>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</si>
  <si>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</si>
  <si>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</si>
  <si>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</si>
  <si>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</si>
  <si>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</si>
  <si>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</si>
  <si>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</si>
  <si>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</si>
  <si>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</si>
  <si>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</si>
  <si>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</si>
  <si>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</si>
  <si>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</si>
  <si>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</si>
  <si>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</si>
  <si>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</si>
  <si>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</si>
  <si>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</si>
  <si>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</si>
  <si>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</si>
  <si>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</si>
  <si>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</si>
  <si>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</si>
  <si>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</si>
  <si>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</si>
  <si>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</si>
  <si>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</si>
  <si>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</si>
  <si>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</si>
  <si>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</si>
  <si>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</si>
  <si>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</si>
  <si>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</si>
  <si>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</si>
  <si>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</si>
  <si>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</si>
  <si>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</si>
  <si>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</si>
  <si>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</si>
  <si>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</si>
  <si>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</si>
  <si>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</si>
  <si>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</si>
  <si>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</si>
  <si>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</si>
  <si>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</si>
  <si>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</si>
  <si>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</si>
  <si>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</si>
  <si>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</si>
  <si>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</si>
  <si>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</si>
  <si>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</si>
  <si>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</si>
  <si>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</si>
  <si>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</si>
  <si>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</si>
  <si>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</si>
  <si>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</si>
  <si>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</si>
  <si>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</si>
  <si>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</si>
  <si>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</si>
  <si>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</si>
  <si>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</si>
  <si>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</si>
  <si>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</si>
  <si>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</si>
  <si>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</si>
  <si>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</si>
  <si>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</si>
  <si>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</si>
  <si>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</si>
  <si>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</si>
  <si>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</si>
  <si>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</si>
  <si>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</si>
  <si>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</si>
  <si>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</si>
  <si>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</si>
  <si>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</si>
  <si>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</si>
  <si>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</si>
  <si>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</si>
  <si>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</si>
  <si>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</si>
  <si>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</si>
  <si>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</si>
  <si>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</si>
  <si>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</si>
  <si>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</si>
  <si>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</si>
  <si>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</si>
  <si>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</si>
  <si>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</si>
  <si>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</si>
  <si>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</si>
  <si>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</si>
  <si>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</si>
  <si>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</si>
  <si>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</si>
  <si>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</si>
  <si>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</si>
  <si>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</si>
  <si>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</si>
  <si>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</si>
  <si>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</si>
  <si>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</si>
  <si>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</si>
  <si>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</si>
  <si>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</si>
  <si>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</si>
  <si>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</si>
  <si>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</si>
  <si>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</si>
  <si>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</si>
  <si>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</si>
  <si>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</si>
  <si>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</si>
  <si>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</si>
  <si>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</si>
  <si>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</si>
  <si>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</si>
  <si>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</si>
  <si>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</si>
  <si>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</si>
  <si>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</si>
  <si>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</si>
  <si>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</si>
  <si>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</si>
  <si>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</si>
  <si>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</si>
  <si>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</si>
  <si>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</si>
  <si>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</si>
  <si>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</si>
  <si>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</si>
  <si>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</si>
  <si>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</si>
  <si>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</si>
  <si>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</si>
  <si>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</si>
  <si>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</si>
  <si>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</si>
  <si>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</si>
  <si>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</si>
  <si>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</si>
  <si>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</si>
  <si>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</si>
  <si>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</si>
  <si>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</si>
  <si>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</si>
  <si>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</si>
  <si>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</si>
  <si>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</si>
  <si>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</si>
  <si>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</si>
  <si>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</si>
  <si>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</si>
  <si>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</si>
  <si>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</si>
  <si>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</si>
  <si>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</si>
  <si>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</si>
  <si>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</si>
  <si>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</si>
  <si>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</si>
  <si>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</si>
  <si>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</si>
  <si>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</si>
  <si>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</si>
  <si>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</si>
  <si>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</si>
  <si>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</si>
  <si>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</si>
  <si>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</si>
  <si>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</si>
  <si>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</si>
  <si>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</si>
  <si>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</si>
  <si>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</si>
  <si>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</si>
  <si>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</si>
  <si>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</si>
  <si>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</si>
  <si>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</si>
  <si>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</si>
  <si>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</si>
  <si>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</si>
  <si>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</si>
  <si>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</si>
  <si>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</si>
  <si>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</si>
  <si>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</si>
  <si>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</si>
  <si>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</si>
  <si>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</si>
  <si>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</si>
  <si>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</si>
  <si>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</si>
  <si>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</si>
  <si>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</si>
  <si>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</si>
  <si>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</si>
  <si>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</si>
  <si>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</si>
  <si>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</si>
  <si>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</si>
  <si>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</si>
  <si>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</si>
  <si>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</si>
  <si>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</si>
  <si>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</si>
  <si>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</si>
  <si>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</si>
  <si>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</si>
  <si>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</si>
  <si>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</si>
  <si>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</si>
  <si>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</si>
  <si>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</si>
  <si>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</si>
  <si>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</si>
  <si>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</si>
  <si>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</si>
  <si>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</si>
  <si>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</si>
  <si>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</si>
  <si>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</si>
  <si>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</si>
  <si>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</si>
  <si>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</si>
  <si>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</si>
  <si>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</si>
  <si>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</si>
  <si>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</si>
  <si>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</si>
  <si>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</si>
  <si>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</si>
  <si>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</si>
  <si>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</si>
  <si>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</si>
  <si>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</si>
  <si>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</si>
  <si>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</si>
  <si>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</si>
  <si>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</si>
  <si>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</si>
  <si>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</si>
  <si>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</si>
  <si>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</si>
  <si>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</si>
  <si>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</si>
  <si>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</si>
  <si>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</si>
  <si>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</si>
  <si>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</si>
  <si>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</si>
  <si>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</si>
  <si>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</si>
  <si>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</si>
  <si>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</si>
  <si>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</si>
  <si>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</si>
  <si>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</si>
  <si>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</si>
  <si>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</si>
  <si>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</si>
  <si>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</si>
  <si>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</si>
  <si>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</si>
  <si>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</si>
  <si>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</si>
  <si>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</si>
  <si>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</si>
  <si>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</si>
  <si>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</si>
  <si>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</si>
  <si>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</si>
  <si>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</si>
  <si>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</si>
  <si>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</si>
  <si>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</si>
  <si>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</si>
  <si>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</si>
  <si>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</si>
  <si>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</si>
  <si>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</si>
  <si>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</si>
  <si>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</si>
  <si>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</si>
  <si>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</si>
  <si>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</si>
  <si>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</si>
  <si>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</si>
  <si>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</si>
  <si>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</si>
  <si>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</si>
  <si>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</si>
  <si>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</si>
  <si>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</si>
  <si>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</si>
  <si>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</si>
  <si>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</si>
  <si>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</si>
  <si>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</si>
  <si>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</si>
  <si>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</si>
  <si>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</si>
  <si>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</si>
  <si>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</si>
  <si>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</si>
  <si>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</si>
  <si>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</si>
  <si>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</si>
  <si>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</si>
  <si>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</si>
  <si>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</si>
  <si>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</si>
  <si>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</si>
  <si>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</si>
  <si>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</si>
  <si>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</si>
  <si>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</si>
  <si>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</si>
  <si>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</si>
  <si>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</si>
  <si>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</si>
  <si>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</si>
  <si>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</si>
  <si>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</si>
  <si>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</si>
  <si>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</si>
  <si>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</si>
  <si>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</si>
  <si>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</si>
  <si>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</si>
  <si>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</si>
  <si>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</si>
  <si>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</si>
  <si>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</si>
  <si>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</si>
  <si>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</si>
  <si>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</si>
  <si>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</si>
  <si>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</si>
  <si>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</si>
  <si>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</si>
  <si>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</si>
  <si>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</si>
  <si>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</si>
  <si>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</si>
  <si>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</si>
  <si>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</si>
  <si>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</si>
  <si>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</si>
  <si>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</si>
  <si>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</si>
  <si>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</si>
  <si>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</si>
  <si>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</si>
  <si>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</si>
  <si>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</si>
  <si>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</si>
  <si>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</si>
  <si>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</si>
  <si>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</si>
  <si>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</si>
  <si>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</si>
  <si>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</si>
  <si>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</si>
  <si>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</si>
  <si>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</si>
  <si>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</si>
  <si>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</si>
  <si>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</si>
  <si>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</si>
  <si>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</si>
  <si>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</si>
  <si>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</si>
  <si>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</si>
  <si>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</si>
  <si>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</si>
  <si>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</si>
  <si>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</si>
  <si>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</si>
  <si>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</si>
  <si>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</si>
  <si>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</si>
  <si>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</si>
  <si>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</si>
  <si>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</si>
  <si>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</si>
  <si>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</si>
  <si>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</si>
  <si>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</si>
  <si>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</si>
  <si>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</si>
  <si>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</si>
  <si>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</si>
  <si>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</si>
  <si>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</si>
  <si>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</si>
  <si>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</si>
  <si>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</si>
  <si>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</si>
  <si>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</si>
  <si>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</si>
  <si>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</si>
  <si>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</si>
  <si>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</si>
  <si>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</si>
  <si>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</si>
  <si>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</si>
  <si>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</si>
  <si>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</si>
  <si>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</si>
  <si>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</si>
  <si>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</si>
  <si>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</si>
  <si>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</si>
  <si>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</si>
  <si>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</si>
  <si>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</si>
  <si>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</si>
  <si>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</si>
  <si>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</si>
  <si>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</si>
  <si>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</si>
  <si>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</si>
  <si>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</si>
  <si>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</si>
  <si>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</si>
  <si>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</si>
  <si>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</si>
  <si>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</si>
  <si>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</si>
  <si>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</si>
  <si>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</si>
  <si>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</si>
  <si>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</si>
  <si>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</si>
  <si>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</si>
  <si>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</si>
  <si>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</si>
  <si>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</si>
  <si>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</si>
  <si>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</si>
  <si>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</si>
  <si>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</si>
  <si>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</si>
  <si>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</si>
  <si>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</si>
  <si>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</si>
  <si>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</si>
  <si>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</si>
  <si>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</si>
  <si>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</si>
  <si>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</si>
  <si>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</si>
  <si>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</si>
  <si>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</si>
  <si>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</si>
  <si>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</si>
  <si>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</si>
  <si>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</si>
  <si>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</si>
  <si>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</si>
  <si>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</si>
  <si>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</si>
  <si>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</si>
  <si>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</si>
  <si>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</si>
  <si>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</si>
  <si>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</si>
  <si>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</si>
  <si>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</si>
  <si>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</si>
  <si>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</si>
  <si>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</si>
  <si>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</si>
  <si>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</si>
  <si>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</si>
  <si>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</si>
  <si>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</si>
  <si>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</si>
  <si>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</si>
  <si>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</si>
  <si>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</si>
  <si>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</si>
  <si>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</si>
  <si>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</si>
  <si>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</si>
  <si>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</si>
  <si>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</si>
  <si>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</si>
  <si>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</si>
  <si>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</si>
  <si>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</si>
  <si>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</si>
  <si>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</si>
  <si>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</si>
  <si>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</si>
  <si>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</si>
  <si>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</si>
  <si>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</si>
  <si>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</si>
  <si>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</si>
  <si>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</si>
  <si>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</si>
  <si>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</si>
  <si>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</si>
  <si>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</si>
  <si>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</si>
  <si>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</si>
  <si>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</si>
  <si>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</si>
  <si>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</si>
  <si>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</si>
  <si>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</si>
  <si>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</si>
  <si>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</si>
  <si>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</si>
  <si>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</si>
  <si>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</si>
  <si>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</si>
  <si>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</si>
  <si>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</si>
  <si>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</si>
  <si>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</si>
  <si>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</si>
  <si>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</si>
  <si>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</si>
  <si>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</si>
  <si>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</si>
  <si>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</si>
  <si>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</si>
  <si>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</si>
  <si>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</si>
  <si>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</si>
  <si>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</si>
  <si>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</si>
  <si>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</si>
  <si>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</si>
  <si>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</si>
  <si>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</si>
  <si>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</si>
  <si>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</si>
  <si>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</si>
  <si>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</si>
  <si>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</si>
  <si>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</si>
  <si>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</si>
  <si>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</si>
  <si>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</si>
  <si>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</si>
  <si>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</si>
  <si>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</si>
  <si>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</si>
  <si>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</si>
  <si>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</si>
  <si>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</si>
  <si>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</si>
  <si>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</si>
  <si>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</si>
  <si>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</si>
  <si>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</si>
  <si>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</si>
  <si>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</si>
  <si>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</si>
  <si>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</si>
  <si>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</si>
  <si>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</si>
  <si>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</si>
  <si>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</si>
  <si>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</si>
  <si>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</si>
  <si>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</si>
  <si>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</si>
  <si>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</si>
  <si>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</si>
  <si>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</si>
  <si>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</si>
  <si>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</si>
  <si>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</si>
  <si>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</si>
  <si>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</si>
  <si>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</si>
  <si>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</si>
  <si>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</si>
  <si>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</si>
  <si>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</si>
  <si>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</si>
  <si>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</si>
  <si>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</si>
  <si>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</si>
  <si>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</si>
  <si>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</si>
  <si>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</si>
  <si>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</si>
  <si>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</si>
  <si>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</si>
  <si>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</si>
  <si>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</si>
  <si>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</si>
  <si>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</si>
  <si>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</si>
  <si>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</si>
  <si>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</si>
  <si>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</si>
  <si>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</si>
  <si>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</si>
  <si>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</si>
  <si>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</si>
  <si>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</si>
  <si>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</si>
  <si>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</si>
  <si>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</si>
  <si>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</si>
  <si>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</si>
  <si>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</si>
  <si>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</si>
  <si>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</si>
  <si>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</si>
  <si>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</si>
  <si>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</si>
  <si>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</si>
  <si>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</si>
  <si>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</si>
  <si>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</si>
  <si>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</si>
  <si>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</si>
  <si>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</si>
  <si>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</si>
  <si>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</si>
  <si>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</si>
  <si>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</si>
  <si>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</si>
  <si>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</si>
  <si>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</si>
  <si>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</si>
  <si>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</si>
  <si>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</si>
  <si>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</si>
  <si>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</si>
  <si>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</si>
  <si>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</si>
  <si>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</si>
  <si>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</si>
  <si>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</si>
  <si>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</si>
  <si>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</si>
  <si>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</si>
  <si>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</si>
  <si>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</si>
  <si>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</si>
  <si>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</si>
  <si>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</si>
  <si>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</si>
  <si>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</si>
  <si>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</si>
  <si>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</si>
  <si>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</si>
  <si>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</si>
  <si>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</si>
  <si>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</si>
  <si>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</si>
  <si>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</si>
  <si>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</si>
  <si>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</si>
  <si>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</si>
  <si>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</si>
  <si>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</si>
  <si>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</si>
  <si>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</si>
  <si>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</si>
  <si>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</si>
  <si>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</si>
  <si>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</si>
  <si>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</si>
  <si>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</si>
  <si>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</si>
  <si>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</si>
  <si>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</si>
  <si>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</si>
  <si>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</si>
  <si>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</si>
  <si>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</si>
  <si>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</si>
  <si>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</si>
  <si>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</si>
  <si>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</si>
  <si>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</si>
  <si>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</si>
  <si>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</si>
  <si>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</si>
  <si>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</si>
  <si>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</si>
  <si>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</si>
  <si>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</si>
  <si>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</si>
  <si>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</si>
  <si>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</si>
  <si>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</si>
  <si>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</si>
  <si>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</si>
  <si>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</si>
  <si>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</si>
  <si>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</si>
  <si>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</si>
  <si>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</si>
  <si>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</si>
  <si>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</si>
  <si>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</si>
  <si>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</si>
  <si>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</si>
  <si>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</si>
  <si>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</si>
  <si>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</si>
  <si>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</si>
  <si>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</si>
  <si>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</si>
  <si>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</si>
  <si>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</si>
  <si>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</si>
  <si>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</si>
  <si>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</si>
  <si>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</si>
  <si>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</si>
  <si>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</si>
  <si>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</si>
  <si>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</si>
  <si>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</si>
  <si>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</si>
  <si>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</si>
  <si>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</si>
  <si>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</si>
  <si>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</si>
  <si>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</si>
  <si>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</si>
  <si>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</si>
  <si>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</si>
  <si>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</si>
  <si>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</si>
  <si>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</si>
  <si>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</si>
  <si>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</si>
  <si>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</si>
  <si>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</si>
  <si>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</si>
  <si>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</si>
  <si>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</si>
  <si>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</si>
  <si>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</si>
  <si>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</si>
  <si>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</si>
  <si>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</si>
  <si>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</si>
  <si>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</si>
  <si>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</si>
  <si>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</si>
  <si>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</si>
  <si>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</si>
  <si>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</si>
  <si>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</si>
  <si>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</si>
  <si>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</si>
  <si>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</si>
  <si>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</si>
  <si>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</si>
  <si>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</si>
  <si>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</si>
  <si>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</si>
  <si>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</si>
  <si>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</si>
  <si>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</si>
  <si>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</si>
  <si>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</si>
  <si>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</si>
  <si>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</si>
  <si>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</si>
  <si>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</si>
  <si>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</si>
  <si>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</si>
  <si>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</si>
  <si>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</si>
  <si>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</si>
  <si>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</si>
  <si>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</si>
  <si>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</si>
  <si>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</si>
  <si>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</si>
  <si>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</si>
  <si>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</si>
  <si>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</si>
  <si>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</si>
  <si>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</si>
  <si>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</si>
  <si>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</si>
  <si>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</si>
  <si>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</si>
  <si>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</si>
  <si>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</si>
  <si>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</si>
  <si>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</si>
  <si>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</si>
  <si>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</si>
  <si>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</si>
  <si>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</si>
  <si>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</si>
  <si>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</si>
  <si>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</si>
  <si>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</si>
  <si>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</si>
  <si>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</si>
  <si>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</si>
  <si>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</si>
  <si>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</si>
  <si>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</si>
  <si>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</si>
  <si>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</si>
  <si>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</si>
  <si>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</si>
  <si>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</si>
  <si>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</si>
  <si>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</si>
  <si>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</si>
  <si>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</si>
  <si>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</si>
  <si>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</si>
  <si>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</si>
  <si>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</si>
  <si>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</si>
  <si>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</si>
  <si>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</si>
  <si>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</si>
  <si>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</si>
  <si>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</si>
  <si>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</si>
  <si>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</si>
  <si>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</si>
  <si>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</si>
  <si>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</si>
  <si>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</si>
  <si>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</si>
  <si>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</si>
  <si>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</si>
  <si>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</si>
  <si>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</si>
  <si>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</si>
  <si>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</si>
  <si>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</si>
  <si>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</si>
  <si>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</si>
  <si>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</si>
  <si>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</si>
  <si>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</si>
  <si>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</si>
  <si>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</si>
  <si>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</si>
  <si>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</si>
  <si>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</si>
  <si>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</si>
  <si>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</si>
  <si>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</si>
  <si>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</si>
  <si>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</si>
  <si>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</si>
  <si>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</si>
  <si>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</si>
  <si>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</si>
  <si>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</si>
  <si>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</si>
  <si>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</si>
  <si>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</si>
  <si>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</si>
  <si>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</si>
  <si>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</si>
  <si>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</si>
  <si>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</si>
  <si>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</si>
  <si>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</si>
  <si>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</si>
  <si>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</si>
  <si>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</si>
  <si>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</si>
  <si>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</si>
  <si>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</si>
  <si>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</si>
  <si>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</si>
  <si>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</si>
  <si>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</si>
  <si>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</si>
  <si>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</si>
  <si>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</si>
  <si>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</si>
  <si>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</si>
  <si>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</si>
  <si>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</si>
  <si>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</si>
  <si>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</si>
  <si>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</si>
  <si>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</si>
  <si>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</si>
  <si>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</si>
  <si>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</si>
  <si>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</si>
  <si>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</si>
  <si>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</si>
  <si>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</si>
  <si>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</si>
  <si>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</si>
  <si>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</si>
  <si>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</si>
  <si>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</si>
  <si>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</si>
  <si>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</si>
  <si>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</si>
  <si>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</si>
  <si>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</si>
  <si>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</si>
  <si>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</si>
  <si>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</si>
  <si>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</si>
  <si>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</si>
  <si>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</si>
  <si>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</si>
  <si>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</si>
  <si>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</si>
  <si>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</si>
  <si>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</si>
  <si>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</si>
  <si>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</si>
  <si>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</si>
  <si>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</si>
  <si>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</si>
  <si>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</si>
  <si>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</si>
  <si>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</si>
  <si>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</si>
  <si>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</si>
  <si>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</si>
  <si>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</si>
  <si>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</si>
  <si>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</si>
  <si>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</si>
  <si>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</si>
  <si>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</si>
  <si>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</si>
  <si>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</si>
  <si>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</si>
  <si>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</si>
  <si>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</si>
  <si>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</si>
  <si>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</si>
  <si>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</si>
  <si>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</si>
  <si>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</si>
  <si>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</si>
  <si>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</si>
  <si>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</si>
  <si>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</si>
  <si>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</si>
  <si>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</si>
  <si>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</si>
  <si>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</si>
  <si>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</si>
  <si>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</si>
  <si>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</si>
  <si>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</si>
  <si>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</si>
  <si>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</si>
  <si>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</si>
  <si>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</si>
  <si>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</si>
  <si>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</si>
  <si>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</si>
  <si>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</si>
  <si>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</si>
  <si>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</si>
  <si>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</si>
  <si>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</si>
  <si>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</si>
  <si>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</si>
  <si>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</si>
  <si>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</si>
  <si>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</si>
  <si>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</si>
  <si>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</si>
  <si>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</si>
  <si>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</si>
  <si>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</si>
  <si>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</si>
  <si>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</si>
  <si>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</si>
  <si>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</si>
  <si>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</si>
  <si>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</si>
  <si>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</si>
  <si>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</si>
  <si>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</si>
  <si>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</si>
  <si>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</si>
  <si>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</si>
  <si>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</si>
  <si>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</si>
  <si>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</si>
  <si>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</si>
  <si>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</si>
  <si>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</si>
  <si>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</si>
  <si>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</si>
  <si>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</si>
  <si>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</si>
  <si>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</si>
  <si>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</si>
  <si>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</si>
  <si>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</si>
  <si>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</si>
  <si>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</si>
  <si>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</si>
  <si>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</si>
  <si>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</si>
  <si>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</si>
  <si>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</si>
  <si>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</si>
  <si>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</si>
  <si>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</si>
  <si>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</si>
  <si>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</si>
  <si>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</si>
  <si>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</si>
  <si>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</si>
  <si>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</si>
  <si>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</si>
  <si>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</si>
  <si>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</si>
  <si>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</si>
  <si>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</si>
  <si>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</si>
  <si>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</si>
  <si>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</si>
  <si>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</si>
  <si>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</si>
  <si>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</si>
  <si>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</si>
  <si>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</si>
  <si>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</si>
  <si>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</si>
  <si>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</si>
  <si>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</si>
  <si>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</si>
  <si>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</si>
  <si>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</si>
  <si>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</si>
  <si>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</si>
  <si>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</si>
  <si>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</si>
  <si>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</si>
  <si>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</si>
  <si>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</si>
  <si>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</si>
  <si>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</si>
  <si>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</si>
  <si>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</si>
  <si>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</si>
  <si>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</si>
  <si>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</si>
  <si>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</si>
  <si>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</si>
  <si>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</si>
  <si>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</si>
  <si>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</si>
  <si>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</si>
  <si>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</si>
  <si>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</si>
  <si>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</si>
  <si>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</si>
  <si>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</si>
  <si>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</si>
  <si>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</si>
  <si>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</si>
  <si>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</si>
  <si>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</si>
  <si>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</si>
  <si>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</si>
  <si>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</si>
  <si>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</si>
  <si>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</si>
  <si>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</si>
  <si>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</si>
  <si>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</si>
  <si>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</si>
  <si>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</si>
  <si>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</si>
  <si>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</si>
  <si>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</si>
  <si>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</si>
  <si>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</si>
  <si>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</si>
  <si>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</si>
  <si>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</si>
  <si>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</si>
  <si>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</si>
  <si>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</si>
  <si>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</si>
  <si>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</si>
  <si>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</si>
  <si>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</si>
  <si>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</si>
  <si>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</si>
  <si>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</si>
  <si>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</si>
  <si>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</si>
  <si>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</si>
  <si>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</si>
  <si>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</si>
  <si>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</si>
  <si>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</si>
  <si>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</si>
  <si>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</si>
  <si>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</si>
  <si>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</si>
  <si>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</si>
  <si>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</si>
  <si>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</si>
  <si>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</si>
  <si>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</si>
  <si>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</si>
  <si>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</si>
  <si>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</si>
  <si>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</si>
  <si>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</si>
  <si>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</si>
  <si>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</si>
  <si>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</si>
  <si>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</si>
  <si>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</si>
  <si>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</si>
  <si>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</si>
  <si>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</si>
  <si>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</si>
  <si>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</si>
  <si>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</si>
  <si>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</si>
  <si>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</si>
  <si>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</si>
  <si>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</si>
  <si>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</si>
  <si>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</si>
  <si>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</si>
  <si>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</si>
  <si>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</si>
  <si>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</si>
  <si>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</si>
  <si>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</si>
  <si>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</si>
  <si>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</si>
  <si>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</si>
  <si>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</si>
  <si>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</si>
  <si>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</si>
  <si>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</si>
  <si>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</si>
  <si>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</si>
  <si>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</si>
  <si>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</si>
  <si>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</si>
  <si>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</si>
  <si>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</si>
  <si>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</si>
  <si>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</si>
  <si>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</si>
  <si>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</si>
  <si>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</si>
  <si>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</si>
  <si>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</si>
  <si>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</si>
  <si>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</si>
  <si>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</si>
  <si>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</si>
  <si>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</si>
  <si>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</si>
  <si>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</si>
  <si>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</si>
  <si>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</si>
  <si>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</si>
  <si>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</si>
  <si>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</si>
  <si>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</si>
  <si>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</si>
  <si>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</si>
  <si>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</si>
  <si>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</si>
  <si>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</si>
  <si>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</si>
  <si>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</si>
  <si>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</si>
  <si>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</si>
  <si>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</si>
  <si>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</si>
  <si>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</si>
  <si>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</si>
  <si>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</si>
  <si>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</si>
  <si>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</si>
  <si>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</si>
  <si>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</si>
  <si>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</si>
  <si>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</si>
  <si>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</si>
  <si>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</si>
  <si>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</si>
  <si>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</si>
  <si>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</si>
  <si>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</si>
  <si>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</si>
  <si>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</si>
  <si>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</si>
  <si>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</si>
  <si>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</si>
  <si>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</si>
  <si>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</si>
  <si>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</si>
  <si>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</si>
  <si>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</si>
  <si>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</si>
  <si>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</si>
  <si>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</si>
  <si>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</si>
  <si>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</si>
  <si>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</si>
  <si>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</si>
  <si>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</si>
  <si>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</si>
  <si>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</si>
  <si>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</si>
  <si>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</si>
  <si>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</si>
  <si>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</si>
  <si>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</si>
  <si>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</si>
  <si>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</si>
  <si>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</si>
  <si>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</si>
  <si>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</si>
  <si>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</si>
  <si>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</si>
  <si>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</si>
  <si>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</si>
  <si>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</si>
  <si>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</si>
  <si>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</si>
  <si>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</si>
  <si>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</si>
  <si>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</si>
  <si>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</si>
  <si>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</si>
  <si>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</si>
  <si>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</si>
  <si>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</si>
  <si>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</si>
  <si>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</si>
  <si>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</si>
  <si>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</si>
  <si>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</si>
  <si>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</si>
  <si>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</si>
  <si>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</si>
  <si>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</si>
  <si>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</si>
  <si>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</si>
  <si>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</si>
  <si>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</si>
  <si>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</si>
  <si>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</si>
  <si>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</si>
  <si>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</si>
  <si>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</si>
  <si>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</si>
  <si>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</si>
  <si>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</si>
  <si>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</si>
  <si>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</si>
  <si>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</si>
  <si>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</si>
  <si>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</si>
  <si>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</si>
  <si>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</si>
  <si>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</si>
  <si>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</si>
  <si>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</si>
  <si>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</si>
  <si>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</si>
  <si>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</si>
  <si>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</si>
  <si>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</si>
  <si>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</si>
  <si>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</si>
  <si>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</si>
  <si>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</si>
  <si>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</si>
  <si>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</si>
  <si>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</si>
  <si>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</si>
  <si>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</si>
  <si>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</si>
  <si>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</si>
  <si>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</si>
  <si>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</si>
  <si>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</si>
  <si>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</si>
  <si>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</si>
  <si>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</si>
  <si>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</si>
  <si>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</si>
  <si>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</si>
  <si>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</si>
  <si>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</si>
  <si>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</si>
  <si>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</si>
  <si>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</si>
  <si>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</si>
  <si>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</si>
  <si>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</si>
  <si>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</si>
  <si>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</si>
  <si>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</si>
  <si>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</si>
  <si>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</si>
  <si>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</si>
  <si>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</si>
  <si>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</si>
  <si>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</si>
  <si>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</si>
  <si>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</si>
  <si>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</si>
  <si>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</si>
  <si>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</si>
  <si>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</si>
  <si>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</si>
  <si>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</si>
  <si>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</si>
  <si>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</si>
  <si>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</si>
  <si>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</si>
  <si>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</si>
  <si>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</si>
  <si>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</si>
  <si>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</si>
  <si>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</si>
  <si>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</si>
  <si>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</si>
  <si>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</si>
  <si>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</si>
  <si>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</si>
  <si>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</si>
  <si>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</si>
  <si>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</si>
  <si>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</si>
  <si>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</si>
  <si>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</si>
  <si>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</si>
  <si>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</si>
  <si>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</si>
  <si>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</si>
  <si>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</si>
  <si>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</si>
  <si>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</si>
  <si>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</si>
  <si>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</si>
  <si>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</si>
  <si>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</si>
  <si>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</si>
  <si>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</si>
  <si>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</si>
  <si>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</si>
  <si>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</si>
  <si>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</si>
  <si>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</si>
  <si>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</si>
  <si>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</si>
  <si>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</si>
  <si>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</si>
  <si>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</si>
  <si>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</si>
  <si>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</si>
  <si>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</si>
  <si>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</si>
  <si>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</si>
  <si>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</si>
  <si>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</si>
  <si>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</si>
  <si>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</si>
  <si>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</si>
  <si>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</si>
  <si>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</si>
  <si>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</si>
  <si>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</si>
  <si>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</si>
  <si>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</si>
  <si>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</si>
  <si>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</si>
  <si>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</si>
  <si>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</si>
  <si>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</si>
  <si>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</si>
  <si>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</si>
  <si>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</si>
  <si>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</si>
  <si>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</si>
  <si>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</si>
  <si>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</si>
  <si>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</si>
  <si>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</si>
  <si>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</si>
  <si>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</si>
  <si>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</si>
  <si>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</si>
  <si>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</si>
  <si>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</si>
  <si>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</si>
  <si>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</si>
  <si>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</si>
  <si>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</si>
  <si>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</si>
  <si>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</si>
  <si>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</si>
  <si>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</si>
  <si>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</si>
  <si>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</si>
  <si>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</si>
  <si>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</si>
  <si>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</si>
  <si>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</si>
  <si>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</si>
  <si>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</si>
  <si>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</si>
  <si>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</si>
  <si>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</si>
  <si>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</si>
  <si>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</si>
  <si>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</si>
  <si>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</si>
  <si>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</si>
  <si>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</si>
  <si>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</si>
  <si>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</si>
  <si>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</si>
  <si>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</si>
  <si>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</si>
  <si>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</si>
  <si>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</si>
  <si>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</si>
  <si>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</si>
  <si>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</si>
  <si>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</si>
  <si>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</si>
  <si>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</si>
  <si>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</si>
  <si>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</si>
  <si>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</si>
  <si>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</si>
  <si>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</si>
  <si>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</si>
  <si>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</si>
  <si>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</si>
  <si>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</si>
  <si>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</si>
  <si>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</si>
  <si>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</si>
  <si>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</si>
  <si>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</si>
  <si>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</si>
  <si>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</si>
  <si>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</si>
  <si>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</si>
  <si>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</si>
  <si>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</si>
  <si>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</si>
  <si>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</si>
  <si>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</si>
  <si>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</si>
  <si>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</si>
  <si>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</si>
  <si>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</si>
  <si>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</si>
  <si>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</si>
  <si>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</si>
  <si>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</si>
  <si>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</si>
  <si>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</si>
  <si>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</si>
  <si>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</si>
  <si>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</si>
  <si>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</si>
  <si>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</si>
  <si>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</si>
  <si>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</si>
  <si>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</si>
  <si>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</si>
  <si>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</si>
  <si>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</si>
  <si>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</si>
  <si>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</si>
  <si>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</si>
  <si>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</si>
  <si>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</si>
  <si>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</si>
  <si>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</si>
  <si>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</si>
  <si>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</si>
  <si>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</si>
  <si>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</si>
  <si>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</si>
  <si>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</si>
  <si>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</si>
  <si>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</si>
  <si>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</si>
  <si>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</si>
  <si>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</si>
  <si>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</si>
  <si>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</si>
  <si>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</si>
  <si>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</si>
  <si>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</si>
  <si>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</si>
  <si>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</si>
  <si>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</si>
  <si>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</si>
  <si>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</si>
  <si>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</si>
  <si>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</si>
  <si>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</si>
  <si>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</si>
  <si>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</si>
  <si>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</si>
  <si>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</si>
  <si>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</si>
  <si>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</si>
  <si>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</si>
  <si>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</si>
  <si>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</si>
  <si>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</si>
  <si>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</si>
  <si>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</si>
  <si>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</si>
  <si>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</si>
  <si>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</si>
  <si>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</si>
  <si>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</si>
  <si>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</si>
  <si>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</si>
  <si>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</si>
  <si>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</si>
  <si>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</si>
  <si>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</si>
  <si>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</si>
  <si>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</si>
  <si>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</si>
  <si>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</si>
  <si>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</si>
  <si>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</si>
  <si>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</si>
  <si>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</si>
  <si>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</si>
  <si>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</si>
  <si>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</si>
  <si>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</si>
  <si>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</si>
  <si>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</si>
  <si>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</si>
  <si>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</si>
  <si>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</si>
  <si>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</si>
  <si>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</si>
  <si>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</si>
  <si>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</si>
  <si>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</si>
  <si>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</si>
  <si>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</si>
  <si>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</si>
  <si>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</si>
  <si>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</si>
  <si>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</si>
  <si>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</si>
  <si>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</si>
  <si>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</si>
  <si>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</si>
  <si>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</si>
  <si>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</si>
  <si>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</si>
  <si>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</si>
  <si>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</si>
  <si>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</si>
  <si>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</si>
  <si>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</si>
  <si>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</si>
  <si>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</si>
  <si>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</si>
  <si>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</si>
  <si>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</si>
  <si>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</si>
  <si>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</si>
  <si>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</si>
  <si>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</si>
  <si>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</si>
  <si>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</si>
  <si>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</si>
  <si>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</si>
  <si>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</si>
  <si>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</si>
  <si>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</si>
  <si>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</si>
  <si>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</si>
  <si>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</si>
  <si>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</si>
  <si>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</si>
  <si>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</si>
  <si>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</si>
  <si>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</si>
  <si>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</si>
  <si>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</si>
  <si>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</si>
  <si>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</si>
  <si>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</si>
  <si>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</si>
  <si>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</si>
  <si>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</si>
  <si>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</si>
  <si>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</si>
  <si>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</si>
  <si>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</si>
  <si>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</si>
  <si>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</si>
  <si>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</si>
  <si>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</si>
  <si>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</si>
  <si>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</si>
  <si>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</si>
  <si>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</si>
  <si>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</si>
  <si>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</si>
  <si>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</si>
  <si>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</si>
  <si>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</si>
  <si>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</si>
  <si>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</si>
  <si>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</si>
  <si>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</si>
  <si>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</si>
  <si>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</si>
  <si>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</si>
  <si>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</si>
  <si>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</si>
  <si>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</si>
  <si>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</si>
  <si>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</si>
  <si>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</si>
  <si>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</si>
  <si>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</si>
  <si>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</si>
  <si>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</si>
  <si>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</si>
  <si>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</si>
  <si>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</si>
  <si>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</si>
  <si>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</si>
  <si>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</si>
  <si>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</si>
  <si>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</si>
  <si>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</si>
  <si>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</si>
  <si>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</si>
  <si>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</si>
  <si>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</si>
  <si>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</si>
  <si>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</si>
  <si>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</si>
  <si>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</si>
  <si>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</si>
  <si>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</si>
  <si>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</si>
  <si>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</si>
  <si>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</si>
  <si>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</si>
  <si>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</si>
  <si>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</si>
  <si>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</si>
  <si>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</si>
  <si>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</si>
  <si>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</si>
  <si>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</si>
  <si>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</si>
  <si>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</si>
  <si>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</si>
  <si>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</si>
  <si>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</si>
  <si>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</si>
  <si>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</si>
  <si>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</si>
  <si>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</si>
  <si>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</si>
  <si>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</si>
  <si>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</si>
  <si>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</si>
  <si>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</si>
  <si>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</si>
  <si>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</si>
  <si>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</si>
  <si>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</si>
  <si>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</si>
  <si>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</si>
  <si>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</si>
  <si>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</si>
  <si>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</si>
  <si>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</si>
  <si>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</si>
  <si>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</si>
  <si>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</si>
  <si>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</si>
  <si>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</si>
  <si>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</si>
  <si>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</si>
  <si>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</si>
  <si>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</si>
  <si>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</si>
  <si>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</si>
  <si>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</si>
  <si>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</si>
  <si>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</si>
  <si>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</si>
  <si>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</si>
  <si>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</si>
  <si>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</si>
  <si>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</si>
  <si>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</si>
  <si>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</si>
  <si>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</si>
  <si>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</si>
  <si>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</si>
  <si>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</si>
  <si>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</si>
  <si>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</si>
  <si>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</si>
  <si>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</si>
  <si>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</si>
  <si>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</si>
  <si>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</si>
  <si>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</si>
  <si>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</si>
  <si>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</si>
  <si>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</si>
  <si>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</si>
  <si>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</si>
  <si>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</si>
  <si>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</si>
  <si>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</si>
  <si>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</si>
  <si>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</si>
  <si>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</si>
  <si>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</si>
  <si>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</si>
  <si>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</si>
  <si>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</si>
  <si>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</si>
  <si>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</si>
  <si>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</si>
  <si>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</si>
  <si>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</si>
  <si>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</si>
  <si>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</si>
  <si>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</si>
  <si>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</si>
  <si>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</si>
  <si>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</si>
  <si>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</si>
  <si>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</si>
  <si>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</si>
  <si>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</si>
  <si>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</si>
  <si>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</si>
  <si>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</si>
  <si>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</si>
  <si>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</si>
  <si>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</si>
  <si>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</si>
  <si>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</si>
  <si>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</si>
  <si>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</si>
  <si>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</si>
  <si>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</si>
  <si>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</si>
  <si>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</si>
  <si>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</si>
  <si>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</si>
  <si>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</si>
  <si>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</si>
  <si>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</si>
  <si>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</si>
  <si>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</si>
  <si>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</si>
  <si>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</si>
  <si>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</si>
  <si>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</si>
  <si>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</si>
  <si>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</si>
  <si>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</si>
  <si>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</si>
  <si>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</si>
  <si>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</si>
  <si>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</si>
  <si>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</si>
  <si>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</si>
  <si>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</si>
  <si>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</si>
  <si>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</si>
  <si>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</si>
  <si>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</si>
  <si>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</si>
  <si>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</si>
  <si>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</si>
  <si>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</si>
  <si>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</si>
  <si>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</si>
  <si>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</si>
  <si>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</si>
  <si>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</si>
  <si>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</si>
  <si>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</si>
  <si>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</si>
  <si>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</si>
  <si>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</si>
  <si>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</si>
  <si>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</si>
  <si>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</si>
  <si>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</si>
  <si>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</si>
  <si>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</si>
  <si>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</si>
  <si>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</si>
  <si>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</si>
  <si>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</si>
  <si>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</si>
  <si>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</si>
  <si>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</si>
  <si>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</si>
  <si>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</si>
  <si>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</si>
  <si>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</si>
  <si>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</si>
  <si>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</si>
  <si>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</si>
  <si>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</si>
  <si>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</si>
  <si>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</si>
  <si>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</si>
  <si>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</si>
  <si>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</si>
  <si>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</si>
  <si>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</si>
  <si>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</si>
  <si>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</si>
  <si>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</si>
  <si>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</si>
  <si>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</si>
  <si>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</si>
  <si>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</si>
  <si>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</si>
  <si>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</si>
  <si>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</si>
  <si>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</si>
  <si>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</si>
  <si>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</si>
  <si>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</si>
  <si>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</si>
  <si>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</si>
  <si>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</si>
  <si>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</si>
  <si>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</si>
  <si>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</si>
  <si>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</si>
  <si>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</si>
  <si>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</si>
  <si>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</si>
  <si>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</si>
  <si>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</si>
  <si>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</si>
  <si>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</si>
  <si>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</si>
  <si>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</si>
  <si>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</si>
  <si>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</si>
  <si>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</si>
  <si>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</si>
  <si>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</si>
  <si>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</si>
  <si>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</si>
  <si>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</si>
  <si>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</si>
  <si>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</si>
  <si>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</si>
  <si>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</si>
  <si>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</si>
  <si>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</si>
  <si>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</si>
  <si>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</si>
  <si>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</si>
  <si>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</si>
  <si>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</si>
  <si>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</si>
  <si>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</si>
  <si>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</si>
  <si>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</si>
  <si>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</si>
  <si>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</si>
  <si>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</si>
  <si>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</si>
  <si>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</si>
  <si>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</si>
  <si>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</si>
  <si>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</si>
  <si>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</si>
  <si>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</si>
  <si>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</si>
  <si>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</si>
  <si>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</si>
  <si>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</si>
  <si>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</si>
  <si>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</si>
  <si>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</si>
  <si>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</si>
  <si>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</si>
  <si>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</si>
  <si>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</si>
  <si>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</si>
  <si>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</si>
  <si>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</si>
  <si>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</si>
  <si>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</si>
  <si>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</si>
  <si>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</si>
  <si>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</si>
  <si>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</si>
  <si>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</si>
  <si>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</si>
  <si>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</si>
  <si>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</si>
  <si>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</si>
  <si>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</si>
  <si>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</si>
  <si>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</si>
  <si>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</si>
  <si>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</si>
  <si>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</si>
  <si>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</si>
  <si>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</si>
  <si>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</si>
  <si>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</si>
  <si>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</si>
  <si>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</si>
  <si>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</si>
  <si>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</si>
  <si>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</si>
  <si>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</si>
  <si>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</si>
  <si>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</si>
  <si>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</si>
  <si>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</si>
  <si>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</si>
  <si>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</si>
  <si>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</si>
  <si>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</si>
  <si>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</si>
  <si>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</si>
  <si>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</si>
  <si>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</si>
  <si>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</si>
  <si>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</si>
  <si>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</si>
  <si>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</si>
  <si>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</si>
  <si>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</si>
  <si>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</si>
  <si>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</si>
  <si>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</si>
  <si>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</si>
  <si>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</si>
  <si>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</si>
  <si>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</si>
  <si>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</si>
  <si>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</si>
  <si>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</si>
  <si>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</si>
  <si>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</si>
  <si>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</si>
  <si>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</si>
  <si>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</si>
  <si>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</si>
  <si>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</si>
  <si>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</si>
  <si>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</si>
  <si>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</si>
  <si>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</si>
  <si>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</si>
  <si>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</si>
  <si>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</si>
  <si>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</si>
  <si>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</si>
  <si>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</si>
  <si>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</si>
  <si>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</si>
  <si>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</si>
  <si>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</si>
  <si>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</si>
  <si>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</si>
  <si>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</si>
  <si>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</si>
  <si>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</si>
  <si>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</si>
  <si>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</si>
  <si>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</si>
  <si>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</si>
  <si>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</si>
  <si>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</si>
  <si>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</si>
  <si>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</si>
  <si>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</si>
  <si>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</si>
  <si>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</si>
  <si>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</si>
  <si>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</si>
  <si>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</si>
  <si>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</si>
  <si>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</si>
  <si>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</si>
  <si>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</si>
  <si>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</si>
  <si>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</si>
  <si>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</si>
  <si>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</si>
  <si>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</si>
  <si>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</si>
  <si>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</si>
  <si>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</si>
  <si>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</si>
  <si>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</si>
  <si>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</si>
  <si>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</si>
  <si>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</si>
  <si>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</si>
  <si>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</si>
  <si>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</si>
  <si>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</si>
  <si>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</si>
  <si>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</si>
  <si>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</si>
  <si>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</si>
  <si>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</si>
  <si>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</si>
  <si>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</si>
  <si>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</si>
  <si>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</si>
  <si>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</si>
  <si>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</si>
  <si>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</si>
  <si>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</si>
  <si>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</si>
  <si>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</si>
  <si>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</si>
  <si>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</si>
  <si>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</si>
  <si>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</si>
  <si>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</si>
  <si>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</si>
  <si>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</si>
  <si>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</si>
  <si>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</si>
  <si>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</si>
  <si>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</si>
  <si>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</si>
  <si>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</si>
  <si>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</si>
  <si>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</si>
  <si>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</si>
  <si>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</si>
  <si>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</si>
  <si>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</si>
  <si>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</si>
  <si>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</si>
  <si>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</si>
  <si>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</si>
  <si>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</si>
  <si>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</si>
  <si>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</si>
  <si>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</si>
  <si>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</si>
  <si>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</si>
  <si>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</si>
  <si>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</si>
  <si>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</si>
  <si>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</si>
  <si>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</si>
  <si>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</si>
  <si>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</si>
  <si>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</si>
  <si>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</si>
  <si>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</si>
  <si>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</si>
  <si>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</si>
  <si>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</si>
  <si>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</si>
  <si>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</si>
  <si>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</si>
  <si>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</si>
  <si>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</si>
  <si>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</si>
  <si>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</si>
  <si>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</si>
  <si>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</si>
  <si>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</si>
  <si>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</si>
  <si>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</si>
  <si>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</si>
  <si>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</si>
  <si>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</si>
  <si>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</si>
  <si>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</si>
  <si>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</si>
  <si>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</si>
  <si>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</si>
  <si>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</si>
  <si>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</si>
  <si>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</si>
  <si>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</si>
  <si>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</si>
  <si>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</si>
  <si>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</si>
  <si>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</si>
  <si>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</si>
  <si>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</si>
  <si>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</si>
  <si>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</si>
  <si>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</si>
  <si>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</si>
  <si>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</si>
  <si>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</si>
  <si>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</si>
  <si>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</si>
  <si>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</si>
  <si>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</si>
  <si>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</si>
  <si>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</si>
  <si>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</si>
  <si>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</si>
  <si>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</si>
  <si>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</si>
  <si>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</si>
  <si>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</si>
  <si>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</si>
  <si>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</si>
  <si>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</si>
  <si>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</si>
  <si>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</si>
  <si>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</si>
  <si>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</si>
  <si>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</si>
  <si>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</si>
  <si>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</si>
  <si>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</si>
  <si>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</si>
  <si>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</si>
  <si>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</si>
  <si>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</si>
  <si>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</si>
  <si>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</si>
  <si>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</si>
  <si>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</si>
  <si>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</si>
  <si>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</si>
  <si>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</si>
  <si>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</si>
  <si>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</si>
  <si>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</si>
  <si>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</si>
  <si>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</si>
  <si>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</si>
  <si>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</si>
  <si>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</si>
  <si>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</si>
  <si>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</si>
  <si>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</si>
  <si>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</si>
  <si>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</si>
  <si>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</si>
  <si>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</si>
  <si>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</si>
  <si>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</si>
  <si>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</si>
  <si>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</si>
  <si>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</si>
  <si>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</si>
  <si>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</si>
  <si>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</si>
  <si>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</si>
  <si>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</si>
  <si>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</si>
  <si>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</si>
  <si>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</si>
  <si>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</si>
  <si>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</si>
  <si>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</si>
  <si>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</si>
  <si>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</si>
  <si>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</si>
  <si>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</si>
  <si>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</si>
  <si>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</si>
  <si>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</si>
  <si>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</si>
  <si>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</si>
  <si>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</si>
  <si>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</si>
  <si>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</si>
  <si>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</si>
  <si>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</si>
  <si>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</si>
  <si>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</si>
  <si>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</si>
  <si>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</si>
  <si>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</si>
  <si>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</si>
  <si>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</si>
  <si>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</si>
  <si>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</si>
  <si>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</si>
  <si>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</si>
  <si>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</si>
  <si>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</si>
  <si>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</si>
  <si>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</si>
  <si>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</si>
  <si>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</si>
  <si>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</si>
  <si>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</si>
  <si>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</si>
  <si>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</si>
  <si>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</si>
  <si>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</si>
  <si>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</si>
  <si>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</si>
  <si>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</si>
  <si>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</si>
  <si>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</si>
  <si>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</si>
  <si>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</si>
  <si>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</si>
  <si>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</si>
  <si>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</si>
  <si>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</si>
  <si>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</si>
  <si>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</si>
  <si>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</si>
  <si>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</si>
  <si>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</si>
  <si>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</si>
  <si>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</si>
  <si>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</si>
  <si>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</si>
  <si>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</si>
  <si>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</si>
  <si>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</si>
  <si>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</si>
  <si>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</si>
  <si>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</si>
  <si>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</si>
  <si>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</si>
  <si>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</si>
  <si>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</si>
  <si>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</si>
  <si>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</si>
  <si>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</si>
  <si>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</si>
  <si>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</si>
  <si>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</si>
  <si>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</si>
  <si>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</si>
  <si>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</si>
  <si>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</si>
  <si>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</si>
  <si>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</si>
  <si>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</si>
  <si>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</si>
  <si>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</si>
  <si>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</si>
  <si>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</si>
  <si>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</si>
  <si>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</si>
  <si>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</si>
  <si>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</si>
  <si>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</si>
  <si>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</si>
  <si>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</si>
  <si>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</si>
  <si>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</si>
  <si>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</si>
  <si>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</si>
  <si>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</si>
  <si>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</si>
  <si>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</si>
  <si>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</si>
  <si>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</si>
  <si>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</si>
  <si>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</si>
  <si>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</si>
  <si>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</si>
  <si>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</si>
  <si>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</si>
  <si>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</si>
  <si>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</si>
  <si>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</si>
  <si>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</si>
  <si>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</si>
  <si>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</si>
  <si>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</si>
  <si>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</si>
  <si>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</si>
  <si>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</si>
  <si>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</si>
  <si>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</si>
  <si>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</si>
  <si>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</si>
  <si>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</si>
  <si>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</si>
  <si>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</si>
  <si>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</si>
  <si>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</si>
  <si>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</si>
  <si>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</si>
  <si>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</si>
  <si>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</si>
  <si>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</si>
  <si>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</si>
  <si>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</si>
  <si>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</si>
  <si>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</si>
  <si>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</si>
  <si>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</si>
  <si>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</si>
  <si>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</si>
  <si>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</si>
  <si>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</si>
  <si>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</si>
  <si>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</si>
  <si>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</si>
  <si>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</si>
  <si>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</si>
  <si>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</si>
  <si>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</si>
  <si>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</si>
  <si>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</si>
  <si>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</si>
  <si>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</si>
  <si>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</si>
  <si>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</si>
  <si>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</si>
  <si>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</si>
  <si>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</si>
  <si>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</si>
  <si>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</si>
  <si>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</si>
  <si>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</si>
  <si>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</si>
  <si>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</si>
  <si>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</si>
  <si>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</si>
  <si>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</si>
  <si>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</si>
  <si>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</si>
  <si>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</si>
  <si>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</si>
  <si>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</si>
  <si>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</si>
  <si>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</si>
  <si>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</si>
  <si>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</si>
  <si>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</si>
  <si>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</si>
  <si>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</si>
  <si>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</si>
  <si>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</si>
  <si>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</si>
  <si>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</si>
  <si>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</si>
  <si>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</si>
  <si>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</si>
  <si>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</si>
  <si>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</si>
  <si>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</si>
  <si>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</si>
  <si>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</si>
  <si>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</si>
  <si>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</si>
  <si>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</si>
  <si>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</si>
  <si>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</si>
  <si>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</si>
  <si>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</si>
  <si>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</si>
  <si>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</si>
  <si>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</si>
  <si>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</si>
  <si>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</si>
  <si>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</si>
  <si>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</si>
  <si>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</si>
  <si>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</si>
  <si>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</si>
  <si>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</si>
  <si>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</si>
  <si>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</si>
  <si>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</si>
  <si>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</si>
  <si>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</si>
  <si>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</si>
  <si>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</si>
  <si>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</si>
  <si>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</si>
  <si>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</si>
  <si>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</si>
  <si>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</si>
  <si>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</si>
  <si>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</si>
  <si>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</si>
  <si>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</si>
  <si>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</si>
  <si>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</si>
  <si>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</si>
  <si>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</si>
  <si>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</si>
  <si>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</si>
  <si>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</si>
  <si>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</si>
  <si>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</si>
  <si>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</si>
  <si>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</si>
  <si>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</si>
  <si>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</si>
  <si>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</si>
  <si>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</si>
  <si>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</si>
  <si>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</si>
  <si>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</si>
  <si>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</si>
  <si>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</si>
  <si>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</si>
  <si>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</si>
  <si>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</si>
  <si>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</si>
  <si>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</si>
  <si>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</si>
  <si>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</si>
  <si>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</si>
  <si>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</si>
  <si>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</si>
  <si>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</si>
  <si>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</si>
  <si>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</si>
  <si>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</si>
  <si>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</si>
  <si>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</si>
  <si>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</si>
  <si>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</si>
  <si>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</si>
  <si>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</si>
  <si>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</si>
  <si>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</si>
  <si>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</si>
  <si>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</si>
  <si>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</si>
  <si>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</si>
  <si>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</si>
  <si>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</si>
  <si>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</si>
  <si>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</si>
  <si>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</si>
  <si>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</si>
  <si>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</si>
  <si>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</si>
  <si>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</si>
  <si>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</si>
  <si>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</si>
  <si>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</si>
  <si>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</si>
  <si>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</si>
  <si>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</si>
  <si>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</si>
  <si>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</si>
  <si>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</si>
  <si>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</si>
  <si>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</si>
  <si>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</si>
  <si>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</si>
  <si>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</si>
  <si>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</si>
  <si>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</si>
  <si>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</si>
  <si>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</si>
  <si>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</si>
  <si>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</si>
  <si>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</si>
  <si>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</si>
  <si>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</si>
  <si>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</si>
  <si>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</si>
  <si>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</si>
  <si>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</si>
  <si>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</si>
  <si>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</si>
  <si>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</si>
  <si>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</si>
  <si>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</si>
  <si>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北京市</t>
  </si>
  <si>
    <t>房地产市场价值</t>
  </si>
  <si>
    <t>是</t>
  </si>
  <si>
    <t>地上</t>
  </si>
  <si>
    <t>住宅</t>
  </si>
  <si>
    <t>住宅</t>
    <phoneticPr fontId="7" type="noConversion"/>
  </si>
  <si>
    <t>利息：取LPR加浮动点数</t>
  </si>
  <si>
    <t>成新度</t>
  </si>
  <si>
    <t>非生产用房</t>
  </si>
  <si>
    <t>小区</t>
  </si>
  <si>
    <t>平米租金(元/㎡·月)</t>
  </si>
  <si>
    <t>收益法 (元)</t>
  </si>
  <si>
    <t>押一</t>
  </si>
  <si>
    <t>单套模式</t>
  </si>
  <si>
    <t>售价</t>
  </si>
  <si>
    <t>正常</t>
  </si>
  <si>
    <t>住宅</t>
    <phoneticPr fontId="24" type="noConversion"/>
  </si>
  <si>
    <t>钢混</t>
    <phoneticPr fontId="24" type="noConversion"/>
  </si>
  <si>
    <t>普装</t>
  </si>
  <si>
    <t>普装</t>
    <phoneticPr fontId="24" type="noConversion"/>
  </si>
  <si>
    <t>物业公司管理</t>
  </si>
  <si>
    <t>物业公司管理</t>
    <phoneticPr fontId="24" type="noConversion"/>
  </si>
  <si>
    <t>七通</t>
  </si>
  <si>
    <t>七通</t>
    <phoneticPr fontId="24" type="noConversion"/>
  </si>
  <si>
    <t>平层</t>
  </si>
  <si>
    <t>平层</t>
    <phoneticPr fontId="24" type="noConversion"/>
  </si>
  <si>
    <t>普通装修</t>
  </si>
  <si>
    <t>普通装修</t>
    <phoneticPr fontId="24" type="noConversion"/>
  </si>
  <si>
    <t>简单装修</t>
    <phoneticPr fontId="24" type="noConversion"/>
  </si>
  <si>
    <t>毛坯</t>
    <phoneticPr fontId="24" type="noConversion"/>
  </si>
  <si>
    <t>估价对象所在区域公共配套设施齐备情况较好</t>
    <phoneticPr fontId="40" type="noConversion"/>
  </si>
  <si>
    <t>七通</t>
    <phoneticPr fontId="24" type="noConversion"/>
  </si>
  <si>
    <t>楼层</t>
    <phoneticPr fontId="24" type="noConversion"/>
  </si>
  <si>
    <t>南北</t>
    <phoneticPr fontId="24" type="noConversion"/>
  </si>
  <si>
    <t>西南</t>
    <phoneticPr fontId="24" type="noConversion"/>
  </si>
  <si>
    <t>东南</t>
    <phoneticPr fontId="24" type="noConversion"/>
  </si>
  <si>
    <t>东北</t>
    <phoneticPr fontId="24" type="noConversion"/>
  </si>
  <si>
    <t>西北</t>
    <phoneticPr fontId="24" type="noConversion"/>
  </si>
  <si>
    <t>北</t>
    <phoneticPr fontId="24" type="noConversion"/>
  </si>
  <si>
    <t>塔楼</t>
    <phoneticPr fontId="24" type="noConversion"/>
  </si>
  <si>
    <t>比较法-住宅</t>
  </si>
  <si>
    <t>按房产原值计税</t>
  </si>
  <si>
    <t>划拨</t>
  </si>
  <si>
    <t>砖混</t>
  </si>
  <si>
    <t>林大北路9号院</t>
  </si>
  <si>
    <t>文林大厦</t>
  </si>
  <si>
    <t>林大家属区</t>
  </si>
  <si>
    <t>林大北路6号院</t>
  </si>
  <si>
    <t>林大校园内</t>
  </si>
  <si>
    <t>森林大第(南区)</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</si>
  <si>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</si>
  <si>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t>区域自然环境：北京东升花园中心、东升八家郊野公园；人文环境：北京林业大学、北京农业大学、清华大学；综合评价环境状况较好</t>
    <phoneticPr fontId="40" type="noConversion"/>
  </si>
  <si>
    <t>城市次干道——林业大学北路</t>
    <phoneticPr fontId="24" type="noConversion"/>
  </si>
  <si>
    <t>林业大学社区西区</t>
    <phoneticPr fontId="3" type="noConversion"/>
  </si>
  <si>
    <t>静淑苑</t>
    <phoneticPr fontId="3" type="noConversion"/>
  </si>
  <si>
    <t>多层板楼</t>
  </si>
  <si>
    <t>多层板楼</t>
    <phoneticPr fontId="24" type="noConversion"/>
  </si>
  <si>
    <t>南</t>
  </si>
  <si>
    <t>B</t>
    <phoneticPr fontId="134" type="noConversion"/>
  </si>
  <si>
    <t>C</t>
    <phoneticPr fontId="134" type="noConversion"/>
  </si>
  <si>
    <t>A</t>
    <phoneticPr fontId="134" type="noConversion"/>
  </si>
  <si>
    <t>B</t>
    <phoneticPr fontId="134" type="noConversion"/>
  </si>
  <si>
    <t>南北</t>
  </si>
  <si>
    <r>
      <t>3/5</t>
    </r>
    <r>
      <rPr>
        <sz val="11"/>
        <color indexed="8"/>
        <rFont val="宋体"/>
        <family val="3"/>
        <charset val="134"/>
      </rPr>
      <t>（中楼层）</t>
    </r>
    <phoneticPr fontId="24" type="noConversion"/>
  </si>
  <si>
    <r>
      <t>2/6</t>
    </r>
    <r>
      <rPr>
        <sz val="11"/>
        <color indexed="8"/>
        <rFont val="宋体"/>
        <family val="3"/>
        <charset val="134"/>
      </rPr>
      <t>（低层）</t>
    </r>
    <phoneticPr fontId="24" type="noConversion"/>
  </si>
  <si>
    <t>高层板楼</t>
    <phoneticPr fontId="24" type="noConversion"/>
  </si>
  <si>
    <t>砖混</t>
    <phoneticPr fontId="24" type="noConversion"/>
  </si>
  <si>
    <t>电梯</t>
    <phoneticPr fontId="24" type="noConversion"/>
  </si>
  <si>
    <t>无</t>
    <phoneticPr fontId="24" type="noConversion"/>
  </si>
  <si>
    <t>无</t>
    <phoneticPr fontId="24" type="noConversion"/>
  </si>
  <si>
    <t>有</t>
    <phoneticPr fontId="24" type="noConversion"/>
  </si>
  <si>
    <t>林业大学内科2</t>
    <phoneticPr fontId="3" type="noConversion"/>
  </si>
  <si>
    <t>无</t>
    <phoneticPr fontId="24" type="noConversion"/>
  </si>
  <si>
    <r>
      <t>5/5</t>
    </r>
    <r>
      <rPr>
        <sz val="11"/>
        <color indexed="8"/>
        <rFont val="宋体"/>
        <family val="3"/>
        <charset val="134"/>
      </rPr>
      <t>（顶层）</t>
    </r>
    <phoneticPr fontId="24" type="noConversion"/>
  </si>
  <si>
    <r>
      <t>6/7</t>
    </r>
    <r>
      <rPr>
        <sz val="11"/>
        <color indexed="8"/>
        <rFont val="宋体"/>
        <family val="3"/>
        <charset val="134"/>
      </rPr>
      <t>（高楼层）</t>
    </r>
    <phoneticPr fontId="24" type="noConversion"/>
  </si>
  <si>
    <t>东西南</t>
  </si>
  <si>
    <t>东西南</t>
    <phoneticPr fontId="24" type="noConversion"/>
  </si>
  <si>
    <t>南</t>
    <phoneticPr fontId="24" type="noConversion"/>
  </si>
  <si>
    <t>估价对象周边有双清苑、清风华景园、逸成东苑、柏儒苑等，居住小区规模和社区发展完善程度较好，综合评价居住社区成熟度较好</t>
    <phoneticPr fontId="40" type="noConversion"/>
  </si>
  <si>
    <t>估价对象周边有392路、466路、577路、专12路等多条公交线路，距地铁15号线（清华东路西口站）约700米，综合评价交通便捷度较好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</si>
</sst>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69" fillId="0" borderId="0"/>
  </cellStyleXfs>
  <cellXfs count="380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59" fillId="0" borderId="0" xfId="12" applyAlignment="1" applyProtection="1">
      <alignment horizontal="left"/>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128" fillId="0" borderId="51" xfId="0" applyNumberFormat="1" applyFont="1" applyFill="1" applyBorder="1" applyAlignment="1" applyProtection="1">
      <alignment horizontal="center" vertical="center" wrapText="1"/>
      <protection locked="0"/>
    </xf>
    <xf numFmtId="192" fontId="128" fillId="0" borderId="44" xfId="0" applyNumberFormat="1" applyFont="1" applyFill="1" applyBorder="1" applyAlignment="1" applyProtection="1">
      <alignment horizontal="center" vertical="center" wrapText="1"/>
      <protection locked="0"/>
    </xf>
    <xf numFmtId="192" fontId="94"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2" fontId="222" fillId="0" borderId="49" xfId="0" applyFont="1" applyBorder="1" applyAlignment="1" applyProtection="1">
      <alignment vertical="center"/>
      <protection locked="0"/>
    </xf>
    <xf numFmtId="192" fontId="128" fillId="0" borderId="5" xfId="0" applyFont="1" applyFill="1" applyBorder="1" applyAlignment="1" applyProtection="1">
      <alignment horizontal="center" vertical="center" wrapText="1"/>
      <protection locked="0"/>
    </xf>
    <xf numFmtId="192" fontId="94" fillId="0" borderId="9"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14" fontId="269" fillId="0" borderId="0" xfId="19" applyNumberFormat="1"/>
    <xf numFmtId="192" fontId="269" fillId="0" borderId="0" xfId="19" applyNumberFormat="1"/>
    <xf numFmtId="192" fontId="0" fillId="0" borderId="0" xfId="0" applyFill="1">
      <alignment vertical="center"/>
    </xf>
    <xf numFmtId="192" fontId="95" fillId="5" borderId="0" xfId="0" applyFont="1" applyFill="1">
      <alignment vertical="center"/>
    </xf>
    <xf numFmtId="192" fontId="95" fillId="0" borderId="0" xfId="0" applyFont="1">
      <alignment vertical="center"/>
    </xf>
    <xf numFmtId="192" fontId="44" fillId="5" borderId="3" xfId="0" applyNumberFormat="1" applyFont="1" applyFill="1" applyBorder="1" applyAlignment="1" applyProtection="1">
      <alignment horizontal="center" vertical="center" wrapText="1"/>
      <protection locked="0"/>
    </xf>
    <xf numFmtId="192" fontId="44" fillId="5" borderId="23" xfId="0" applyNumberFormat="1" applyFont="1" applyFill="1" applyBorder="1" applyAlignment="1" applyProtection="1">
      <alignment horizontal="center" vertical="center" wrapText="1"/>
      <protection locked="0"/>
    </xf>
    <xf numFmtId="192" fontId="0" fillId="5" borderId="0" xfId="0" applyFill="1">
      <alignment vertical="center"/>
    </xf>
    <xf numFmtId="192" fontId="94" fillId="0" borderId="37" xfId="0" applyNumberFormat="1" applyFont="1" applyFill="1" applyBorder="1" applyAlignment="1" applyProtection="1">
      <alignment horizontal="center" vertical="center" wrapText="1"/>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269" fillId="0" borderId="0" xfId="19" applyNumberFormat="1"/>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208" fillId="0" borderId="23"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208"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17" xfId="0"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5</xdr:col>
      <xdr:colOff>759391</xdr:colOff>
      <xdr:row>29</xdr:row>
      <xdr:rowOff>96623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84960"/>
          <a:ext cx="5628571"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601980</xdr:colOff>
      <xdr:row>0</xdr:row>
      <xdr:rowOff>22860</xdr:rowOff>
    </xdr:from>
    <xdr:to>
      <xdr:col>31</xdr:col>
      <xdr:colOff>237713</xdr:colOff>
      <xdr:row>22</xdr:row>
      <xdr:rowOff>161405</xdr:rowOff>
    </xdr:to>
    <xdr:pic>
      <xdr:nvPicPr>
        <xdr:cNvPr id="3" name="图片 2"/>
        <xdr:cNvPicPr>
          <a:picLocks noChangeAspect="1"/>
        </xdr:cNvPicPr>
      </xdr:nvPicPr>
      <xdr:blipFill>
        <a:blip xmlns:r="http://schemas.openxmlformats.org/officeDocument/2006/relationships" r:embed="rId1"/>
        <a:stretch>
          <a:fillRect/>
        </a:stretch>
      </xdr:blipFill>
      <xdr:spPr>
        <a:xfrm>
          <a:off x="601980" y="22860"/>
          <a:ext cx="18533333" cy="4161905"/>
        </a:xfrm>
        <a:prstGeom prst="rect">
          <a:avLst/>
        </a:prstGeom>
      </xdr:spPr>
    </xdr:pic>
    <xdr:clientData/>
  </xdr:twoCellAnchor>
  <xdr:twoCellAnchor editAs="oneCell">
    <xdr:from>
      <xdr:col>1</xdr:col>
      <xdr:colOff>40790</xdr:colOff>
      <xdr:row>23</xdr:row>
      <xdr:rowOff>127299</xdr:rowOff>
    </xdr:from>
    <xdr:to>
      <xdr:col>31</xdr:col>
      <xdr:colOff>238504</xdr:colOff>
      <xdr:row>57</xdr:row>
      <xdr:rowOff>90331</xdr:rowOff>
    </xdr:to>
    <xdr:pic>
      <xdr:nvPicPr>
        <xdr:cNvPr id="4" name="图片 3"/>
        <xdr:cNvPicPr>
          <a:picLocks noChangeAspect="1"/>
        </xdr:cNvPicPr>
      </xdr:nvPicPr>
      <xdr:blipFill>
        <a:blip xmlns:r="http://schemas.openxmlformats.org/officeDocument/2006/relationships" r:embed="rId2"/>
        <a:stretch>
          <a:fillRect/>
        </a:stretch>
      </xdr:blipFill>
      <xdr:spPr>
        <a:xfrm>
          <a:off x="650390" y="4251064"/>
          <a:ext cx="18485714" cy="6059032"/>
        </a:xfrm>
        <a:prstGeom prst="rect">
          <a:avLst/>
        </a:prstGeom>
      </xdr:spPr>
    </xdr:pic>
    <xdr:clientData/>
  </xdr:twoCellAnchor>
  <xdr:twoCellAnchor editAs="oneCell">
    <xdr:from>
      <xdr:col>0</xdr:col>
      <xdr:colOff>586740</xdr:colOff>
      <xdr:row>56</xdr:row>
      <xdr:rowOff>22860</xdr:rowOff>
    </xdr:from>
    <xdr:to>
      <xdr:col>31</xdr:col>
      <xdr:colOff>155806</xdr:colOff>
      <xdr:row>77</xdr:row>
      <xdr:rowOff>153809</xdr:rowOff>
    </xdr:to>
    <xdr:pic>
      <xdr:nvPicPr>
        <xdr:cNvPr id="5" name="图片 4"/>
        <xdr:cNvPicPr>
          <a:picLocks noChangeAspect="1"/>
        </xdr:cNvPicPr>
      </xdr:nvPicPr>
      <xdr:blipFill>
        <a:blip xmlns:r="http://schemas.openxmlformats.org/officeDocument/2006/relationships" r:embed="rId3"/>
        <a:stretch>
          <a:fillRect/>
        </a:stretch>
      </xdr:blipFill>
      <xdr:spPr>
        <a:xfrm>
          <a:off x="586740" y="10264140"/>
          <a:ext cx="18466666" cy="3971429"/>
        </a:xfrm>
        <a:prstGeom prst="rect">
          <a:avLst/>
        </a:prstGeom>
      </xdr:spPr>
    </xdr:pic>
    <xdr:clientData/>
  </xdr:twoCellAnchor>
  <xdr:twoCellAnchor editAs="oneCell">
    <xdr:from>
      <xdr:col>0</xdr:col>
      <xdr:colOff>571500</xdr:colOff>
      <xdr:row>77</xdr:row>
      <xdr:rowOff>121920</xdr:rowOff>
    </xdr:from>
    <xdr:to>
      <xdr:col>31</xdr:col>
      <xdr:colOff>188186</xdr:colOff>
      <xdr:row>106</xdr:row>
      <xdr:rowOff>8876</xdr:rowOff>
    </xdr:to>
    <xdr:pic>
      <xdr:nvPicPr>
        <xdr:cNvPr id="6" name="图片 5"/>
        <xdr:cNvPicPr>
          <a:picLocks noChangeAspect="1"/>
        </xdr:cNvPicPr>
      </xdr:nvPicPr>
      <xdr:blipFill>
        <a:blip xmlns:r="http://schemas.openxmlformats.org/officeDocument/2006/relationships" r:embed="rId4"/>
        <a:stretch>
          <a:fillRect/>
        </a:stretch>
      </xdr:blipFill>
      <xdr:spPr>
        <a:xfrm>
          <a:off x="571500" y="14203680"/>
          <a:ext cx="18514286" cy="5190476"/>
        </a:xfrm>
        <a:prstGeom prst="rect">
          <a:avLst/>
        </a:prstGeom>
      </xdr:spPr>
    </xdr:pic>
    <xdr:clientData/>
  </xdr:twoCellAnchor>
  <xdr:twoCellAnchor editAs="oneCell">
    <xdr:from>
      <xdr:col>0</xdr:col>
      <xdr:colOff>0</xdr:colOff>
      <xdr:row>129</xdr:row>
      <xdr:rowOff>89648</xdr:rowOff>
    </xdr:from>
    <xdr:to>
      <xdr:col>11</xdr:col>
      <xdr:colOff>282620</xdr:colOff>
      <xdr:row>163</xdr:row>
      <xdr:rowOff>89648</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218589"/>
          <a:ext cx="6988220" cy="6096000"/>
        </a:xfrm>
        <a:prstGeom prst="rect">
          <a:avLst/>
        </a:prstGeom>
      </xdr:spPr>
    </xdr:pic>
    <xdr:clientData/>
  </xdr:twoCellAnchor>
  <xdr:twoCellAnchor editAs="oneCell">
    <xdr:from>
      <xdr:col>16</xdr:col>
      <xdr:colOff>0</xdr:colOff>
      <xdr:row>112</xdr:row>
      <xdr:rowOff>0</xdr:rowOff>
    </xdr:from>
    <xdr:to>
      <xdr:col>31</xdr:col>
      <xdr:colOff>446476</xdr:colOff>
      <xdr:row>131</xdr:row>
      <xdr:rowOff>12460</xdr:rowOff>
    </xdr:to>
    <xdr:pic>
      <xdr:nvPicPr>
        <xdr:cNvPr id="8" name="图片 7"/>
        <xdr:cNvPicPr>
          <a:picLocks noChangeAspect="1"/>
        </xdr:cNvPicPr>
      </xdr:nvPicPr>
      <xdr:blipFill>
        <a:blip xmlns:r="http://schemas.openxmlformats.org/officeDocument/2006/relationships" r:embed="rId6"/>
        <a:stretch>
          <a:fillRect/>
        </a:stretch>
      </xdr:blipFill>
      <xdr:spPr>
        <a:xfrm>
          <a:off x="9753600" y="20080941"/>
          <a:ext cx="9590476" cy="3419048"/>
        </a:xfrm>
        <a:prstGeom prst="rect">
          <a:avLst/>
        </a:prstGeom>
      </xdr:spPr>
    </xdr:pic>
    <xdr:clientData/>
  </xdr:twoCellAnchor>
  <xdr:twoCellAnchor editAs="oneCell">
    <xdr:from>
      <xdr:col>16</xdr:col>
      <xdr:colOff>0</xdr:colOff>
      <xdr:row>131</xdr:row>
      <xdr:rowOff>0</xdr:rowOff>
    </xdr:from>
    <xdr:to>
      <xdr:col>30</xdr:col>
      <xdr:colOff>75124</xdr:colOff>
      <xdr:row>142</xdr:row>
      <xdr:rowOff>37288</xdr:rowOff>
    </xdr:to>
    <xdr:pic>
      <xdr:nvPicPr>
        <xdr:cNvPr id="9" name="图片 8"/>
        <xdr:cNvPicPr>
          <a:picLocks noChangeAspect="1"/>
        </xdr:cNvPicPr>
      </xdr:nvPicPr>
      <xdr:blipFill>
        <a:blip xmlns:r="http://schemas.openxmlformats.org/officeDocument/2006/relationships" r:embed="rId7"/>
        <a:stretch>
          <a:fillRect/>
        </a:stretch>
      </xdr:blipFill>
      <xdr:spPr>
        <a:xfrm>
          <a:off x="9753600" y="23487529"/>
          <a:ext cx="8609524" cy="2009524"/>
        </a:xfrm>
        <a:prstGeom prst="rect">
          <a:avLst/>
        </a:prstGeom>
      </xdr:spPr>
    </xdr:pic>
    <xdr:clientData/>
  </xdr:twoCellAnchor>
  <xdr:twoCellAnchor editAs="oneCell">
    <xdr:from>
      <xdr:col>16</xdr:col>
      <xdr:colOff>0</xdr:colOff>
      <xdr:row>143</xdr:row>
      <xdr:rowOff>0</xdr:rowOff>
    </xdr:from>
    <xdr:to>
      <xdr:col>33</xdr:col>
      <xdr:colOff>246324</xdr:colOff>
      <xdr:row>162</xdr:row>
      <xdr:rowOff>174364</xdr:rowOff>
    </xdr:to>
    <xdr:pic>
      <xdr:nvPicPr>
        <xdr:cNvPr id="10" name="图片 9"/>
        <xdr:cNvPicPr>
          <a:picLocks noChangeAspect="1"/>
        </xdr:cNvPicPr>
      </xdr:nvPicPr>
      <xdr:blipFill>
        <a:blip xmlns:r="http://schemas.openxmlformats.org/officeDocument/2006/relationships" r:embed="rId8"/>
        <a:stretch>
          <a:fillRect/>
        </a:stretch>
      </xdr:blipFill>
      <xdr:spPr>
        <a:xfrm>
          <a:off x="9753600" y="25639059"/>
          <a:ext cx="10609524" cy="3580952"/>
        </a:xfrm>
        <a:prstGeom prst="rect">
          <a:avLst/>
        </a:prstGeom>
      </xdr:spPr>
    </xdr:pic>
    <xdr:clientData/>
  </xdr:twoCellAnchor>
  <xdr:twoCellAnchor editAs="oneCell">
    <xdr:from>
      <xdr:col>16</xdr:col>
      <xdr:colOff>0</xdr:colOff>
      <xdr:row>163</xdr:row>
      <xdr:rowOff>0</xdr:rowOff>
    </xdr:from>
    <xdr:to>
      <xdr:col>31</xdr:col>
      <xdr:colOff>151238</xdr:colOff>
      <xdr:row>176</xdr:row>
      <xdr:rowOff>40605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753600" y="29224941"/>
          <a:ext cx="9295238" cy="2371429"/>
        </a:xfrm>
        <a:prstGeom prst="rect">
          <a:avLst/>
        </a:prstGeom>
      </xdr:spPr>
    </xdr:pic>
    <xdr:clientData/>
  </xdr:twoCellAnchor>
  <xdr:twoCellAnchor editAs="oneCell">
    <xdr:from>
      <xdr:col>16</xdr:col>
      <xdr:colOff>0</xdr:colOff>
      <xdr:row>178</xdr:row>
      <xdr:rowOff>0</xdr:rowOff>
    </xdr:from>
    <xdr:to>
      <xdr:col>32</xdr:col>
      <xdr:colOff>122590</xdr:colOff>
      <xdr:row>197</xdr:row>
      <xdr:rowOff>41031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9753600" y="31914353"/>
          <a:ext cx="9876190" cy="3447619"/>
        </a:xfrm>
        <a:prstGeom prst="rect">
          <a:avLst/>
        </a:prstGeom>
      </xdr:spPr>
    </xdr:pic>
    <xdr:clientData/>
  </xdr:twoCellAnchor>
  <xdr:twoCellAnchor editAs="oneCell">
    <xdr:from>
      <xdr:col>16</xdr:col>
      <xdr:colOff>0</xdr:colOff>
      <xdr:row>197</xdr:row>
      <xdr:rowOff>0</xdr:rowOff>
    </xdr:from>
    <xdr:to>
      <xdr:col>29</xdr:col>
      <xdr:colOff>541867</xdr:colOff>
      <xdr:row>209</xdr:row>
      <xdr:rowOff>48470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9753600" y="35320941"/>
          <a:ext cx="8466667" cy="2200000"/>
        </a:xfrm>
        <a:prstGeom prst="rect">
          <a:avLst/>
        </a:prstGeom>
      </xdr:spPr>
    </xdr:pic>
    <xdr:clientData/>
  </xdr:twoCellAnchor>
  <xdr:twoCellAnchor editAs="oneCell">
    <xdr:from>
      <xdr:col>30</xdr:col>
      <xdr:colOff>0</xdr:colOff>
      <xdr:row>197</xdr:row>
      <xdr:rowOff>0</xdr:rowOff>
    </xdr:from>
    <xdr:to>
      <xdr:col>47</xdr:col>
      <xdr:colOff>389181</xdr:colOff>
      <xdr:row>231</xdr:row>
      <xdr:rowOff>8762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8288000" y="35320941"/>
          <a:ext cx="10752381" cy="6104762"/>
        </a:xfrm>
        <a:prstGeom prst="rect">
          <a:avLst/>
        </a:prstGeom>
      </xdr:spPr>
    </xdr:pic>
    <xdr:clientData/>
  </xdr:twoCellAnchor>
  <xdr:twoCellAnchor editAs="oneCell">
    <xdr:from>
      <xdr:col>31</xdr:col>
      <xdr:colOff>457200</xdr:colOff>
      <xdr:row>146</xdr:row>
      <xdr:rowOff>53789</xdr:rowOff>
    </xdr:from>
    <xdr:to>
      <xdr:col>47</xdr:col>
      <xdr:colOff>532171</xdr:colOff>
      <xdr:row>176</xdr:row>
      <xdr:rowOff>65441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9354800" y="26230730"/>
          <a:ext cx="9828571" cy="5390476"/>
        </a:xfrm>
        <a:prstGeom prst="rect">
          <a:avLst/>
        </a:prstGeom>
      </xdr:spPr>
    </xdr:pic>
    <xdr:clientData/>
  </xdr:twoCellAnchor>
  <xdr:twoCellAnchor editAs="oneCell">
    <xdr:from>
      <xdr:col>0</xdr:col>
      <xdr:colOff>0</xdr:colOff>
      <xdr:row>106</xdr:row>
      <xdr:rowOff>8965</xdr:rowOff>
    </xdr:from>
    <xdr:to>
      <xdr:col>30</xdr:col>
      <xdr:colOff>226286</xdr:colOff>
      <xdr:row>129</xdr:row>
      <xdr:rowOff>75676</xdr:rowOff>
    </xdr:to>
    <xdr:pic>
      <xdr:nvPicPr>
        <xdr:cNvPr id="2" name="图片 1"/>
        <xdr:cNvPicPr>
          <a:picLocks noChangeAspect="1"/>
        </xdr:cNvPicPr>
      </xdr:nvPicPr>
      <xdr:blipFill>
        <a:blip xmlns:r="http://schemas.openxmlformats.org/officeDocument/2006/relationships" r:embed="rId14"/>
        <a:stretch>
          <a:fillRect/>
        </a:stretch>
      </xdr:blipFill>
      <xdr:spPr>
        <a:xfrm>
          <a:off x="0" y="19014141"/>
          <a:ext cx="18514286" cy="4190476"/>
        </a:xfrm>
        <a:prstGeom prst="rect">
          <a:avLst/>
        </a:prstGeom>
      </xdr:spPr>
    </xdr:pic>
    <xdr:clientData/>
  </xdr:twoCellAnchor>
  <xdr:twoCellAnchor editAs="oneCell">
    <xdr:from>
      <xdr:col>0</xdr:col>
      <xdr:colOff>0</xdr:colOff>
      <xdr:row>210</xdr:row>
      <xdr:rowOff>53788</xdr:rowOff>
    </xdr:from>
    <xdr:to>
      <xdr:col>28</xdr:col>
      <xdr:colOff>445486</xdr:colOff>
      <xdr:row>215</xdr:row>
      <xdr:rowOff>157318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7705553"/>
          <a:ext cx="17514286" cy="1000000"/>
        </a:xfrm>
        <a:prstGeom prst="rect">
          <a:avLst/>
        </a:prstGeom>
      </xdr:spPr>
    </xdr:pic>
    <xdr:clientData/>
  </xdr:twoCellAnchor>
  <xdr:twoCellAnchor editAs="oneCell">
    <xdr:from>
      <xdr:col>0</xdr:col>
      <xdr:colOff>0</xdr:colOff>
      <xdr:row>217</xdr:row>
      <xdr:rowOff>0</xdr:rowOff>
    </xdr:from>
    <xdr:to>
      <xdr:col>16</xdr:col>
      <xdr:colOff>284495</xdr:colOff>
      <xdr:row>236</xdr:row>
      <xdr:rowOff>88650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8906824"/>
          <a:ext cx="10038095" cy="3495238"/>
        </a:xfrm>
        <a:prstGeom prst="rect">
          <a:avLst/>
        </a:prstGeom>
      </xdr:spPr>
    </xdr:pic>
    <xdr:clientData/>
  </xdr:twoCellAnchor>
  <xdr:twoCellAnchor editAs="oneCell">
    <xdr:from>
      <xdr:col>16</xdr:col>
      <xdr:colOff>134470</xdr:colOff>
      <xdr:row>217</xdr:row>
      <xdr:rowOff>161365</xdr:rowOff>
    </xdr:from>
    <xdr:to>
      <xdr:col>31</xdr:col>
      <xdr:colOff>85708</xdr:colOff>
      <xdr:row>228</xdr:row>
      <xdr:rowOff>141511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9888070" y="39068189"/>
          <a:ext cx="9095238" cy="1952381"/>
        </a:xfrm>
        <a:prstGeom prst="rect">
          <a:avLst/>
        </a:prstGeom>
      </xdr:spPr>
    </xdr:pic>
    <xdr:clientData/>
  </xdr:twoCellAnchor>
  <xdr:twoCellAnchor editAs="oneCell">
    <xdr:from>
      <xdr:col>13</xdr:col>
      <xdr:colOff>125506</xdr:colOff>
      <xdr:row>229</xdr:row>
      <xdr:rowOff>0</xdr:rowOff>
    </xdr:from>
    <xdr:to>
      <xdr:col>29</xdr:col>
      <xdr:colOff>238573</xdr:colOff>
      <xdr:row>260</xdr:row>
      <xdr:rowOff>146644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8050306" y="41058353"/>
          <a:ext cx="9866667"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2024年8月13日（评估专业人员实地查勘之日）</v>
      </c>
    </row>
    <row r="13" spans="1:2" s="1203" customFormat="1">
      <c r="A13" s="1201" t="s">
        <v>529</v>
      </c>
      <c r="B13" s="1202" t="str">
        <f>'预评函-1'!A18</f>
        <v>本次估价的“房地产价值”是指在正常市场情况下，在价值时点2024年8月13日，估价对象规划用途为，土地取得方式为划拨，假定未设立法定优先受偿款下的房地产市场价值。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55.9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2577</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2578</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3" t="s">
        <v>385</v>
      </c>
      <c r="C54" s="1550" t="s">
        <v>583</v>
      </c>
    </row>
    <row r="55" spans="1:4">
      <c r="A55" s="3492"/>
      <c r="B55" s="1553" t="s">
        <v>386</v>
      </c>
      <c r="C55" s="1550" t="s">
        <v>584</v>
      </c>
    </row>
    <row r="56" spans="1:4">
      <c r="A56" s="3492"/>
      <c r="B56" s="1553" t="s">
        <v>387</v>
      </c>
      <c r="C56" s="1550" t="s">
        <v>588</v>
      </c>
    </row>
    <row r="57" spans="1:4">
      <c r="A57" s="349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3"/>
    <col min="8" max="8" width="5.44140625" style="3003" customWidth="1"/>
    <col min="9" max="13" width="9.44140625" style="3045" customWidth="1"/>
    <col min="14" max="18" width="9.44140625" style="3003" customWidth="1"/>
    <col min="19" max="16384" width="15.2187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493" t="s">
        <v>2580</v>
      </c>
      <c r="J2" s="3493"/>
      <c r="K2" s="3493"/>
      <c r="L2" s="3493"/>
      <c r="M2" s="3493"/>
      <c r="N2" s="3493"/>
      <c r="O2" s="3493"/>
      <c r="P2" s="3493"/>
      <c r="Q2" s="3493"/>
      <c r="R2" s="3493"/>
    </row>
    <row r="3" spans="1:18">
      <c r="A3" s="3007" t="s">
        <v>2501</v>
      </c>
      <c r="B3" s="3008">
        <f>项目基本情况!D3</f>
        <v>45517</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2.35</v>
      </c>
      <c r="D5" s="3012">
        <f>IF(ISERROR(ROUND(POWER(1+E5,A5-C5)*(POWER(1+E5,C5)-1)/(POWER(1+E5,A5)-1),3)),0,ROUND(POWER(1+E5,A5-C5)*(POWER(1+E5,C5)-1)/(POWER(1+E5,A5)-1),4))</f>
        <v>0.11119999999999999</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12.35</v>
      </c>
      <c r="D6" s="3012">
        <f>IF(ISERROR(ROUND(POWER(1+E6,A6-C6)*(POWER(1+E6,C6)-1)/(POWER(1+E6,A6)-1),3)),0,ROUND(POWER(1+E6,A6-C6)*(POWER(1+E6,C6)-1)/(POWER(1+E6,A6)-1),4))</f>
        <v>0.44679999999999997</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32.369999999999997</v>
      </c>
      <c r="D7" s="3012">
        <f>IF(ISERROR(ROUND(POWER(1+E7,A7-C7)*(POWER(1+E7,C7)-1)/(POWER(1+E7,A7)-1),3)),0,ROUND(POWER(1+E7,A7-C7)*(POWER(1+E7,C7)-1)/(POWER(1+E7,A7)-1),4))</f>
        <v>0.76839999999999997</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5" thickBot="1">
      <c r="A18" s="3018" t="s">
        <v>2516</v>
      </c>
      <c r="B18" s="3019">
        <f>ROUND(B17*F11/F12,2)</f>
        <v>5541.87</v>
      </c>
      <c r="C18" s="3019">
        <f>ROUND(F11/F12,4)</f>
        <v>1.1521999999999999</v>
      </c>
      <c r="D18" s="3020"/>
      <c r="E18" s="3020"/>
      <c r="F18" s="3021"/>
    </row>
    <row r="19" spans="1:13" ht="15" thickBot="1"/>
    <row r="20" spans="1:13" s="3056" customFormat="1" ht="1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17" customWidth="1"/>
    <col min="12" max="13" width="10" style="261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59"/>
      <c r="E2" s="2651"/>
      <c r="F2" s="2651"/>
      <c r="G2" s="2652"/>
      <c r="H2" s="2652"/>
      <c r="I2" s="2652"/>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45517</v>
      </c>
      <c r="C3" s="2373" t="s">
        <v>2171</v>
      </c>
      <c r="D3" s="2372">
        <f>B3</f>
        <v>45517</v>
      </c>
      <c r="E3" s="2652"/>
      <c r="F3" s="2652"/>
      <c r="G3" s="2652"/>
      <c r="H3" s="2652"/>
      <c r="I3" s="2652"/>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53"/>
      <c r="F5" s="2653"/>
      <c r="G5" s="2653"/>
      <c r="H5" s="2653"/>
      <c r="I5" s="265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1"/>
      <c r="F6" s="2653"/>
      <c r="G6" s="2653"/>
      <c r="H6" s="2653"/>
      <c r="I6" s="2653"/>
      <c r="J6" s="2438"/>
      <c r="K6" s="2604" t="str">
        <f>IF(COUNTIF(B6,"*上海银行*"),"上海银行","")</f>
        <v/>
      </c>
      <c r="L6" s="2602"/>
      <c r="M6" s="2602"/>
      <c r="N6" s="2438"/>
      <c r="O6" s="2449"/>
      <c r="P6" s="2438"/>
      <c r="Q6" s="2438"/>
      <c r="R6" s="2438"/>
    </row>
    <row r="7" spans="1:30">
      <c r="A7" s="2382" t="s">
        <v>2175</v>
      </c>
      <c r="B7" s="2386"/>
      <c r="C7" s="2384"/>
      <c r="D7" s="2385"/>
      <c r="E7" s="2651"/>
      <c r="F7" s="2653"/>
      <c r="G7" s="2653"/>
      <c r="H7" s="2653"/>
      <c r="I7" s="2653"/>
      <c r="J7" s="2438"/>
      <c r="K7" s="2605"/>
      <c r="L7" s="2602"/>
      <c r="M7" s="2602"/>
      <c r="N7" s="2438"/>
      <c r="O7" s="2449"/>
      <c r="P7" s="2438"/>
      <c r="Q7" s="2438"/>
      <c r="R7" s="2438"/>
    </row>
    <row r="8" spans="1:30">
      <c r="A8" s="2387" t="s">
        <v>2176</v>
      </c>
      <c r="B8" s="2388" t="s">
        <v>3378</v>
      </c>
      <c r="C8" s="2389"/>
      <c r="D8" s="3505" t="s">
        <v>2177</v>
      </c>
      <c r="E8" s="2390"/>
      <c r="F8" s="2391"/>
      <c r="G8" s="2652"/>
      <c r="H8" s="2652"/>
      <c r="I8" s="2652"/>
      <c r="J8" s="2438"/>
      <c r="K8" s="2603"/>
      <c r="L8" s="2602"/>
      <c r="M8" s="2602"/>
      <c r="N8" s="2438"/>
      <c r="O8" s="2449"/>
      <c r="P8" s="2438"/>
      <c r="Q8" s="2438"/>
      <c r="R8" s="2438"/>
    </row>
    <row r="9" spans="1:30" ht="13.8" thickBot="1">
      <c r="A9" s="2392" t="s">
        <v>2178</v>
      </c>
      <c r="B9" s="2393" t="s">
        <v>3380</v>
      </c>
      <c r="C9" s="2394"/>
      <c r="D9" s="3506"/>
      <c r="E9" s="2393"/>
      <c r="F9" s="2395"/>
      <c r="G9" s="2654"/>
      <c r="H9" s="2654"/>
      <c r="I9" s="2654"/>
      <c r="J9" s="2438"/>
      <c r="K9" s="2605"/>
      <c r="L9" s="2602"/>
      <c r="M9" s="2602"/>
      <c r="N9" s="2438"/>
      <c r="O9" s="2449"/>
      <c r="P9" s="2438"/>
      <c r="Q9" s="2438"/>
      <c r="R9" s="2438"/>
    </row>
    <row r="10" spans="1:30" ht="13.8" thickTop="1">
      <c r="A10" s="2396" t="s">
        <v>2179</v>
      </c>
      <c r="B10" s="2397" t="s">
        <v>3379</v>
      </c>
      <c r="C10" s="2398"/>
      <c r="D10" s="2381"/>
      <c r="E10" s="2399" t="s">
        <v>2180</v>
      </c>
      <c r="F10" s="2655"/>
      <c r="G10" s="2656"/>
      <c r="H10" s="2657"/>
      <c r="I10" s="2658"/>
      <c r="J10" s="2438"/>
      <c r="K10" s="2605"/>
      <c r="L10" s="2602"/>
      <c r="M10" s="2602"/>
      <c r="N10" s="2438"/>
      <c r="O10" s="2449"/>
      <c r="P10" s="2438"/>
      <c r="Q10" s="2438"/>
      <c r="R10" s="2438"/>
    </row>
    <row r="11" spans="1:30">
      <c r="A11" s="2400" t="s">
        <v>2181</v>
      </c>
      <c r="B11" s="2401"/>
      <c r="C11" s="2402"/>
      <c r="D11" s="2403"/>
      <c r="E11" s="2369"/>
      <c r="F11" s="2369"/>
      <c r="G11" s="2369"/>
      <c r="H11" s="2369"/>
      <c r="I11" s="2369"/>
      <c r="J11" s="3048"/>
      <c r="K11" s="3047"/>
      <c r="L11" s="2602"/>
      <c r="M11" s="260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46" t="s">
        <v>2576</v>
      </c>
      <c r="J12" s="3049"/>
      <c r="K12" s="2602"/>
      <c r="L12" s="2602"/>
      <c r="M12" s="2438"/>
      <c r="N12" s="2449"/>
      <c r="O12" s="2438"/>
      <c r="P12" s="2438"/>
      <c r="Q12" s="2438"/>
      <c r="AD12" s="1744"/>
    </row>
    <row r="13" spans="1:30">
      <c r="A13" s="3410" t="s">
        <v>3421</v>
      </c>
      <c r="B13" s="2406" t="s">
        <v>2190</v>
      </c>
      <c r="C13" s="856">
        <v>62238</v>
      </c>
      <c r="D13" s="856"/>
      <c r="E13" s="856"/>
      <c r="F13" s="856"/>
      <c r="G13" s="856"/>
      <c r="H13" s="856"/>
      <c r="I13" s="856"/>
      <c r="J13" s="3049"/>
      <c r="K13" s="2602"/>
      <c r="L13" s="2602"/>
      <c r="M13" s="2438"/>
      <c r="N13" s="2449"/>
      <c r="O13" s="2438"/>
      <c r="P13" s="2438"/>
      <c r="Q13" s="2438"/>
      <c r="AD13" s="1744"/>
    </row>
    <row r="14" spans="1:30">
      <c r="A14" s="1081"/>
      <c r="B14" s="2406" t="s">
        <v>2191</v>
      </c>
      <c r="C14" s="2407">
        <v>70</v>
      </c>
      <c r="D14" s="2407"/>
      <c r="E14" s="2407"/>
      <c r="F14" s="2407"/>
      <c r="G14" s="2407"/>
      <c r="H14" s="2407"/>
      <c r="I14" s="2407"/>
      <c r="J14" s="3050"/>
      <c r="K14" s="2602"/>
      <c r="L14" s="2602"/>
      <c r="M14" s="2438"/>
      <c r="N14" s="2449"/>
      <c r="O14" s="2438"/>
      <c r="P14" s="2438"/>
      <c r="Q14" s="2438"/>
      <c r="AD14" s="1744"/>
    </row>
    <row r="15" spans="1:30">
      <c r="A15" s="320"/>
      <c r="B15" s="2408" t="s">
        <v>2192</v>
      </c>
      <c r="C15" s="2409">
        <f>IF(A13="出让",IF(C13="","",ROUNDDOWN(MIN((C13-$D$3)/365,C14),2)),C14)</f>
        <v>70</v>
      </c>
      <c r="D15" s="2409">
        <f>IF(A13="出让",IF(D13="","",ROUNDDOWN(MIN((D13-$D$3)/365,D14),2)),D14)</f>
        <v>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51"/>
      <c r="K15" s="2450"/>
      <c r="L15" s="2450"/>
      <c r="M15" s="2506"/>
      <c r="N15" s="2450"/>
      <c r="O15" s="2506"/>
      <c r="P15" s="2438"/>
      <c r="Q15" s="2438"/>
      <c r="AD15" s="1744"/>
    </row>
    <row r="16" spans="1:30">
      <c r="A16" s="2399" t="s">
        <v>2193</v>
      </c>
      <c r="B16" s="3512"/>
      <c r="C16" s="3513"/>
      <c r="D16" s="3514"/>
      <c r="E16" s="2412" t="s">
        <v>2194</v>
      </c>
      <c r="F16" s="3515"/>
      <c r="G16" s="3516"/>
      <c r="H16" s="3516"/>
      <c r="I16" s="3517"/>
      <c r="J16" s="2438"/>
      <c r="K16" s="2606"/>
      <c r="L16" s="2450"/>
      <c r="M16" s="2450"/>
      <c r="N16" s="2506"/>
      <c r="O16" s="2450"/>
      <c r="P16" s="2506"/>
      <c r="Q16" s="2438"/>
      <c r="R16" s="2438"/>
    </row>
    <row r="17" spans="1:28">
      <c r="A17" s="313" t="s">
        <v>2195</v>
      </c>
      <c r="B17" s="302" t="s">
        <v>2196</v>
      </c>
      <c r="C17" s="8">
        <f>'数据-汇总表'!E3</f>
        <v>55.9</v>
      </c>
      <c r="D17" s="2321" t="s">
        <v>2197</v>
      </c>
      <c r="E17" s="3518" t="s">
        <v>2198</v>
      </c>
      <c r="F17" s="3519"/>
      <c r="G17" s="3519"/>
      <c r="H17" s="3519"/>
      <c r="I17" s="3520"/>
      <c r="J17" s="2438"/>
      <c r="K17" s="2607"/>
      <c r="L17" s="2450"/>
      <c r="M17" s="2450"/>
      <c r="N17" s="2506"/>
      <c r="O17" s="2450"/>
      <c r="P17" s="2506"/>
      <c r="Q17" s="2438"/>
      <c r="R17" s="2438"/>
      <c r="S17" s="2438"/>
      <c r="T17" s="2438"/>
      <c r="U17" s="2438"/>
      <c r="V17" s="2438"/>
    </row>
    <row r="18" spans="1:28" ht="24.6" thickBot="1">
      <c r="A18" s="2413" t="s">
        <v>2199</v>
      </c>
      <c r="B18" s="1090" t="s">
        <v>2200</v>
      </c>
      <c r="C18" s="2414">
        <f>'数据-汇总表'!D3</f>
        <v>0</v>
      </c>
      <c r="D18" s="1092" t="s">
        <v>2201</v>
      </c>
      <c r="E18" s="3521" t="s">
        <v>2202</v>
      </c>
      <c r="F18" s="3522"/>
      <c r="G18" s="3522"/>
      <c r="H18" s="3522"/>
      <c r="I18" s="3523"/>
      <c r="J18" s="2438"/>
      <c r="K18" s="2607"/>
      <c r="L18" s="2450"/>
      <c r="M18" s="2450"/>
      <c r="N18" s="2506"/>
      <c r="O18" s="2450"/>
      <c r="P18" s="2506"/>
      <c r="Q18" s="2438"/>
      <c r="R18" s="2438"/>
      <c r="S18" s="2438"/>
      <c r="T18" s="2438"/>
      <c r="U18" s="2438"/>
      <c r="V18" s="2438"/>
    </row>
    <row r="19" spans="1:28" ht="37.200000000000003" thickTop="1" thickBot="1">
      <c r="A19" s="327" t="s">
        <v>1055</v>
      </c>
      <c r="B19" s="307" t="s">
        <v>2203</v>
      </c>
      <c r="C19" s="1562"/>
      <c r="D19" s="1563" t="s">
        <v>2204</v>
      </c>
      <c r="E19" s="1564"/>
      <c r="F19" s="1565" t="str">
        <f>IF(AND(C19="是",E19="否"),"是否提供他项权证或相关说明","")</f>
        <v/>
      </c>
      <c r="G19" s="1566"/>
      <c r="H19" s="2653"/>
      <c r="I19" s="2653"/>
      <c r="J19" s="2438"/>
      <c r="K19" s="2605"/>
      <c r="L19" s="2602"/>
      <c r="M19" s="2602"/>
      <c r="N19" s="2506"/>
      <c r="O19" s="2450"/>
      <c r="P19" s="2506"/>
      <c r="Q19" s="2438"/>
      <c r="R19" s="2438"/>
      <c r="S19" s="2438"/>
      <c r="T19" s="2438"/>
      <c r="U19" s="2438"/>
      <c r="V19" s="2438"/>
    </row>
    <row r="20" spans="1:28">
      <c r="A20" s="2621" t="s">
        <v>2205</v>
      </c>
      <c r="B20" s="3508" t="s">
        <v>2206</v>
      </c>
      <c r="C20" s="3509"/>
      <c r="D20" s="3510" t="s">
        <v>2207</v>
      </c>
      <c r="E20" s="3511"/>
      <c r="F20" s="2636" t="s">
        <v>1056</v>
      </c>
      <c r="G20" s="2653"/>
      <c r="H20" s="2653"/>
      <c r="I20" s="2653"/>
      <c r="J20" s="2438"/>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21"/>
      <c r="B21" s="2622" t="s">
        <v>2209</v>
      </c>
      <c r="C21" s="2623" t="s">
        <v>1057</v>
      </c>
      <c r="D21" s="1567" t="s">
        <v>2210</v>
      </c>
      <c r="E21" s="2624" t="s">
        <v>1057</v>
      </c>
      <c r="F21" s="2637"/>
      <c r="G21" s="2653"/>
      <c r="H21" s="2653"/>
      <c r="I21" s="2653"/>
      <c r="J21" s="2438"/>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21"/>
      <c r="B22" s="2625" t="s">
        <v>2211</v>
      </c>
      <c r="C22" s="2623" t="s">
        <v>1058</v>
      </c>
      <c r="D22" s="2652"/>
      <c r="E22" s="2652"/>
      <c r="F22" s="2652"/>
      <c r="G22" s="2653"/>
      <c r="H22" s="2653"/>
      <c r="I22" s="2653"/>
      <c r="J22" s="2438"/>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26" t="s">
        <v>2212</v>
      </c>
      <c r="B23" s="2499" t="s">
        <v>2213</v>
      </c>
      <c r="C23" s="2627"/>
      <c r="D23" s="2628" t="s">
        <v>2213</v>
      </c>
      <c r="E23" s="2629"/>
      <c r="F23" s="2652"/>
      <c r="G23" s="2653"/>
      <c r="H23" s="2653"/>
      <c r="I23" s="2653"/>
      <c r="J23" s="2438"/>
      <c r="K23" s="2608"/>
      <c r="L23" s="2473"/>
      <c r="M23" s="2602"/>
      <c r="N23" s="2506"/>
      <c r="O23" s="2450"/>
      <c r="P23" s="2506"/>
      <c r="Q23" s="2438"/>
      <c r="R23" s="2438"/>
      <c r="S23" s="2438"/>
      <c r="T23" s="2438"/>
      <c r="U23" s="2438"/>
      <c r="V23" s="2438"/>
    </row>
    <row r="24" spans="1:28">
      <c r="A24" s="2626"/>
      <c r="B24" s="2499" t="s">
        <v>1059</v>
      </c>
      <c r="C24" s="2630"/>
      <c r="D24" s="2626" t="s">
        <v>1059</v>
      </c>
      <c r="E24" s="2631"/>
      <c r="F24" s="2652"/>
      <c r="G24" s="2653"/>
      <c r="H24" s="2653"/>
      <c r="I24" s="2653"/>
      <c r="J24" s="2438"/>
      <c r="K24" s="2608"/>
      <c r="L24" s="2473"/>
      <c r="M24" s="2602"/>
      <c r="N24" s="2506"/>
      <c r="O24" s="2450"/>
      <c r="P24" s="2506"/>
      <c r="Q24" s="2438"/>
      <c r="R24" s="2438"/>
      <c r="S24" s="2438"/>
      <c r="T24" s="2438"/>
      <c r="U24" s="2438"/>
      <c r="V24" s="2438"/>
    </row>
    <row r="25" spans="1:28">
      <c r="A25" s="2626"/>
      <c r="B25" s="2499" t="s">
        <v>1060</v>
      </c>
      <c r="C25" s="2630"/>
      <c r="D25" s="2626" t="s">
        <v>1060</v>
      </c>
      <c r="E25" s="2631"/>
      <c r="F25" s="2652"/>
      <c r="G25" s="2653"/>
      <c r="H25" s="2653"/>
      <c r="I25" s="2653"/>
      <c r="J25" s="2438"/>
      <c r="K25" s="2605"/>
      <c r="L25" s="2602"/>
      <c r="M25" s="2602"/>
      <c r="N25" s="2506"/>
      <c r="O25" s="2450"/>
      <c r="P25" s="2506"/>
      <c r="Q25" s="2438"/>
      <c r="R25" s="2438"/>
      <c r="S25" s="2438"/>
      <c r="T25" s="2438"/>
      <c r="U25" s="2438"/>
      <c r="V25" s="2438"/>
    </row>
    <row r="26" spans="1:28" ht="13.8" thickBot="1">
      <c r="A26" s="2632"/>
      <c r="B26" s="2633" t="s">
        <v>1061</v>
      </c>
      <c r="C26" s="2634"/>
      <c r="D26" s="2632" t="s">
        <v>1061</v>
      </c>
      <c r="E26" s="2635"/>
      <c r="F26" s="2654"/>
      <c r="G26" s="2654"/>
      <c r="H26" s="2654"/>
      <c r="I26" s="2654"/>
      <c r="J26" s="2438"/>
      <c r="K26" s="2605"/>
      <c r="L26" s="2602"/>
      <c r="M26" s="2602"/>
      <c r="N26" s="2506"/>
      <c r="O26" s="2450"/>
      <c r="P26" s="2506"/>
      <c r="Q26" s="2438"/>
      <c r="R26" s="2438"/>
      <c r="S26" s="2438"/>
      <c r="T26" s="2438"/>
      <c r="U26" s="2438"/>
      <c r="V26" s="2438"/>
    </row>
    <row r="27" spans="1:28" ht="13.8" thickTop="1">
      <c r="A27" s="3495" t="s">
        <v>2214</v>
      </c>
      <c r="B27" s="320" t="s">
        <v>2215</v>
      </c>
      <c r="C27" s="2415"/>
      <c r="D27" s="2416"/>
      <c r="E27" s="2653"/>
      <c r="F27" s="2653"/>
      <c r="G27" s="2653"/>
      <c r="H27" s="2653"/>
      <c r="I27" s="2653"/>
      <c r="J27" s="2438"/>
      <c r="K27" s="2606"/>
      <c r="L27" s="2450"/>
      <c r="M27" s="2450"/>
      <c r="N27" s="2506"/>
      <c r="O27" s="2450"/>
      <c r="P27" s="2506"/>
      <c r="Q27" s="2438"/>
      <c r="R27" s="2438"/>
      <c r="S27" s="2438"/>
      <c r="T27" s="2438"/>
      <c r="U27" s="2438"/>
      <c r="V27" s="2438"/>
    </row>
    <row r="28" spans="1:28">
      <c r="A28" s="3495"/>
      <c r="B28" s="302" t="s">
        <v>2216</v>
      </c>
      <c r="C28" s="2417"/>
      <c r="D28" s="2418"/>
      <c r="E28" s="2653"/>
      <c r="F28" s="2653"/>
      <c r="G28" s="2653"/>
      <c r="H28" s="2653"/>
      <c r="I28" s="2653"/>
      <c r="J28" s="2438"/>
      <c r="K28" s="2605"/>
      <c r="L28" s="2602"/>
      <c r="M28" s="2602"/>
      <c r="N28" s="2438"/>
      <c r="O28" s="2449"/>
      <c r="P28" s="2438"/>
      <c r="Q28" s="2438"/>
      <c r="R28" s="2438"/>
      <c r="S28" s="2438"/>
      <c r="T28" s="2438"/>
      <c r="U28" s="2438"/>
      <c r="V28" s="2438"/>
    </row>
    <row r="29" spans="1:28">
      <c r="A29" s="3495"/>
      <c r="B29" s="302" t="s">
        <v>2217</v>
      </c>
      <c r="C29" s="2419"/>
      <c r="D29" s="2420"/>
      <c r="E29" s="2653"/>
      <c r="F29" s="2653"/>
      <c r="G29" s="2653"/>
      <c r="H29" s="2653"/>
      <c r="I29" s="2653"/>
      <c r="J29" s="2438"/>
      <c r="K29" s="2605"/>
      <c r="L29" s="2602"/>
      <c r="M29" s="2602"/>
      <c r="N29" s="2438"/>
      <c r="O29" s="2449"/>
      <c r="P29" s="2438"/>
      <c r="Q29" s="2438"/>
      <c r="R29" s="2438"/>
      <c r="S29" s="2438"/>
      <c r="T29" s="2438"/>
      <c r="U29" s="2438"/>
      <c r="V29" s="2438"/>
    </row>
    <row r="30" spans="1:28">
      <c r="A30" s="3496"/>
      <c r="B30" s="302" t="s">
        <v>2218</v>
      </c>
      <c r="C30" s="3497"/>
      <c r="D30" s="3498"/>
      <c r="E30" s="2653"/>
      <c r="F30" s="2653"/>
      <c r="G30" s="2653"/>
      <c r="H30" s="2653"/>
      <c r="I30" s="2653"/>
      <c r="J30" s="2438"/>
      <c r="K30" s="2605"/>
      <c r="L30" s="2602"/>
      <c r="M30" s="2602"/>
      <c r="N30" s="2438"/>
      <c r="O30" s="2449"/>
      <c r="P30" s="2438"/>
      <c r="Q30" s="2438"/>
      <c r="R30" s="2438"/>
      <c r="S30" s="2438"/>
      <c r="T30" s="2438"/>
      <c r="U30" s="2438"/>
      <c r="V30" s="2438"/>
    </row>
    <row r="31" spans="1:28">
      <c r="A31" s="3499" t="s">
        <v>2219</v>
      </c>
      <c r="B31" s="2421"/>
      <c r="C31" s="2322" t="str">
        <f>IF(B31="现房","成新及维护状况正常否",IF(B31="在建","工程状态是否正常",IF(B31="土地","是否闲置","-")))</f>
        <v>-</v>
      </c>
      <c r="D31" s="1372"/>
      <c r="E31" s="2422"/>
      <c r="F31" s="2653"/>
      <c r="G31" s="2653"/>
      <c r="H31" s="2653"/>
      <c r="I31" s="2653"/>
      <c r="J31" s="2438"/>
      <c r="K31" s="2604"/>
      <c r="L31" s="2602"/>
      <c r="M31" s="2602"/>
      <c r="N31" s="2438"/>
      <c r="O31" s="2449"/>
      <c r="P31" s="2438"/>
      <c r="Q31" s="2438"/>
      <c r="R31" s="2438"/>
      <c r="S31" s="2438"/>
      <c r="T31" s="2438"/>
      <c r="U31" s="2438"/>
      <c r="V31" s="2438"/>
    </row>
    <row r="32" spans="1:28">
      <c r="A32" s="3500"/>
      <c r="B32" s="2421"/>
      <c r="C32" s="2322" t="str">
        <f>IF(B32="现房","成新及维护状况是否正常",IF(B32="在建","工程状态是否正常",IF(B32="土地","是否闲置","-")))</f>
        <v>-</v>
      </c>
      <c r="D32" s="1372"/>
      <c r="E32" s="2422"/>
      <c r="F32" s="2653"/>
      <c r="G32" s="2653"/>
      <c r="H32" s="2653"/>
      <c r="I32" s="2653"/>
      <c r="J32" s="2438"/>
      <c r="K32" s="2605"/>
      <c r="L32" s="2602"/>
      <c r="M32" s="2602"/>
      <c r="N32" s="2438"/>
      <c r="O32" s="2449"/>
      <c r="P32" s="2438"/>
      <c r="Q32" s="2438"/>
      <c r="R32" s="2438"/>
      <c r="S32" s="2438"/>
      <c r="T32" s="2438"/>
      <c r="U32" s="2438"/>
      <c r="V32" s="2438"/>
    </row>
    <row r="33" spans="1:30">
      <c r="A33" s="3500"/>
      <c r="B33" s="2424"/>
      <c r="C33" s="1589" t="str">
        <f>IF(B33="现房","成新及维护状况是否正常",IF(B33="在建","工程状态是否正常",IF(B33="土地","是否闲置","-")))</f>
        <v>-</v>
      </c>
      <c r="D33" s="1364"/>
      <c r="E33" s="2425"/>
      <c r="F33" s="2653"/>
      <c r="G33" s="2653"/>
      <c r="H33" s="2653"/>
      <c r="I33" s="2653"/>
      <c r="J33" s="2438"/>
      <c r="K33" s="2605"/>
      <c r="L33" s="2602"/>
      <c r="M33" s="2602"/>
      <c r="N33" s="2438"/>
      <c r="O33" s="2449"/>
      <c r="P33" s="2438"/>
      <c r="Q33" s="2438"/>
      <c r="R33" s="2438"/>
      <c r="S33" s="2438"/>
      <c r="T33" s="2438"/>
      <c r="U33" s="2438"/>
      <c r="V33" s="2438"/>
    </row>
    <row r="34" spans="1:30">
      <c r="A34" s="302" t="s">
        <v>2220</v>
      </c>
      <c r="B34" s="2025"/>
      <c r="C34" s="2025"/>
      <c r="D34" s="2025"/>
      <c r="E34" s="2025"/>
      <c r="F34" s="2025"/>
      <c r="G34" s="2025"/>
      <c r="H34" s="2025"/>
      <c r="I34" s="2653"/>
      <c r="J34" s="2438"/>
      <c r="K34" s="2426">
        <f>COUNTIF(B34:H34,"——")</f>
        <v>0</v>
      </c>
      <c r="L34" s="323" t="s">
        <v>2221</v>
      </c>
      <c r="M34" s="323" t="s">
        <v>2222</v>
      </c>
      <c r="N34" s="323" t="s">
        <v>2223</v>
      </c>
      <c r="O34" s="323" t="s">
        <v>2224</v>
      </c>
      <c r="P34" s="323" t="s">
        <v>2225</v>
      </c>
      <c r="Q34" s="323" t="s">
        <v>2226</v>
      </c>
      <c r="R34" s="323" t="s">
        <v>2227</v>
      </c>
      <c r="S34" s="3494" t="s">
        <v>2228</v>
      </c>
      <c r="T34" s="2427" t="str">
        <f>NUMBERSTRING(7-K34,1)&amp;"通"</f>
        <v>七通</v>
      </c>
      <c r="U34" s="2438"/>
      <c r="V34" s="2438"/>
    </row>
    <row r="35" spans="1:30">
      <c r="A35" s="2428"/>
      <c r="B35" s="3501" t="s">
        <v>2229</v>
      </c>
      <c r="C35" s="3501"/>
      <c r="D35" s="3501"/>
      <c r="E35" s="3501"/>
      <c r="F35" s="664">
        <f>C10</f>
        <v>0</v>
      </c>
      <c r="G35" s="2653"/>
      <c r="H35" s="2653"/>
      <c r="I35" s="265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52" t="s">
        <v>2579</v>
      </c>
      <c r="G36" s="2653"/>
      <c r="H36" s="2653"/>
      <c r="I36" s="2653"/>
      <c r="J36" s="2438"/>
      <c r="K36" s="2605"/>
      <c r="L36" s="2602"/>
      <c r="M36" s="2602"/>
      <c r="N36" s="2438"/>
      <c r="O36" s="2449"/>
      <c r="P36" s="2438"/>
      <c r="Q36" s="2438"/>
      <c r="R36" s="2438"/>
      <c r="S36" s="2438"/>
      <c r="T36" s="2438"/>
      <c r="U36" s="2438"/>
      <c r="V36" s="2438"/>
    </row>
    <row r="37" spans="1:30">
      <c r="A37" s="2619" t="s">
        <v>2230</v>
      </c>
      <c r="B37" s="2430"/>
      <c r="C37" s="2430"/>
      <c r="D37" s="2430" t="s">
        <v>296</v>
      </c>
      <c r="E37" s="2430"/>
      <c r="F37" s="2430"/>
      <c r="G37" s="2653"/>
      <c r="H37" s="2653"/>
      <c r="I37" s="2653"/>
      <c r="J37" s="2438"/>
      <c r="K37" s="2605"/>
      <c r="L37" s="2602"/>
      <c r="M37" s="2602"/>
      <c r="N37" s="2438"/>
      <c r="O37" s="2449"/>
      <c r="P37" s="2438"/>
      <c r="Q37" s="2438"/>
      <c r="R37" s="2438"/>
      <c r="S37" s="2438"/>
      <c r="T37" s="2438"/>
      <c r="U37" s="2438"/>
      <c r="V37" s="2438"/>
    </row>
    <row r="38" spans="1:30" ht="13.8" thickBot="1">
      <c r="A38" s="2620" t="s">
        <v>2231</v>
      </c>
      <c r="B38" s="2431"/>
      <c r="C38" s="2431"/>
      <c r="D38" s="2431" t="s">
        <v>129</v>
      </c>
      <c r="E38" s="2431"/>
      <c r="F38" s="2431"/>
      <c r="G38" s="2654"/>
      <c r="H38" s="2654"/>
      <c r="I38" s="2654"/>
      <c r="J38" s="2438"/>
      <c r="K38" s="2605"/>
      <c r="L38" s="2602"/>
      <c r="M38" s="260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9"/>
      <c r="B40" s="2369"/>
      <c r="C40" s="2369"/>
      <c r="D40" s="2369"/>
      <c r="E40" s="2369"/>
      <c r="F40" s="2369"/>
      <c r="G40" s="2369"/>
      <c r="H40" s="2369"/>
      <c r="I40" s="1577"/>
      <c r="J40" s="2506"/>
      <c r="K40" s="2604"/>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05"/>
      <c r="L41" s="2602"/>
      <c r="M41" s="260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15" t="s">
        <v>2243</v>
      </c>
      <c r="K42" s="2616" t="s">
        <v>2244</v>
      </c>
      <c r="L42" s="2616" t="s">
        <v>2245</v>
      </c>
      <c r="M42" s="2616" t="s">
        <v>2246</v>
      </c>
      <c r="N42" s="2609" t="s">
        <v>2247</v>
      </c>
      <c r="O42" s="2609" t="s">
        <v>2248</v>
      </c>
      <c r="P42" s="2609" t="s">
        <v>2249</v>
      </c>
      <c r="Q42" s="2610" t="s">
        <v>2250</v>
      </c>
      <c r="R42" s="261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55.9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55.9</v>
      </c>
      <c r="H5" s="13">
        <f t="shared" ref="H5:AT5" si="0">SUM(H13:H656)</f>
        <v>55.9</v>
      </c>
      <c r="I5" s="13">
        <f t="shared" si="0"/>
        <v>55.9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55.9</v>
      </c>
      <c r="BA5" s="15">
        <f t="shared" si="1"/>
        <v>55.9</v>
      </c>
      <c r="BB5" s="15">
        <f t="shared" si="1"/>
        <v>55.9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3381</v>
      </c>
      <c r="E13" s="13">
        <f>IF($C$3="是",ROUND($A$3*G13/$B$3,2),ROUND($A$3*(G13-AT13)/$B$3,2))</f>
        <v>0</v>
      </c>
      <c r="F13" s="29"/>
      <c r="G13" s="30">
        <f>H13+AC13+AT13</f>
        <v>55.9</v>
      </c>
      <c r="H13" s="17">
        <f>SUMIF(I$12:AB$12,"总值",I13:AB13)</f>
        <v>55.9</v>
      </c>
      <c r="I13" s="1625">
        <v>55.9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55.9</v>
      </c>
      <c r="BA13" s="13">
        <f>SUM(BB13:BK13)</f>
        <v>55.9</v>
      </c>
      <c r="BB13" s="13">
        <f>IF($D13="是",I13-J13,0)</f>
        <v>55.9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3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33" t="s">
        <v>1131</v>
      </c>
      <c r="B2" s="3533"/>
      <c r="C2" s="3533"/>
      <c r="D2" s="796" t="s">
        <v>1107</v>
      </c>
      <c r="E2" s="1638" t="s">
        <v>1108</v>
      </c>
      <c r="F2" s="2648"/>
      <c r="G2" s="2639"/>
      <c r="H2" s="2640"/>
      <c r="I2" s="2324" t="s">
        <v>1132</v>
      </c>
      <c r="J2" s="2648"/>
      <c r="K2" s="2648"/>
      <c r="L2" s="2648"/>
      <c r="M2" s="2648"/>
      <c r="N2" s="2650"/>
      <c r="O2" s="2648"/>
      <c r="P2" s="2648"/>
    </row>
    <row r="3" spans="1:16" ht="15" thickBot="1">
      <c r="A3" s="3534" t="s">
        <v>1105</v>
      </c>
      <c r="B3" s="3534"/>
      <c r="C3" s="3534"/>
      <c r="D3" s="43">
        <f>'数据-基础表'!AY6</f>
        <v>0</v>
      </c>
      <c r="E3" s="43">
        <f>'数据-基础表'!AZ5</f>
        <v>55.9</v>
      </c>
      <c r="F3" s="2648"/>
      <c r="G3" s="1145"/>
      <c r="H3" s="1026" t="s">
        <v>1106</v>
      </c>
      <c r="I3" s="855" t="e">
        <f>ROUND('数据-基础表'!B3/'数据-基础表'!A3,2)</f>
        <v>#DIV/0!</v>
      </c>
      <c r="J3" s="2648"/>
      <c r="K3" s="2648"/>
      <c r="L3" s="2648"/>
      <c r="M3" s="2648"/>
      <c r="N3" s="2650"/>
      <c r="O3" s="2648"/>
      <c r="P3" s="2648"/>
    </row>
    <row r="4" spans="1:16" ht="14.4">
      <c r="A4" s="3535"/>
      <c r="B4" s="3536"/>
      <c r="C4" s="3537"/>
      <c r="D4" s="1640" t="s">
        <v>1107</v>
      </c>
      <c r="E4" s="1641" t="s">
        <v>1108</v>
      </c>
      <c r="F4" s="2648"/>
      <c r="G4" s="2641" t="s">
        <v>1133</v>
      </c>
      <c r="H4" s="1026" t="s">
        <v>1113</v>
      </c>
      <c r="I4" s="855" t="e">
        <f>ROUND(SUMIF('数据-基础表'!I9:AS9,"地上",'数据-基础表'!I5:AS5)/'数据-基础表'!A3,2)</f>
        <v>#DIV/0!</v>
      </c>
      <c r="J4" s="2648"/>
      <c r="K4" s="2648"/>
      <c r="L4" s="2648"/>
      <c r="M4" s="2648"/>
      <c r="N4" s="2650"/>
      <c r="O4" s="2648"/>
      <c r="P4" s="2648"/>
    </row>
    <row r="5" spans="1:16" ht="14.4">
      <c r="A5" s="44" t="s">
        <v>1109</v>
      </c>
      <c r="B5" s="3538" t="s">
        <v>1110</v>
      </c>
      <c r="C5" s="3538"/>
      <c r="D5" s="45">
        <f>ROUND($D$3*E5/$E$3,2)</f>
        <v>0</v>
      </c>
      <c r="E5" s="46">
        <f>SUMIF('数据-基础表'!$11:$11,"住宅",'数据-基础表'!$5:$5)</f>
        <v>55.9</v>
      </c>
      <c r="F5" s="2648"/>
      <c r="G5" s="1145"/>
      <c r="H5" s="1026" t="s">
        <v>1106</v>
      </c>
      <c r="I5" s="855" t="e">
        <f>ROUND(E31/D31,2)</f>
        <v>#DIV/0!</v>
      </c>
      <c r="J5" s="2648"/>
      <c r="K5" s="2648"/>
      <c r="L5" s="2648"/>
      <c r="M5" s="2648"/>
      <c r="N5" s="2648"/>
      <c r="O5" s="2648"/>
      <c r="P5" s="2648"/>
    </row>
    <row r="6" spans="1:16" ht="15" thickBot="1">
      <c r="A6" s="1643"/>
      <c r="B6" s="3538" t="s">
        <v>1111</v>
      </c>
      <c r="C6" s="3538"/>
      <c r="D6" s="45">
        <f>ROUND($D$3*E6/$E$3,2)</f>
        <v>0</v>
      </c>
      <c r="E6" s="46">
        <f>E3-E5</f>
        <v>0</v>
      </c>
      <c r="F6" s="2648"/>
      <c r="G6" s="2642" t="s">
        <v>1112</v>
      </c>
      <c r="H6" s="1146" t="s">
        <v>1113</v>
      </c>
      <c r="I6" s="2643" t="e">
        <f>ROUND(F31/D31,2)</f>
        <v>#DIV/0!</v>
      </c>
      <c r="J6" s="2648"/>
      <c r="K6" s="2648"/>
      <c r="L6" s="2648"/>
      <c r="M6" s="2648"/>
      <c r="N6" s="2648"/>
      <c r="O6" s="2648"/>
      <c r="P6" s="2648"/>
    </row>
    <row r="7" spans="1:16" ht="15" thickBot="1">
      <c r="A7" s="3530"/>
      <c r="B7" s="3531"/>
      <c r="C7" s="3532"/>
      <c r="D7" s="1640" t="s">
        <v>1107</v>
      </c>
      <c r="E7" s="1644" t="s">
        <v>1114</v>
      </c>
      <c r="F7" s="2648"/>
      <c r="G7" s="2644" t="s">
        <v>1115</v>
      </c>
      <c r="H7" s="2645"/>
      <c r="I7" s="2646"/>
      <c r="J7" s="2648"/>
      <c r="K7" s="2648"/>
      <c r="L7" s="2648"/>
      <c r="M7" s="2648"/>
      <c r="N7" s="2648"/>
      <c r="O7" s="2648"/>
      <c r="P7" s="2648"/>
    </row>
    <row r="8" spans="1:16" ht="14.4">
      <c r="A8" s="44" t="s">
        <v>1116</v>
      </c>
      <c r="B8" s="47" t="s">
        <v>1117</v>
      </c>
      <c r="C8" s="45" t="s">
        <v>1118</v>
      </c>
      <c r="D8" s="45">
        <f t="shared" ref="D8:D15" si="0">ROUND($D$3*E8/$E$3,2)</f>
        <v>0</v>
      </c>
      <c r="E8" s="48">
        <f>SUMIF('数据-基础表'!BB10:BK10,"地上",'数据-基础表'!BB5:BK5)</f>
        <v>55.9</v>
      </c>
      <c r="F8" s="2648"/>
      <c r="G8" s="2649"/>
      <c r="H8" s="2649"/>
      <c r="I8" s="2648"/>
      <c r="J8" s="2648"/>
      <c r="K8" s="2648"/>
      <c r="L8" s="2648"/>
      <c r="M8" s="2648"/>
      <c r="N8" s="2648"/>
      <c r="O8" s="2648"/>
      <c r="P8" s="2648"/>
    </row>
    <row r="9" spans="1:16" ht="14.4">
      <c r="A9" s="1645"/>
      <c r="B9" s="1646"/>
      <c r="C9" s="45" t="s">
        <v>1119</v>
      </c>
      <c r="D9" s="45">
        <f t="shared" si="0"/>
        <v>0</v>
      </c>
      <c r="E9" s="49">
        <v>0</v>
      </c>
      <c r="F9" s="2648"/>
      <c r="G9" s="2649"/>
      <c r="H9" s="2649"/>
      <c r="I9" s="2648"/>
      <c r="J9" s="2648"/>
      <c r="K9" s="2648"/>
      <c r="L9" s="2648"/>
      <c r="M9" s="2648"/>
      <c r="N9" s="2648"/>
      <c r="O9" s="2648"/>
      <c r="P9" s="2648"/>
    </row>
    <row r="10" spans="1:16" ht="14.4">
      <c r="A10" s="1645"/>
      <c r="B10" s="1646"/>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ht="14.4">
      <c r="A11" s="1645"/>
      <c r="B11" s="1646"/>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ht="14.4">
      <c r="A12" s="1645"/>
      <c r="B12" s="1646"/>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ht="14.4">
      <c r="A13" s="1645"/>
      <c r="B13" s="1646"/>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ht="14.4">
      <c r="A14" s="1645"/>
      <c r="B14" s="1646"/>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5"/>
      <c r="B15" s="1646"/>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 thickBot="1">
      <c r="A16" s="1643"/>
      <c r="B16" s="1646"/>
      <c r="C16" s="47" t="s">
        <v>1123</v>
      </c>
      <c r="D16" s="47">
        <f>SUM(D8:D15)</f>
        <v>0</v>
      </c>
      <c r="E16" s="50">
        <f>SUM(E8:E15)</f>
        <v>55.9</v>
      </c>
      <c r="F16" s="2648"/>
      <c r="G16" s="2649"/>
      <c r="H16" s="1647" t="s">
        <v>1135</v>
      </c>
      <c r="I16" s="1648"/>
      <c r="J16" s="1139"/>
      <c r="K16" s="3527" t="s">
        <v>1135</v>
      </c>
      <c r="L16" s="3528"/>
      <c r="M16" s="3528"/>
      <c r="N16" s="3528"/>
      <c r="O16" s="3528"/>
      <c r="P16" s="3529"/>
    </row>
    <row r="17" spans="1:19" ht="14.4">
      <c r="A17" s="1649" t="s">
        <v>1136</v>
      </c>
      <c r="B17" s="1650" t="s">
        <v>1137</v>
      </c>
      <c r="C17" s="1651" t="s">
        <v>1138</v>
      </c>
      <c r="D17" s="1652" t="s">
        <v>1126</v>
      </c>
      <c r="E17" s="1653" t="s">
        <v>1127</v>
      </c>
      <c r="F17" s="1654"/>
      <c r="G17" s="1655"/>
      <c r="H17" s="1656" t="s">
        <v>1139</v>
      </c>
      <c r="I17" s="1657" t="s">
        <v>1124</v>
      </c>
      <c r="J17" s="1139"/>
      <c r="K17" s="3524" t="s">
        <v>1140</v>
      </c>
      <c r="L17" s="3525"/>
      <c r="M17" s="3526"/>
      <c r="N17" s="3524" t="s">
        <v>1141</v>
      </c>
      <c r="O17" s="3525"/>
      <c r="P17" s="3526"/>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04" t="s">
        <v>3384</v>
      </c>
      <c r="D19" s="45">
        <f>ROUND($D$3*E19/$E$3,2)</f>
        <v>0</v>
      </c>
      <c r="E19" s="53">
        <f t="shared" ref="E19:E26" si="1">SUM(F19:G19)</f>
        <v>55.9</v>
      </c>
      <c r="F19" s="2782">
        <f>'数据-基础表'!I13</f>
        <v>55.9</v>
      </c>
      <c r="G19" s="278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55.9</v>
      </c>
    </row>
    <row r="20" spans="1:19" ht="14.4">
      <c r="A20" s="1669"/>
      <c r="B20" s="47" t="s">
        <v>1153</v>
      </c>
      <c r="C20" s="3404"/>
      <c r="D20" s="45">
        <f t="shared" ref="D20:D26" si="6">ROUND($D$3*E20/$E$3,2)</f>
        <v>0</v>
      </c>
      <c r="E20" s="53">
        <f t="shared" si="1"/>
        <v>0</v>
      </c>
      <c r="F20" s="2782"/>
      <c r="G20" s="278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04"/>
      <c r="D21" s="45">
        <f t="shared" si="6"/>
        <v>0</v>
      </c>
      <c r="E21" s="53">
        <f t="shared" si="1"/>
        <v>0</v>
      </c>
      <c r="F21" s="2782"/>
      <c r="G21" s="278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05"/>
      <c r="D22" s="45">
        <f t="shared" si="6"/>
        <v>0</v>
      </c>
      <c r="E22" s="53">
        <f t="shared" si="1"/>
        <v>0</v>
      </c>
      <c r="F22" s="2784"/>
      <c r="G22" s="278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05"/>
      <c r="D23" s="45">
        <f>ROUND($D$3*E23/$E$3,2)</f>
        <v>0</v>
      </c>
      <c r="E23" s="53">
        <f>SUM(F23:G23)</f>
        <v>0</v>
      </c>
      <c r="F23" s="2784"/>
      <c r="G23" s="278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05"/>
      <c r="D24" s="45">
        <f>ROUND($D$3*E24/$E$3,2)</f>
        <v>0</v>
      </c>
      <c r="E24" s="53">
        <f>SUM(F24:G24)</f>
        <v>0</v>
      </c>
      <c r="F24" s="2784"/>
      <c r="G24" s="278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05"/>
      <c r="D25" s="45">
        <f t="shared" si="6"/>
        <v>0</v>
      </c>
      <c r="E25" s="53">
        <f t="shared" si="1"/>
        <v>0</v>
      </c>
      <c r="F25" s="2784"/>
      <c r="G25" s="278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84"/>
      <c r="G26" s="278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55.9</v>
      </c>
      <c r="F27" s="1140">
        <f>IF(SUM(F19:F26)=E8,SUM(F19:F26),"地上面积有误")</f>
        <v>55.9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55.9</v>
      </c>
    </row>
    <row r="28" spans="1:19" ht="14.4">
      <c r="A28" s="1669"/>
      <c r="B28" s="47" t="s">
        <v>1155</v>
      </c>
      <c r="C28" s="1038"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ht="14.4">
      <c r="A29" s="1669"/>
      <c r="B29" s="47" t="s">
        <v>1155</v>
      </c>
      <c r="C29" s="1673"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4.4">
      <c r="A30" s="1669"/>
      <c r="B30" s="47"/>
      <c r="C30" s="1674" t="s">
        <v>1154</v>
      </c>
      <c r="D30" s="1140">
        <f>SUM(D28:D29)</f>
        <v>0</v>
      </c>
      <c r="E30" s="1140">
        <f>SUM(E28:E29)</f>
        <v>0</v>
      </c>
      <c r="F30" s="1140">
        <f>SUM(F28:F29)</f>
        <v>0</v>
      </c>
      <c r="G30" s="1142">
        <f>SUM(G28:G29)</f>
        <v>0</v>
      </c>
      <c r="H30" s="2648"/>
      <c r="I30" s="2648"/>
      <c r="J30" s="2648"/>
      <c r="K30" s="2648"/>
      <c r="L30" s="2648"/>
      <c r="M30" s="2648"/>
      <c r="N30" s="2648"/>
      <c r="O30" s="2648"/>
      <c r="P30" s="2648"/>
    </row>
    <row r="31" spans="1:19" ht="15" thickBot="1">
      <c r="A31" s="1675"/>
      <c r="B31" s="1676"/>
      <c r="C31" s="835" t="s">
        <v>1158</v>
      </c>
      <c r="D31" s="676">
        <f>D27+D30</f>
        <v>0</v>
      </c>
      <c r="E31" s="676">
        <f>E27+E30</f>
        <v>55.9</v>
      </c>
      <c r="F31" s="677">
        <f>F27+F30</f>
        <v>55.9</v>
      </c>
      <c r="G31" s="678">
        <f>G27+G30</f>
        <v>0</v>
      </c>
      <c r="H31" s="2648"/>
      <c r="I31" s="2648"/>
      <c r="J31" s="2648"/>
      <c r="K31" s="2648"/>
      <c r="L31" s="2648"/>
      <c r="M31" s="2648"/>
      <c r="N31" s="2648"/>
      <c r="O31" s="2648"/>
      <c r="P31" s="2648"/>
    </row>
    <row r="32" spans="1:19" ht="14.4">
      <c r="A32" s="1642"/>
      <c r="B32" s="1642" t="s">
        <v>1159</v>
      </c>
      <c r="C32" s="1642"/>
      <c r="D32" s="1642"/>
      <c r="E32" s="1053">
        <f>SUMIF(C19:C26,"*住宅*",E19:E26)</f>
        <v>55.9</v>
      </c>
      <c r="F32" s="1642"/>
      <c r="G32" s="1642"/>
      <c r="H32" s="2648"/>
      <c r="I32" s="2648"/>
      <c r="J32" s="2648"/>
      <c r="K32" s="2648"/>
      <c r="L32" s="2648"/>
      <c r="M32" s="2648"/>
      <c r="N32" s="2648"/>
      <c r="O32" s="2648"/>
      <c r="P32" s="264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0"/>
      <c r="AO1" s="2660"/>
      <c r="AP1" s="2660"/>
      <c r="AQ1" s="2660"/>
      <c r="AR1" s="2660"/>
    </row>
    <row r="2" spans="1:67" s="1558" customFormat="1" ht="15" thickBot="1">
      <c r="A2" s="1682" t="s">
        <v>1161</v>
      </c>
      <c r="B2" s="1045">
        <f>项目基本情况!D3</f>
        <v>45517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2"/>
      <c r="AO2" s="2662"/>
      <c r="AP2" s="2662"/>
      <c r="AQ2" s="2662"/>
      <c r="AR2" s="266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2"/>
      <c r="AO3" s="2662"/>
      <c r="AP3" s="2662"/>
      <c r="AQ3" s="2662"/>
      <c r="AR3" s="266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4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2"/>
      <c r="AO4" s="2662"/>
      <c r="AP4" s="2662"/>
      <c r="AQ4" s="2662"/>
      <c r="AR4" s="266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3383</v>
      </c>
      <c r="D6" s="858">
        <f>SUMIF(项目基本情况!C$12:I$12,C6,项目基本情况!C$14:I$14)</f>
        <v>70</v>
      </c>
      <c r="E6" s="857">
        <f>IF(B6="","",SUMIF(项目基本情况!C$12:I$12,C6,项目基本情况!C$13:I$13))</f>
        <v>62238</v>
      </c>
      <c r="F6" s="64">
        <f>SUMIF(项目基本情况!C$12:I$12,C6,项目基本情况!C$15:I$15)</f>
        <v>70</v>
      </c>
      <c r="G6" s="65">
        <f>IF(ISERROR(ROUND(POWER(1+H6,D6-F6)*(POWER(1+H6,F6)-1)/(POWER(1+H6,D6)-1),3)),0,ROUND(POWER(1+H6,D6-F6)*(POWER(1+H6,F6)-1)/(POWER(1+H6,D6)-1),3))</f>
        <v>1</v>
      </c>
      <c r="H6" s="732">
        <v>0.04</v>
      </c>
      <c r="I6" s="732">
        <v>0.04</v>
      </c>
      <c r="J6" s="66"/>
      <c r="K6" s="1030">
        <f>SUMIF('数据-汇总表'!C$19:C$33,A6,'数据-汇总表'!E$19:E$33)</f>
        <v>55.9</v>
      </c>
      <c r="L6" s="733">
        <v>4000</v>
      </c>
      <c r="M6" s="67">
        <f t="shared" ref="M6:M14" si="0">ROUND(K6*L6/10000,0)</f>
        <v>22</v>
      </c>
      <c r="N6" s="731">
        <v>0.6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15">
        <v>120</v>
      </c>
      <c r="V6" s="70">
        <v>3.5000000000000003E-2</v>
      </c>
      <c r="W6" s="70">
        <v>0.08</v>
      </c>
      <c r="X6" s="1040"/>
      <c r="Y6" s="71">
        <f>N6</f>
        <v>0.6</v>
      </c>
      <c r="Z6" s="72"/>
      <c r="AA6" s="66"/>
      <c r="AB6" s="66"/>
      <c r="AC6" s="1040"/>
      <c r="AD6" s="73"/>
      <c r="AE6" s="1041">
        <f ca="1">IF(AN6="",0,SUMIF(INDIRECT("'"&amp;AN6&amp;"'"&amp;"!E:E"),$AE$5,INDIRECT("'"&amp;AN6&amp;"'"&amp;"!F:F")))</f>
        <v>70</v>
      </c>
      <c r="AF6" s="1347"/>
      <c r="AG6" s="138">
        <f>IF(AF6="",0,AE6-AF6)</f>
        <v>0</v>
      </c>
      <c r="AH6" s="74">
        <f>'数据-汇总表'!F19</f>
        <v>55.9</v>
      </c>
      <c r="AI6" s="76">
        <v>12</v>
      </c>
      <c r="AJ6" s="77"/>
      <c r="AK6" s="78">
        <v>0.01</v>
      </c>
      <c r="AL6" s="79">
        <v>1E-3</v>
      </c>
      <c r="AM6" s="80">
        <v>0.01</v>
      </c>
      <c r="AN6" s="1714" t="s">
        <v>3390</v>
      </c>
      <c r="AO6" s="52">
        <f ca="1">SUMIF(INDIRECT("'"&amp;AN6&amp;"'"&amp;"!A:A"),"总价",INDIRECT("'"&amp;AN6&amp;"'"&amp;"!B:B"))</f>
        <v>356.9699</v>
      </c>
      <c r="AP6" s="1715">
        <f>IF(C6="住宅",K6*L6,0)</f>
        <v>223600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0"/>
      <c r="AO14" s="2662"/>
      <c r="AP14" s="2662"/>
      <c r="AQ14" s="2662"/>
      <c r="AR14" s="266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0"/>
      <c r="AO15" s="2662"/>
      <c r="AP15" s="2662"/>
      <c r="AQ15" s="2662"/>
      <c r="AR15" s="266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1</v>
      </c>
      <c r="H16" s="90">
        <f>ROUND(SUMPRODUCT(H6:H13,K6:K13)/SUMPRODUCT((H6:H13&gt;0)*(K6:K13)),3)</f>
        <v>0.04</v>
      </c>
      <c r="I16" s="91"/>
      <c r="J16" s="91"/>
      <c r="K16" s="92">
        <f>SUM(K6:K15)</f>
        <v>55.9</v>
      </c>
      <c r="L16" s="93">
        <f>ROUND(M16*10000/SUM(K6:K14),0)</f>
        <v>3936</v>
      </c>
      <c r="M16" s="93">
        <f>SUM(M6:M14)</f>
        <v>22</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f>ROUND(1-(2024-'收益法 (元)'!J49)/60,2)</f>
        <v>0.27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21" t="s">
        <v>1211</v>
      </c>
      <c r="B19" s="103"/>
      <c r="C19" s="2786" t="s">
        <v>2302</v>
      </c>
      <c r="D19" s="2665"/>
      <c r="E19" s="2662"/>
      <c r="F19" s="2662"/>
      <c r="G19" s="2662"/>
      <c r="H19" s="2662"/>
      <c r="I19" s="2662"/>
      <c r="J19" s="2662"/>
      <c r="K19" s="2661"/>
      <c r="L19" s="2661"/>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22" t="s">
        <v>1212</v>
      </c>
      <c r="B20" s="104">
        <v>2</v>
      </c>
      <c r="C20" s="2787" t="s">
        <v>2300</v>
      </c>
      <c r="D20" s="2665"/>
      <c r="E20" s="2662"/>
      <c r="F20" s="2662"/>
      <c r="G20" s="2662"/>
      <c r="H20" s="2662"/>
      <c r="I20" s="2662"/>
      <c r="J20" s="2662"/>
      <c r="K20" s="2661"/>
      <c r="L20" s="2661"/>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23" t="s">
        <v>1213</v>
      </c>
      <c r="B21" s="104">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4">
      <c r="A22" s="1722" t="s">
        <v>1214</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23" t="s">
        <v>1215</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4"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56"/>
      <c r="B25" s="1686"/>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2" t="s">
        <v>1217</v>
      </c>
      <c r="B26" s="1725"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7" customFormat="1" ht="28.8">
      <c r="A27" s="1726" t="s">
        <v>1220</v>
      </c>
      <c r="B27" s="107"/>
      <c r="C27" s="2788" t="s">
        <v>2304</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89" t="s">
        <v>2291</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790" t="s">
        <v>2292</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790" t="s">
        <v>2293</v>
      </c>
      <c r="D34" s="2673" t="s">
        <v>2301</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790" t="s">
        <v>2294</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0" t="s">
        <v>2295</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30" t="s">
        <v>1230</v>
      </c>
      <c r="B37" s="115">
        <v>0.01</v>
      </c>
      <c r="C37" s="2790" t="s">
        <v>2296</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28" t="s">
        <v>1231</v>
      </c>
      <c r="B38" s="113">
        <v>0.01</v>
      </c>
      <c r="C38" s="2790" t="s">
        <v>2296</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31" t="s">
        <v>1232</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8.2" thickBot="1">
      <c r="A40" s="2802" t="s">
        <v>3385</v>
      </c>
      <c r="B40" s="1078">
        <f ca="1">IF(A40="利息：取LPR",存贷款利率!G1,存贷款利率!G1+C40)</f>
        <v>4.7500000000000001E-2</v>
      </c>
      <c r="C40" s="2801">
        <v>1.2999999999999999E-2</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26" t="s">
        <v>1233</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32" t="s">
        <v>1234</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32" t="s">
        <v>1235</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33" t="s">
        <v>1236</v>
      </c>
      <c r="B44" s="119">
        <v>7.0000000000000007E-2</v>
      </c>
      <c r="C44" s="2790" t="s">
        <v>2305</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33" t="s">
        <v>1237</v>
      </c>
      <c r="B45" s="117">
        <v>0.03</v>
      </c>
      <c r="C45" s="2789" t="s">
        <v>2297</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33" t="s">
        <v>1238</v>
      </c>
      <c r="B46" s="117">
        <v>0.02</v>
      </c>
      <c r="C46" s="2789" t="s">
        <v>2298</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4" t="s">
        <v>1239</v>
      </c>
      <c r="B47" s="120"/>
      <c r="C47" s="2792" t="s">
        <v>2306</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35" t="s">
        <v>1240</v>
      </c>
      <c r="B48" s="121">
        <v>0.03</v>
      </c>
      <c r="C48" s="2789" t="s">
        <v>2297</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31" t="s">
        <v>1241</v>
      </c>
      <c r="B49" s="117">
        <v>5.0000000000000001E-4</v>
      </c>
      <c r="C49" s="2789" t="s">
        <v>2299</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36" t="s">
        <v>1242</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9" t="s">
        <v>1243</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36" t="s">
        <v>1244</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28" t="s">
        <v>1245</v>
      </c>
      <c r="B53" s="1737"/>
      <c r="C53" s="2650" t="s">
        <v>1246</v>
      </c>
      <c r="D53" s="2791" t="s">
        <v>2303</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38" t="s">
        <v>1247</v>
      </c>
      <c r="B54" s="75"/>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38" t="s">
        <v>1248</v>
      </c>
      <c r="B55" s="75"/>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38" t="s">
        <v>1249</v>
      </c>
      <c r="B56" s="75"/>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38" t="s">
        <v>1250</v>
      </c>
      <c r="B57" s="75"/>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38" t="s">
        <v>1251</v>
      </c>
      <c r="B58" s="75"/>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38" t="s">
        <v>1252</v>
      </c>
      <c r="B59" s="75"/>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38"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38"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38"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9" t="s">
        <v>1256</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3"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3"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3"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3"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3"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685" customWidth="1"/>
    <col min="2" max="2" width="24.44140625" style="1571" customWidth="1"/>
    <col min="3" max="3" width="24.44140625" style="2507" customWidth="1"/>
    <col min="4" max="4" width="2.6640625" style="2507" customWidth="1"/>
    <col min="5" max="5" width="5.88671875" style="2507" customWidth="1"/>
    <col min="6" max="6" width="27" style="1571"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5"/>
  </cols>
  <sheetData>
    <row r="1" spans="1:29" s="2456" customFormat="1" ht="18" thickBot="1">
      <c r="A1" s="3539" t="s">
        <v>2283</v>
      </c>
      <c r="B1" s="3540"/>
      <c r="C1" s="3540"/>
      <c r="D1" s="3540"/>
      <c r="E1" s="3540"/>
      <c r="F1" s="3540"/>
      <c r="G1" s="35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60">
      <c r="A3" s="2440" t="s">
        <v>2281</v>
      </c>
      <c r="B3" s="2462" t="s">
        <v>2252</v>
      </c>
      <c r="C3" s="3436" t="s">
        <v>3457</v>
      </c>
      <c r="D3" s="2463"/>
      <c r="E3" s="2441" t="s">
        <v>2281</v>
      </c>
      <c r="F3" s="2464" t="s">
        <v>2253</v>
      </c>
      <c r="G3" s="2465" t="s">
        <v>2282</v>
      </c>
      <c r="H3" s="799"/>
      <c r="I3" s="799"/>
      <c r="J3" s="799"/>
      <c r="K3" s="799"/>
      <c r="L3" s="799"/>
      <c r="M3" s="799"/>
      <c r="N3" s="799"/>
      <c r="O3" s="799"/>
      <c r="P3" s="799"/>
      <c r="Q3" s="799"/>
      <c r="R3" s="799"/>
    </row>
    <row r="4" spans="1:29" ht="37.200000000000003">
      <c r="A4" s="2441"/>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1"/>
      <c r="B5" s="323" t="s">
        <v>2258</v>
      </c>
      <c r="C5" s="2466" t="s">
        <v>3429</v>
      </c>
      <c r="D5" s="2463"/>
      <c r="E5" s="2467"/>
      <c r="F5" s="323" t="s">
        <v>2259</v>
      </c>
      <c r="G5" s="2468" t="s">
        <v>2260</v>
      </c>
      <c r="H5" s="799"/>
      <c r="I5" s="799"/>
      <c r="J5" s="799"/>
      <c r="K5" s="799"/>
      <c r="L5" s="799"/>
      <c r="M5" s="799"/>
      <c r="N5" s="799"/>
      <c r="O5" s="799"/>
      <c r="P5" s="799"/>
      <c r="Q5" s="799"/>
      <c r="R5" s="799"/>
    </row>
    <row r="6" spans="1:29" ht="72">
      <c r="A6" s="2441"/>
      <c r="B6" s="323" t="s">
        <v>2261</v>
      </c>
      <c r="C6" s="3437" t="s">
        <v>3458</v>
      </c>
      <c r="D6" s="2463"/>
      <c r="E6" s="2467"/>
      <c r="F6" s="323" t="s">
        <v>2262</v>
      </c>
      <c r="G6" s="2468" t="s">
        <v>2263</v>
      </c>
      <c r="H6" s="799"/>
      <c r="I6" s="799"/>
      <c r="J6" s="799"/>
      <c r="K6" s="799"/>
      <c r="L6" s="799"/>
      <c r="M6" s="799"/>
      <c r="N6" s="799"/>
      <c r="O6" s="799"/>
      <c r="P6" s="799"/>
      <c r="Q6" s="799"/>
      <c r="R6" s="799"/>
    </row>
    <row r="7" spans="1:29" ht="36.6" thickBot="1">
      <c r="A7" s="2441"/>
      <c r="B7" s="323" t="s">
        <v>2259</v>
      </c>
      <c r="C7" s="3437" t="s">
        <v>3409</v>
      </c>
      <c r="D7" s="2469"/>
      <c r="E7" s="2470"/>
      <c r="F7" s="2471" t="s">
        <v>2264</v>
      </c>
      <c r="G7" s="2472" t="s">
        <v>2265</v>
      </c>
      <c r="H7" s="799"/>
      <c r="I7" s="799"/>
      <c r="J7" s="799"/>
      <c r="K7" s="799"/>
      <c r="L7" s="799"/>
      <c r="M7" s="799"/>
      <c r="N7" s="799"/>
      <c r="O7" s="799"/>
      <c r="P7" s="799"/>
      <c r="Q7" s="799"/>
      <c r="R7" s="799"/>
    </row>
    <row r="8" spans="1:29">
      <c r="A8" s="2441"/>
      <c r="B8" s="323" t="s">
        <v>2262</v>
      </c>
      <c r="C8" s="3437" t="s">
        <v>3410</v>
      </c>
      <c r="D8" s="2469"/>
      <c r="E8" s="2469"/>
      <c r="F8" s="2473"/>
      <c r="G8" s="2473"/>
      <c r="H8" s="799"/>
      <c r="I8" s="799"/>
      <c r="J8" s="799"/>
      <c r="K8" s="799"/>
      <c r="L8" s="799"/>
      <c r="M8" s="799"/>
      <c r="N8" s="799"/>
      <c r="O8" s="799"/>
      <c r="P8" s="799"/>
      <c r="Q8" s="799"/>
      <c r="R8" s="799"/>
    </row>
    <row r="9" spans="1:29" ht="60">
      <c r="A9" s="2441"/>
      <c r="B9" s="323" t="s">
        <v>2266</v>
      </c>
      <c r="C9" s="3438" t="s">
        <v>3430</v>
      </c>
      <c r="D9" s="2463"/>
      <c r="E9" s="2469"/>
      <c r="F9" s="2473"/>
      <c r="G9" s="2473"/>
      <c r="H9" s="799"/>
      <c r="I9" s="799"/>
      <c r="J9" s="799"/>
      <c r="K9" s="799"/>
      <c r="L9" s="799"/>
      <c r="M9" s="799"/>
      <c r="N9" s="799"/>
      <c r="O9" s="799"/>
      <c r="P9" s="799"/>
      <c r="Q9" s="799"/>
      <c r="R9" s="799"/>
    </row>
    <row r="10" spans="1:29" s="2478" customFormat="1" ht="14.4" thickBot="1">
      <c r="A10" s="2442"/>
      <c r="B10" s="2474" t="s">
        <v>2267</v>
      </c>
      <c r="C10" s="3439" t="s">
        <v>3431</v>
      </c>
      <c r="D10" s="2463"/>
      <c r="E10" s="2463"/>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3"/>
      <c r="D11" s="2463"/>
      <c r="E11" s="2463"/>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9"/>
      <c r="C12" s="2463"/>
      <c r="D12" s="2481"/>
      <c r="E12" s="2463"/>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2284</v>
      </c>
      <c r="B13" s="2481"/>
      <c r="C13" s="2481"/>
      <c r="D13" s="2479"/>
      <c r="E13" s="2481"/>
      <c r="F13" s="2481"/>
      <c r="G13" s="2481"/>
    </row>
    <row r="14" spans="1:29" ht="14.4" thickBot="1">
      <c r="A14" s="2491"/>
      <c r="B14" s="2491"/>
      <c r="C14" s="2492" t="s">
        <v>2268</v>
      </c>
      <c r="D14" s="2463"/>
      <c r="E14" s="2493"/>
      <c r="F14" s="2493"/>
      <c r="G14" s="2459" t="s">
        <v>2269</v>
      </c>
    </row>
    <row r="15" spans="1:29" ht="66">
      <c r="A15" s="2443" t="s">
        <v>2270</v>
      </c>
      <c r="B15" s="2494" t="s">
        <v>2252</v>
      </c>
      <c r="C15" s="2495" t="str">
        <f>C3</f>
        <v>估价对象周边有双清苑、清风华景园、逸成东苑、柏儒苑等，居住小区规模和社区发展完善程度较好，综合评价居住社区成熟度较好</v>
      </c>
      <c r="D15" s="2463"/>
      <c r="E15" s="2444" t="s">
        <v>2271</v>
      </c>
      <c r="F15" s="2494" t="s">
        <v>2272</v>
      </c>
      <c r="G15" s="2496" t="str">
        <f>G3</f>
        <v>估价对象位于XX开发区，园区建设成熟度XX，产业集聚程度XX</v>
      </c>
    </row>
    <row r="16" spans="1:29" ht="39.6">
      <c r="A16" s="2445"/>
      <c r="B16" s="2497" t="s">
        <v>2254</v>
      </c>
      <c r="C16" s="2498" t="str">
        <f>C4</f>
        <v>估价对象位于XX商圈，周边商业氛围成熟，人流量大，商业繁华度好</v>
      </c>
      <c r="D16" s="2463"/>
      <c r="E16" s="2446"/>
      <c r="F16" s="2499" t="s">
        <v>2256</v>
      </c>
      <c r="G16" s="2500" t="str">
        <f>G4</f>
        <v>估价对象周边道路状况、公共交通通达情况、停车便捷程度，综合评价交通便捷度较好</v>
      </c>
    </row>
    <row r="17" spans="1:18" ht="39.6">
      <c r="A17" s="2445"/>
      <c r="B17" s="2497" t="s">
        <v>2258</v>
      </c>
      <c r="C17" s="2498" t="str">
        <f>C5</f>
        <v>估价对象位于XX商圈，周边办公楼项目较多，入驻率高，办公集聚程度较好</v>
      </c>
      <c r="D17" s="2469"/>
      <c r="E17" s="2446"/>
      <c r="F17" s="2499" t="s">
        <v>2273</v>
      </c>
      <c r="G17" s="2501"/>
    </row>
    <row r="18" spans="1:18" ht="79.2">
      <c r="A18" s="2445"/>
      <c r="B18" s="2499" t="s">
        <v>2261</v>
      </c>
      <c r="C18" s="2500" t="str">
        <f>C6</f>
        <v>估价对象周边有392路、466路、577路、专12路等多条公交线路，距地铁15号线（清华东路西口站）约700米，综合评价交通便捷度较好</v>
      </c>
      <c r="D18" s="2469"/>
      <c r="E18" s="2446"/>
      <c r="F18" s="2499" t="s">
        <v>2264</v>
      </c>
      <c r="G18" s="2500" t="str">
        <f>G7</f>
        <v>该园区内是否有污染型企业，绿化情况，卫生条件，整体环境状况判断</v>
      </c>
    </row>
    <row r="19" spans="1:18" ht="26.4">
      <c r="A19" s="2445"/>
      <c r="B19" s="2499" t="s">
        <v>2274</v>
      </c>
      <c r="C19" s="2501"/>
      <c r="D19" s="2463"/>
      <c r="E19" s="2446"/>
      <c r="F19" s="323" t="s">
        <v>2259</v>
      </c>
      <c r="G19" s="2500" t="str">
        <f>G5</f>
        <v>估价对象所在区域公共配套设施齐备情况</v>
      </c>
    </row>
    <row r="20" spans="1:18" ht="66">
      <c r="A20" s="2445"/>
      <c r="B20" s="2499" t="s">
        <v>2275</v>
      </c>
      <c r="C20" s="2498" t="str">
        <f>C9</f>
        <v>区域自然环境：北京东升花园中心、东升八家郊野公园；人文环境：北京林业大学、北京农业大学、清华大学；综合评价环境状况较好</v>
      </c>
      <c r="D20" s="2469"/>
      <c r="E20" s="2446"/>
      <c r="F20" s="323" t="s">
        <v>2262</v>
      </c>
      <c r="G20" s="2500" t="str">
        <f>G6</f>
        <v>估价对象所在区域基础设施水平</v>
      </c>
    </row>
    <row r="21" spans="1:18" ht="26.4">
      <c r="A21" s="2445"/>
      <c r="B21" s="323" t="s">
        <v>2259</v>
      </c>
      <c r="C21" s="2500" t="str">
        <f>C7</f>
        <v>估价对象所在区域公共配套设施齐备情况较好</v>
      </c>
      <c r="D21" s="2463"/>
      <c r="E21" s="2446"/>
      <c r="F21" s="2499" t="s">
        <v>2276</v>
      </c>
      <c r="G21" s="2502"/>
    </row>
    <row r="22" spans="1:18" ht="13.5" customHeight="1">
      <c r="A22" s="2445"/>
      <c r="B22" s="323" t="s">
        <v>2262</v>
      </c>
      <c r="C22" s="2500" t="str">
        <f>C8</f>
        <v>七通</v>
      </c>
      <c r="D22" s="2463"/>
      <c r="E22" s="2446"/>
      <c r="F22" s="2499" t="s">
        <v>2267</v>
      </c>
      <c r="G22" s="2501"/>
    </row>
    <row r="23" spans="1:18" s="799" customFormat="1" ht="14.4" thickBot="1">
      <c r="A23" s="2445"/>
      <c r="B23" s="2499" t="s">
        <v>2276</v>
      </c>
      <c r="C23" s="2502"/>
      <c r="D23" s="1740"/>
      <c r="E23" s="2447"/>
      <c r="F23" s="2503" t="s">
        <v>2277</v>
      </c>
      <c r="G23" s="2504"/>
      <c r="H23" s="2488"/>
      <c r="I23" s="2489"/>
      <c r="J23" s="2488"/>
      <c r="K23" s="2488"/>
      <c r="L23" s="2489"/>
      <c r="M23" s="2488"/>
      <c r="N23" s="2488"/>
      <c r="O23" s="2489"/>
      <c r="P23" s="2488"/>
      <c r="Q23" s="2488"/>
      <c r="R23" s="2490"/>
    </row>
    <row r="24" spans="1:18" s="799" customFormat="1" ht="27" thickBot="1">
      <c r="A24" s="2448"/>
      <c r="B24" s="2503" t="s">
        <v>2278</v>
      </c>
      <c r="C24" s="2505" t="str">
        <f>C10</f>
        <v>城市次干道——林业大学北路</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sqref="A1:J24"/>
    </sheetView>
  </sheetViews>
  <sheetFormatPr defaultColWidth="9" defaultRowHeight="14.4"/>
  <cols>
    <col min="1" max="1" width="25" style="2509" customWidth="1"/>
    <col min="2" max="9" width="15.77734375" style="2509" customWidth="1"/>
    <col min="10" max="16384" width="9" style="2509"/>
  </cols>
  <sheetData>
    <row r="1" spans="1:11" ht="16.2">
      <c r="A1" s="3794" t="s">
        <v>665</v>
      </c>
      <c r="B1" s="3794">
        <f>SUM(B14:B23)</f>
        <v>55.9</v>
      </c>
      <c r="C1" s="3795"/>
      <c r="D1" s="3795"/>
      <c r="E1" s="3795"/>
      <c r="F1" s="3795"/>
      <c r="G1" s="3796"/>
      <c r="H1" s="3797"/>
      <c r="I1" s="3797"/>
      <c r="J1" s="3797"/>
      <c r="K1" s="2675"/>
    </row>
    <row r="2" spans="1:11" ht="16.2">
      <c r="A2" s="3794" t="s">
        <v>653</v>
      </c>
      <c r="B2" s="3794">
        <f>SUM(C14:C23)</f>
        <v>0</v>
      </c>
      <c r="C2" s="3795"/>
      <c r="D2" s="3795"/>
      <c r="E2" s="3795"/>
      <c r="F2" s="3795"/>
      <c r="G2" s="3796"/>
      <c r="H2" s="3797"/>
      <c r="I2" s="3797"/>
      <c r="J2" s="3797"/>
      <c r="K2" s="2675"/>
    </row>
    <row r="3" spans="1:11" ht="15.6">
      <c r="A3" s="3794" t="s">
        <v>662</v>
      </c>
      <c r="B3" s="3794">
        <f>项目基本情况!D3</f>
        <v>45517</v>
      </c>
      <c r="C3" s="3795"/>
      <c r="D3" s="3795"/>
      <c r="E3" s="3795"/>
      <c r="F3" s="3795"/>
      <c r="G3" s="3796"/>
      <c r="H3" s="3797"/>
      <c r="I3" s="3797"/>
      <c r="J3" s="3797"/>
      <c r="K3" s="2675"/>
    </row>
    <row r="4" spans="1:11" ht="31.2">
      <c r="A4" s="3794" t="s">
        <v>661</v>
      </c>
      <c r="B4" s="3794" t="s">
        <v>660</v>
      </c>
      <c r="C4" s="3794" t="s">
        <v>659</v>
      </c>
      <c r="D4" s="3794" t="s">
        <v>658</v>
      </c>
      <c r="E4" s="3795"/>
      <c r="F4" s="3796"/>
      <c r="G4" s="3796"/>
      <c r="H4" s="3797"/>
      <c r="I4" s="3797"/>
      <c r="J4" s="3797"/>
      <c r="K4" s="2675"/>
    </row>
    <row r="5" spans="1:11" ht="15.6">
      <c r="A5" s="3794" t="s">
        <v>657</v>
      </c>
      <c r="B5" s="3794">
        <f ca="1">SUM(D14:D23)</f>
        <v>400.49554999999998</v>
      </c>
      <c r="C5" s="3794" t="e">
        <f ca="1">IF(B5=D14,结果表!H102,ROUND(B5*10000/$B$1,0))</f>
        <v>#DIV/0!</v>
      </c>
      <c r="D5" s="3794" t="e">
        <f ca="1">ROUND(B5*10000/$B$2,0)</f>
        <v>#DIV/0!</v>
      </c>
      <c r="E5" s="3795"/>
      <c r="F5" s="3796"/>
      <c r="G5" s="3796"/>
      <c r="H5" s="3797"/>
      <c r="I5" s="3797"/>
      <c r="J5" s="3797"/>
      <c r="K5" s="2675"/>
    </row>
    <row r="6" spans="1:11" ht="15.6">
      <c r="A6" s="3794" t="s">
        <v>656</v>
      </c>
      <c r="B6" s="3794">
        <f>SUM(G14:G23)</f>
        <v>0</v>
      </c>
      <c r="C6" s="3794">
        <f ca="1">IF(B6=G14,结果表!H108,ROUND(B6*10000/$B$1,0))</f>
        <v>0</v>
      </c>
      <c r="D6" s="3794" t="e">
        <f>ROUND(B6*10000/$B$2,0)</f>
        <v>#DIV/0!</v>
      </c>
      <c r="E6" s="3795"/>
      <c r="F6" s="3796"/>
      <c r="G6" s="3796"/>
      <c r="H6" s="3797"/>
      <c r="I6" s="3797"/>
      <c r="J6" s="3797"/>
      <c r="K6" s="2675"/>
    </row>
    <row r="7" spans="1:11" ht="15.6">
      <c r="A7" s="3794" t="s">
        <v>664</v>
      </c>
      <c r="B7" s="3794">
        <f>SUM(H14:H23)</f>
        <v>0</v>
      </c>
      <c r="C7" s="3794" t="str">
        <f>IF(B7=H14,结果表!H110,ROUND(B7*10000/$B$1,0))</f>
        <v>——</v>
      </c>
      <c r="D7" s="3794" t="e">
        <f>ROUND(B7*10000/$B$2,0)</f>
        <v>#DIV/0!</v>
      </c>
      <c r="E7" s="3795"/>
      <c r="F7" s="3796"/>
      <c r="G7" s="3796"/>
      <c r="H7" s="3797"/>
      <c r="I7" s="3797"/>
      <c r="J7" s="3797"/>
      <c r="K7" s="2675"/>
    </row>
    <row r="8" spans="1:11" ht="15.6">
      <c r="A8" s="3794" t="s">
        <v>587</v>
      </c>
      <c r="B8" s="3794">
        <f>SUM(I14:I23)</f>
        <v>0</v>
      </c>
      <c r="C8" s="3794" t="str">
        <f>IF(B8=I14,结果表!H112,ROUND(B8*10000/$B$1,0))</f>
        <v>——</v>
      </c>
      <c r="D8" s="3794" t="e">
        <f>ROUND(B8*10000/$B$2,0)</f>
        <v>#DIV/0!</v>
      </c>
      <c r="E8" s="3795"/>
      <c r="F8" s="3796"/>
      <c r="G8" s="3796"/>
      <c r="H8" s="3797"/>
      <c r="I8" s="3797"/>
      <c r="J8" s="3797"/>
      <c r="K8" s="2675"/>
    </row>
    <row r="9" spans="1:11" ht="15.6">
      <c r="A9" s="3794" t="s">
        <v>655</v>
      </c>
      <c r="B9" s="3798"/>
      <c r="C9" s="3795"/>
      <c r="D9" s="3795"/>
      <c r="E9" s="3795"/>
      <c r="F9" s="3796"/>
      <c r="G9" s="3796"/>
      <c r="H9" s="3797"/>
      <c r="I9" s="3797"/>
      <c r="J9" s="3797"/>
      <c r="K9" s="2675"/>
    </row>
    <row r="10" spans="1:11" ht="15.6">
      <c r="A10" s="3794" t="s">
        <v>654</v>
      </c>
      <c r="B10" s="3794">
        <f>IF(E10="",0,ROUND(B1*(E10*365/G10)/10000,0))</f>
        <v>0</v>
      </c>
      <c r="C10" s="3794" t="s">
        <v>3355</v>
      </c>
      <c r="D10" s="3794" t="s">
        <v>3356</v>
      </c>
      <c r="E10" s="3799"/>
      <c r="F10" s="3800" t="s">
        <v>3357</v>
      </c>
      <c r="G10" s="3801"/>
      <c r="H10" s="3797"/>
      <c r="I10" s="3797"/>
      <c r="J10" s="3797"/>
      <c r="K10" s="2675"/>
    </row>
    <row r="11" spans="1:11" ht="15.6">
      <c r="A11" s="3794" t="s">
        <v>670</v>
      </c>
      <c r="B11" s="3798"/>
      <c r="C11" s="3795"/>
      <c r="D11" s="3795"/>
      <c r="E11" s="3795"/>
      <c r="F11" s="3796"/>
      <c r="G11" s="3796"/>
      <c r="H11" s="3797"/>
      <c r="I11" s="3797"/>
      <c r="J11" s="3797"/>
      <c r="K11" s="2675"/>
    </row>
    <row r="12" spans="1:11" ht="15.6">
      <c r="A12" s="3795"/>
      <c r="B12" s="3795"/>
      <c r="C12" s="3795"/>
      <c r="D12" s="3795"/>
      <c r="E12" s="3795"/>
      <c r="F12" s="3796"/>
      <c r="G12" s="3796"/>
      <c r="H12" s="3797"/>
      <c r="I12" s="3797"/>
      <c r="J12" s="3797"/>
      <c r="K12" s="2675"/>
    </row>
    <row r="13" spans="1:11" ht="31.8">
      <c r="A13" s="3802" t="s">
        <v>669</v>
      </c>
      <c r="B13" s="3803" t="s">
        <v>666</v>
      </c>
      <c r="C13" s="3803" t="s">
        <v>668</v>
      </c>
      <c r="D13" s="3803" t="s">
        <v>667</v>
      </c>
      <c r="E13" s="3794" t="s">
        <v>659</v>
      </c>
      <c r="F13" s="3794" t="s">
        <v>658</v>
      </c>
      <c r="G13" s="3803" t="s">
        <v>652</v>
      </c>
      <c r="H13" s="3803" t="s">
        <v>663</v>
      </c>
      <c r="I13" s="3803" t="s">
        <v>651</v>
      </c>
      <c r="J13" s="3796"/>
      <c r="K13" s="2675"/>
    </row>
    <row r="14" spans="1:11" ht="15.6">
      <c r="A14" s="3804" t="s">
        <v>650</v>
      </c>
      <c r="B14" s="3805">
        <f>项目基本情况!C17</f>
        <v>55.9</v>
      </c>
      <c r="C14" s="3805"/>
      <c r="D14" s="3805">
        <f ca="1">B14*E14/10000</f>
        <v>400.49554999999998</v>
      </c>
      <c r="E14" s="3805">
        <f ca="1">结果表!G20</f>
        <v>71645</v>
      </c>
      <c r="F14" s="3805" t="e">
        <f ca="1">ROUND(D14*10000/C14,0)</f>
        <v>#DIV/0!</v>
      </c>
      <c r="G14" s="3805"/>
      <c r="H14" s="3805"/>
      <c r="I14" s="3805"/>
      <c r="J14" s="3796"/>
      <c r="K14" s="2675"/>
    </row>
    <row r="15" spans="1:11" ht="15.6">
      <c r="A15" s="3804" t="s">
        <v>649</v>
      </c>
      <c r="B15" s="3806"/>
      <c r="C15" s="3806"/>
      <c r="D15" s="3806"/>
      <c r="E15" s="3805" t="e">
        <f t="shared" ref="E15:E23" si="0">ROUND(D15*10000/B15,0)</f>
        <v>#DIV/0!</v>
      </c>
      <c r="F15" s="3805" t="e">
        <f t="shared" ref="F15:F23" si="1">ROUND(D15*10000/C15,0)</f>
        <v>#DIV/0!</v>
      </c>
      <c r="G15" s="3807"/>
      <c r="H15" s="3807"/>
      <c r="I15" s="3806"/>
      <c r="J15" s="3796"/>
      <c r="K15" s="2675"/>
    </row>
    <row r="16" spans="1:11" ht="15.6">
      <c r="A16" s="3804" t="s">
        <v>648</v>
      </c>
      <c r="B16" s="3806"/>
      <c r="C16" s="3806"/>
      <c r="D16" s="3806"/>
      <c r="E16" s="3805" t="e">
        <f t="shared" si="0"/>
        <v>#DIV/0!</v>
      </c>
      <c r="F16" s="3805" t="e">
        <f t="shared" si="1"/>
        <v>#DIV/0!</v>
      </c>
      <c r="G16" s="3807"/>
      <c r="H16" s="3807"/>
      <c r="I16" s="3806"/>
      <c r="J16" s="3797"/>
      <c r="K16" s="2675"/>
    </row>
    <row r="17" spans="1:11" ht="15.6">
      <c r="A17" s="3804" t="s">
        <v>647</v>
      </c>
      <c r="B17" s="3806"/>
      <c r="C17" s="3806"/>
      <c r="D17" s="3806"/>
      <c r="E17" s="3805" t="e">
        <f t="shared" si="0"/>
        <v>#DIV/0!</v>
      </c>
      <c r="F17" s="3805" t="e">
        <f t="shared" si="1"/>
        <v>#DIV/0!</v>
      </c>
      <c r="G17" s="3807"/>
      <c r="H17" s="3807"/>
      <c r="I17" s="3806"/>
      <c r="J17" s="3797"/>
      <c r="K17" s="2675"/>
    </row>
    <row r="18" spans="1:11" ht="15.6">
      <c r="A18" s="3804" t="s">
        <v>646</v>
      </c>
      <c r="B18" s="3806"/>
      <c r="C18" s="3806"/>
      <c r="D18" s="3806"/>
      <c r="E18" s="3805" t="e">
        <f t="shared" si="0"/>
        <v>#DIV/0!</v>
      </c>
      <c r="F18" s="3805" t="e">
        <f t="shared" si="1"/>
        <v>#DIV/0!</v>
      </c>
      <c r="G18" s="3806"/>
      <c r="H18" s="3806"/>
      <c r="I18" s="3806"/>
      <c r="J18" s="3797"/>
      <c r="K18" s="2675"/>
    </row>
    <row r="19" spans="1:11" ht="15.6">
      <c r="A19" s="3804" t="s">
        <v>645</v>
      </c>
      <c r="B19" s="3806"/>
      <c r="C19" s="3806"/>
      <c r="D19" s="3806"/>
      <c r="E19" s="3805" t="e">
        <f t="shared" si="0"/>
        <v>#DIV/0!</v>
      </c>
      <c r="F19" s="3805" t="e">
        <f t="shared" si="1"/>
        <v>#DIV/0!</v>
      </c>
      <c r="G19" s="3806"/>
      <c r="H19" s="3806"/>
      <c r="I19" s="3806"/>
      <c r="J19" s="3797"/>
      <c r="K19" s="2675"/>
    </row>
    <row r="20" spans="1:11" ht="15.6">
      <c r="A20" s="3804" t="s">
        <v>644</v>
      </c>
      <c r="B20" s="3806"/>
      <c r="C20" s="3806"/>
      <c r="D20" s="3806"/>
      <c r="E20" s="3805" t="e">
        <f t="shared" si="0"/>
        <v>#DIV/0!</v>
      </c>
      <c r="F20" s="3805" t="e">
        <f t="shared" si="1"/>
        <v>#DIV/0!</v>
      </c>
      <c r="G20" s="3806"/>
      <c r="H20" s="3806"/>
      <c r="I20" s="3806"/>
      <c r="J20" s="3797"/>
      <c r="K20" s="2675"/>
    </row>
    <row r="21" spans="1:11" ht="15.6">
      <c r="A21" s="3804" t="s">
        <v>643</v>
      </c>
      <c r="B21" s="3806"/>
      <c r="C21" s="3806"/>
      <c r="D21" s="3806"/>
      <c r="E21" s="3805" t="e">
        <f t="shared" si="0"/>
        <v>#DIV/0!</v>
      </c>
      <c r="F21" s="3805" t="e">
        <f t="shared" si="1"/>
        <v>#DIV/0!</v>
      </c>
      <c r="G21" s="3806"/>
      <c r="H21" s="3806"/>
      <c r="I21" s="3806"/>
      <c r="J21" s="3797"/>
      <c r="K21" s="2675"/>
    </row>
    <row r="22" spans="1:11" ht="15.6">
      <c r="A22" s="3804" t="s">
        <v>642</v>
      </c>
      <c r="B22" s="3806"/>
      <c r="C22" s="3806"/>
      <c r="D22" s="3806"/>
      <c r="E22" s="3805" t="e">
        <f t="shared" si="0"/>
        <v>#DIV/0!</v>
      </c>
      <c r="F22" s="3805" t="e">
        <f t="shared" si="1"/>
        <v>#DIV/0!</v>
      </c>
      <c r="G22" s="3806"/>
      <c r="H22" s="3806"/>
      <c r="I22" s="3806"/>
      <c r="J22" s="3797"/>
      <c r="K22" s="2675"/>
    </row>
    <row r="23" spans="1:11" ht="15.6">
      <c r="A23" s="3804" t="s">
        <v>641</v>
      </c>
      <c r="B23" s="3806"/>
      <c r="C23" s="3806"/>
      <c r="D23" s="3806"/>
      <c r="E23" s="3798" t="e">
        <f t="shared" si="0"/>
        <v>#DIV/0!</v>
      </c>
      <c r="F23" s="3798" t="e">
        <f t="shared" si="1"/>
        <v>#DIV/0!</v>
      </c>
      <c r="G23" s="3806"/>
      <c r="H23" s="3806"/>
      <c r="I23" s="3806"/>
      <c r="J23" s="3797"/>
      <c r="K23" s="2675"/>
    </row>
    <row r="24" spans="1:11">
      <c r="A24" s="3797"/>
      <c r="B24" s="3797"/>
      <c r="C24" s="3797"/>
      <c r="D24" s="3797"/>
      <c r="E24" s="3797"/>
      <c r="F24" s="3797"/>
      <c r="G24" s="3797"/>
      <c r="H24" s="3797"/>
      <c r="I24" s="3797"/>
      <c r="J24" s="3797"/>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3383</v>
      </c>
      <c r="D1" s="1746"/>
      <c r="E1" s="1746"/>
      <c r="F1" s="1748" t="s">
        <v>1263</v>
      </c>
      <c r="G1" s="1560"/>
      <c r="H1" s="1749" t="str">
        <f>IF(G1="现房","——","估价对象范围")</f>
        <v>估价对象范围</v>
      </c>
      <c r="I1" s="1750"/>
    </row>
    <row r="2" spans="1:12" ht="21.75" customHeight="1" thickBot="1">
      <c r="A2" s="3575" t="str">
        <f>项目基本情况!S2</f>
        <v>北京市房地产</v>
      </c>
      <c r="B2" s="3576"/>
      <c r="C2" s="3576"/>
      <c r="D2" s="3576"/>
      <c r="E2" s="3576"/>
      <c r="F2" s="3576"/>
      <c r="G2" s="3576"/>
      <c r="H2" s="3576"/>
      <c r="I2" s="3577"/>
    </row>
    <row r="3" spans="1:12" ht="13.2">
      <c r="A3" s="3579" t="s">
        <v>1264</v>
      </c>
      <c r="B3" s="3580"/>
      <c r="C3" s="3580"/>
      <c r="D3" s="3580"/>
      <c r="E3" s="3580"/>
      <c r="F3" s="3580"/>
      <c r="G3" s="3580"/>
      <c r="H3" s="3580"/>
      <c r="I3" s="3580"/>
    </row>
    <row r="4" spans="1:12" ht="14.4">
      <c r="A4" s="1753" t="s">
        <v>1265</v>
      </c>
      <c r="B4" s="1754" t="s">
        <v>1266</v>
      </c>
      <c r="C4" s="1755" t="s">
        <v>3419</v>
      </c>
      <c r="D4" s="1755" t="s">
        <v>3390</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5" t="s">
        <v>1268</v>
      </c>
      <c r="B5" s="3542">
        <v>25</v>
      </c>
      <c r="C5" s="3558">
        <v>8</v>
      </c>
      <c r="D5" s="3578">
        <f>10-C5</f>
        <v>2</v>
      </c>
      <c r="E5" s="131" t="s">
        <v>1269</v>
      </c>
      <c r="F5" s="1756"/>
      <c r="G5" s="1756"/>
      <c r="H5" s="1756"/>
      <c r="I5" s="1372"/>
    </row>
    <row r="6" spans="1:12" ht="13.2">
      <c r="A6" s="3555"/>
      <c r="B6" s="3542"/>
      <c r="C6" s="3559"/>
      <c r="D6" s="3578"/>
      <c r="E6" s="131" t="s">
        <v>1270</v>
      </c>
      <c r="F6" s="1756"/>
      <c r="G6" s="1756"/>
      <c r="H6" s="1756"/>
      <c r="I6" s="1372"/>
    </row>
    <row r="7" spans="1:12" ht="13.2">
      <c r="A7" s="3555"/>
      <c r="B7" s="3542"/>
      <c r="C7" s="3560"/>
      <c r="D7" s="3578"/>
      <c r="E7" s="131" t="s">
        <v>1271</v>
      </c>
      <c r="F7" s="1756"/>
      <c r="G7" s="1756"/>
      <c r="H7" s="1756"/>
      <c r="I7" s="1372"/>
    </row>
    <row r="8" spans="1:12" ht="13.2">
      <c r="A8" s="3555" t="s">
        <v>1272</v>
      </c>
      <c r="B8" s="3542">
        <v>15</v>
      </c>
      <c r="C8" s="3558"/>
      <c r="D8" s="3578"/>
      <c r="E8" s="131" t="s">
        <v>1273</v>
      </c>
      <c r="F8" s="1756"/>
      <c r="G8" s="1756"/>
      <c r="H8" s="1756"/>
      <c r="I8" s="1372"/>
    </row>
    <row r="9" spans="1:12" ht="13.2">
      <c r="A9" s="3555"/>
      <c r="B9" s="3542"/>
      <c r="C9" s="3560"/>
      <c r="D9" s="3578"/>
      <c r="E9" s="131" t="s">
        <v>1274</v>
      </c>
      <c r="F9" s="1756"/>
      <c r="G9" s="1756"/>
      <c r="H9" s="1756"/>
      <c r="I9" s="1372"/>
    </row>
    <row r="10" spans="1:12" ht="13.2">
      <c r="A10" s="3555" t="s">
        <v>1275</v>
      </c>
      <c r="B10" s="3542">
        <v>15</v>
      </c>
      <c r="C10" s="3558"/>
      <c r="D10" s="3578"/>
      <c r="E10" s="131" t="s">
        <v>1276</v>
      </c>
      <c r="F10" s="1756"/>
      <c r="G10" s="1756"/>
      <c r="H10" s="1756"/>
      <c r="I10" s="1372"/>
    </row>
    <row r="11" spans="1:12" ht="13.2">
      <c r="A11" s="3555"/>
      <c r="B11" s="3542"/>
      <c r="C11" s="3560"/>
      <c r="D11" s="3578"/>
      <c r="E11" s="131" t="s">
        <v>1277</v>
      </c>
      <c r="F11" s="1756"/>
      <c r="G11" s="1756"/>
      <c r="H11" s="1756"/>
      <c r="I11" s="1372"/>
    </row>
    <row r="12" spans="1:12" ht="13.2">
      <c r="A12" s="3555" t="s">
        <v>1278</v>
      </c>
      <c r="B12" s="3542">
        <v>15</v>
      </c>
      <c r="C12" s="3558"/>
      <c r="D12" s="3578"/>
      <c r="E12" s="131" t="s">
        <v>1279</v>
      </c>
      <c r="F12" s="1756"/>
      <c r="G12" s="1756"/>
      <c r="H12" s="1756"/>
      <c r="I12" s="1372"/>
    </row>
    <row r="13" spans="1:12" ht="13.2">
      <c r="A13" s="3555"/>
      <c r="B13" s="3542"/>
      <c r="C13" s="3560"/>
      <c r="D13" s="3578"/>
      <c r="E13" s="131" t="s">
        <v>1280</v>
      </c>
      <c r="F13" s="1756"/>
      <c r="G13" s="1756"/>
      <c r="H13" s="1756"/>
      <c r="I13" s="1372"/>
    </row>
    <row r="14" spans="1:12" ht="13.2">
      <c r="A14" s="3555" t="s">
        <v>1281</v>
      </c>
      <c r="B14" s="3542">
        <v>30</v>
      </c>
      <c r="C14" s="3558"/>
      <c r="D14" s="3578"/>
      <c r="E14" s="131" t="s">
        <v>1282</v>
      </c>
      <c r="F14" s="1756"/>
      <c r="G14" s="1756"/>
      <c r="H14" s="1756"/>
      <c r="I14" s="1372"/>
    </row>
    <row r="15" spans="1:12" ht="13.2">
      <c r="A15" s="3555"/>
      <c r="B15" s="3542"/>
      <c r="C15" s="3559"/>
      <c r="D15" s="3578"/>
      <c r="E15" s="131" t="s">
        <v>1283</v>
      </c>
      <c r="F15" s="1756"/>
      <c r="G15" s="1756"/>
      <c r="H15" s="1756"/>
      <c r="I15" s="1372"/>
    </row>
    <row r="16" spans="1:12" ht="13.2">
      <c r="A16" s="3555"/>
      <c r="B16" s="3542"/>
      <c r="C16" s="3560"/>
      <c r="D16" s="3578"/>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565" t="s">
        <v>2131</v>
      </c>
      <c r="F18" s="3566"/>
      <c r="G18" s="3566"/>
      <c r="H18" s="3566"/>
      <c r="I18" s="3566"/>
      <c r="K18" s="302" t="s">
        <v>1289</v>
      </c>
      <c r="L18" s="302">
        <f>IF(C1="",'数据-汇总表'!E3,SUMIF(项目类型,C1,'数据-汇总表'!E17:E26)+SUMIF(项目类型,C1,'数据-汇总表'!I17:I26))</f>
        <v>55.9</v>
      </c>
      <c r="M18" s="302">
        <f>IF(C1="",'数据-汇总表'!E3,SUMIF(项目类型,C1,'数据-汇总表'!E17:E26))</f>
        <v>55.9</v>
      </c>
    </row>
    <row r="19" spans="1:36" ht="14.4">
      <c r="A19" s="1760" t="s">
        <v>1290</v>
      </c>
      <c r="B19" s="1761" t="s">
        <v>1291</v>
      </c>
      <c r="C19" s="134">
        <f ca="1">SUMIF(INDIRECT("'"&amp;C4&amp;"'"&amp;"!A:A"),结果表!B19,INDIRECT("'"&amp;C4&amp;"'"&amp;"!B:B"))</f>
        <v>411.37369999999999</v>
      </c>
      <c r="D19" s="135">
        <f ca="1">SUMIF(INDIRECT("'"&amp;D4&amp;"'"&amp;"!A:A"),结果表!B19,INDIRECT("'"&amp;D4&amp;"'"&amp;"!B:B"))</f>
        <v>356.9699</v>
      </c>
      <c r="E19" s="1760" t="s">
        <v>1292</v>
      </c>
      <c r="F19" s="1761" t="s">
        <v>1291</v>
      </c>
      <c r="G19" s="136">
        <f ca="1">ROUND(C19*$C$18+D19*$D$18,0)</f>
        <v>400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73591</v>
      </c>
      <c r="D20" s="138">
        <f ca="1">SUMIF(INDIRECT("'"&amp;D4&amp;"'"&amp;"!A:A"),结果表!B20,INDIRECT("'"&amp;D4&amp;"'"&amp;"!B:B"))</f>
        <v>63859</v>
      </c>
      <c r="E20" s="1763"/>
      <c r="F20" s="1026" t="s">
        <v>1295</v>
      </c>
      <c r="G20" s="139">
        <f ca="1">ROUND(C20*$C$18+D20*$D$18,0)</f>
        <v>71645</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0.15240444642531492</v>
      </c>
      <c r="E22" s="129"/>
      <c r="F22" s="129"/>
      <c r="G22" s="129"/>
      <c r="H22" s="129"/>
      <c r="I22" s="129"/>
    </row>
    <row r="23" spans="1:36" ht="13.8" thickBot="1">
      <c r="A23" s="1746"/>
      <c r="B23" s="1746"/>
      <c r="C23" s="1746"/>
      <c r="D23" s="1746"/>
      <c r="E23" s="129"/>
      <c r="F23" s="129"/>
      <c r="G23" s="129"/>
      <c r="H23" s="129"/>
      <c r="I23" s="129"/>
    </row>
    <row r="24" spans="1:36" ht="14.4">
      <c r="A24" s="3549" t="s">
        <v>1299</v>
      </c>
      <c r="B24" s="1761" t="s">
        <v>1291</v>
      </c>
      <c r="C24" s="136">
        <f>IF(B30=0,0,D30)</f>
        <v>0</v>
      </c>
      <c r="D24" s="1768"/>
      <c r="E24" s="129"/>
      <c r="F24" s="129"/>
      <c r="G24" s="129"/>
      <c r="H24" s="129"/>
      <c r="I24" s="129"/>
    </row>
    <row r="25" spans="1:36" ht="14.4">
      <c r="A25" s="355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7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71645</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30"/>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69" t="s">
        <v>1312</v>
      </c>
      <c r="B36" s="1786" t="s">
        <v>1313</v>
      </c>
      <c r="C36" s="145"/>
      <c r="D36" s="1787"/>
      <c r="E36" s="1788"/>
      <c r="F36" s="1789"/>
      <c r="G36" s="129"/>
      <c r="H36" s="129"/>
      <c r="I36" s="129"/>
    </row>
    <row r="37" spans="1:15" ht="15" thickBot="1">
      <c r="A37" s="3570"/>
      <c r="B37" s="1673" t="s">
        <v>1314</v>
      </c>
      <c r="C37" s="147"/>
      <c r="D37" s="1139"/>
      <c r="E37" s="1139"/>
      <c r="F37" s="1789"/>
      <c r="G37" s="129"/>
      <c r="H37" s="129"/>
      <c r="I37" s="129"/>
    </row>
    <row r="38" spans="1:15" ht="15" thickBot="1">
      <c r="A38" s="3571"/>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6" t="s">
        <v>1326</v>
      </c>
      <c r="B45" s="3547"/>
      <c r="C45" s="3548"/>
      <c r="D45" s="155" t="e">
        <f ca="1">ROUND(H101*F45,0)</f>
        <v>#REF!</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5"/>
      <c r="I46" s="159"/>
      <c r="J46" s="2512">
        <v>1</v>
      </c>
      <c r="K46" s="3605" t="s">
        <v>1331</v>
      </c>
      <c r="L46" s="3605"/>
      <c r="M46" s="3625"/>
      <c r="N46" s="3625"/>
      <c r="O46" s="3625"/>
    </row>
    <row r="47" spans="1:15" ht="12" customHeight="1">
      <c r="A47" s="160" t="s">
        <v>1332</v>
      </c>
      <c r="B47" s="161"/>
      <c r="C47" s="162"/>
      <c r="D47" s="1087" t="s">
        <v>1333</v>
      </c>
      <c r="E47" s="302" t="s">
        <v>1334</v>
      </c>
      <c r="F47" s="163" t="s">
        <v>1335</v>
      </c>
      <c r="G47" s="2535" t="s">
        <v>1336</v>
      </c>
      <c r="H47" s="2536"/>
      <c r="I47" s="159"/>
      <c r="J47" s="2512">
        <v>2</v>
      </c>
      <c r="K47" s="3605" t="s">
        <v>1337</v>
      </c>
      <c r="L47" s="3605"/>
      <c r="M47" s="3626">
        <f>'数据-取费表'!B2</f>
        <v>45517</v>
      </c>
      <c r="N47" s="3626"/>
      <c r="O47" s="3626"/>
    </row>
    <row r="48" spans="1:15" ht="26.4">
      <c r="A48" s="3574" t="s">
        <v>1338</v>
      </c>
      <c r="B48" s="3557"/>
      <c r="C48" s="3557"/>
      <c r="D48" s="2323" t="b">
        <f>IF(H48="情况1",0,IF(H48="情况2",D52,IF(H48="情况3",D53,IF(H48="情况4",D54))))</f>
        <v>0</v>
      </c>
      <c r="E48" s="2333" t="str">
        <f>IF(H48="情况4","(销售额-原购置价)×税（费）率","销售额×税（费）率")</f>
        <v>销售额×税（费）率</v>
      </c>
      <c r="F48" s="2537">
        <f>IF(H48="情况1","免征",'数据-取费表'!B41)</f>
        <v>5.6000000000000001E-2</v>
      </c>
      <c r="G48" s="2538" t="s">
        <v>1339</v>
      </c>
      <c r="H48" s="2539"/>
      <c r="I48" s="1805"/>
      <c r="J48" s="2512">
        <v>3</v>
      </c>
      <c r="K48" s="3605" t="s">
        <v>1340</v>
      </c>
      <c r="L48" s="3605"/>
      <c r="M48" s="3627" t="e">
        <f ca="1">H101</f>
        <v>#REF!</v>
      </c>
      <c r="N48" s="3627"/>
      <c r="O48" s="3627"/>
    </row>
    <row r="49" spans="1:35" ht="25.5" customHeight="1">
      <c r="A49" s="2332" t="s">
        <v>1341</v>
      </c>
      <c r="B49" s="3541" t="s">
        <v>1342</v>
      </c>
      <c r="C49" s="3541"/>
      <c r="D49" s="1589">
        <v>0</v>
      </c>
      <c r="E49" s="324" t="s">
        <v>1343</v>
      </c>
      <c r="F49" s="2423" t="s">
        <v>28</v>
      </c>
      <c r="G49" s="3611"/>
      <c r="H49" s="2309" t="s">
        <v>2134</v>
      </c>
      <c r="I49" s="2310"/>
      <c r="J49" s="2512">
        <v>4</v>
      </c>
      <c r="K49" s="3605" t="str">
        <f>IF(项目基本情况!E8="房地产抵押价值","房地产抵押价值","抵押担保权已注销时的房地产抵押价值")</f>
        <v>抵押担保权已注销时的房地产抵押价值</v>
      </c>
      <c r="L49" s="3605"/>
      <c r="M49" s="3627" t="str">
        <f>IF(项目基本情况!E8="房地产抵押价值",H107,H109)</f>
        <v>——</v>
      </c>
      <c r="N49" s="3627"/>
      <c r="O49" s="3627"/>
    </row>
    <row r="50" spans="1:35" ht="25.5" customHeight="1">
      <c r="A50" s="2540"/>
      <c r="B50" s="3541" t="s">
        <v>1344</v>
      </c>
      <c r="C50" s="3541"/>
      <c r="D50" s="2541"/>
      <c r="E50" s="332"/>
      <c r="F50" s="2423"/>
      <c r="G50" s="3612"/>
      <c r="H50" s="2311" t="s">
        <v>2135</v>
      </c>
      <c r="I50" s="2310"/>
      <c r="J50" s="3624" t="s">
        <v>1345</v>
      </c>
      <c r="K50" s="3624"/>
      <c r="L50" s="3624"/>
      <c r="M50" s="3624"/>
      <c r="N50" s="3624"/>
      <c r="O50" s="3624"/>
    </row>
    <row r="51" spans="1:35" ht="20.399999999999999" customHeight="1">
      <c r="A51" s="2542"/>
      <c r="B51" s="3541" t="s">
        <v>1346</v>
      </c>
      <c r="C51" s="3541"/>
      <c r="D51" s="1087"/>
      <c r="E51" s="327"/>
      <c r="F51" s="2423"/>
      <c r="G51" s="3613"/>
      <c r="H51" s="2311" t="s">
        <v>2136</v>
      </c>
      <c r="I51" s="2310"/>
      <c r="J51" s="2513" t="s">
        <v>1347</v>
      </c>
      <c r="K51" s="3605" t="s">
        <v>1348</v>
      </c>
      <c r="L51" s="3605"/>
      <c r="M51" s="2513" t="s">
        <v>1349</v>
      </c>
      <c r="N51" s="2513" t="s">
        <v>1350</v>
      </c>
      <c r="O51" s="2513" t="s">
        <v>1351</v>
      </c>
    </row>
    <row r="52" spans="1:35" ht="24" customHeight="1">
      <c r="A52" s="2334" t="s">
        <v>1352</v>
      </c>
      <c r="B52" s="3541" t="s">
        <v>1353</v>
      </c>
      <c r="C52" s="3541"/>
      <c r="D52" s="1087" t="e">
        <f ca="1">ROUND(D45*'数据-取费表'!B41/(1+'数据-取费表'!C42),0)</f>
        <v>#REF!</v>
      </c>
      <c r="E52" s="2333" t="s">
        <v>1354</v>
      </c>
      <c r="F52" s="2543">
        <f>'数据-取费表'!B41</f>
        <v>5.6000000000000001E-2</v>
      </c>
      <c r="G52" s="2544"/>
      <c r="H52" s="2533"/>
      <c r="I52" s="1806"/>
      <c r="J52" s="2512">
        <v>1</v>
      </c>
      <c r="K52" s="3606" t="s">
        <v>1355</v>
      </c>
      <c r="L52" s="3606"/>
      <c r="M52" s="2514" t="b">
        <f>D48</f>
        <v>0</v>
      </c>
      <c r="N52" s="2512" t="str">
        <f>E48</f>
        <v>销售额×税（费）率</v>
      </c>
      <c r="O52" s="2515">
        <f>F48</f>
        <v>5.6000000000000001E-2</v>
      </c>
    </row>
    <row r="53" spans="1:35" ht="12" customHeight="1">
      <c r="A53" s="2334" t="s">
        <v>1356</v>
      </c>
      <c r="B53" s="3567" t="s">
        <v>2288</v>
      </c>
      <c r="C53" s="3568"/>
      <c r="D53" s="1087" t="e">
        <f ca="1">ROUND(D45*'数据-取费表'!B41/(1+'数据-取费表'!C42),0)</f>
        <v>#REF!</v>
      </c>
      <c r="E53" s="2333" t="s">
        <v>1354</v>
      </c>
      <c r="F53" s="2543">
        <f>'数据-取费表'!B41</f>
        <v>5.6000000000000001E-2</v>
      </c>
      <c r="G53" s="2544"/>
      <c r="H53" s="2533"/>
      <c r="I53" s="1806"/>
      <c r="J53" s="2512">
        <v>2</v>
      </c>
      <c r="K53" s="3606" t="s">
        <v>1357</v>
      </c>
      <c r="L53" s="3606"/>
      <c r="M53" s="2514" t="e">
        <f t="shared" ref="M53:O54" ca="1" si="0">D55</f>
        <v>#REF!</v>
      </c>
      <c r="N53" s="2512" t="str">
        <f t="shared" si="0"/>
        <v>销售额×税（费）率</v>
      </c>
      <c r="O53" s="2515" t="str">
        <f t="shared" si="0"/>
        <v>免征</v>
      </c>
    </row>
    <row r="54" spans="1:35" ht="12" customHeight="1">
      <c r="A54" s="2334" t="s">
        <v>1358</v>
      </c>
      <c r="B54" s="3567" t="s">
        <v>2289</v>
      </c>
      <c r="C54" s="3568"/>
      <c r="D54" s="1087" t="e">
        <f ca="1">C68</f>
        <v>#REF!</v>
      </c>
      <c r="E54" s="327" t="s">
        <v>1359</v>
      </c>
      <c r="F54" s="2543">
        <f>'数据-取费表'!B41</f>
        <v>5.6000000000000001E-2</v>
      </c>
      <c r="G54" s="2544"/>
      <c r="H54" s="2545"/>
      <c r="I54" s="1806"/>
      <c r="J54" s="2512">
        <v>3</v>
      </c>
      <c r="K54" s="3606" t="s">
        <v>1360</v>
      </c>
      <c r="L54" s="3606"/>
      <c r="M54" s="2514" t="e">
        <f t="shared" ca="1" si="0"/>
        <v>#REF!</v>
      </c>
      <c r="N54" s="2512" t="str">
        <f t="shared" si="0"/>
        <v>增值额×税（费）率</v>
      </c>
      <c r="O54" s="2516" t="str">
        <f t="shared" si="0"/>
        <v>免征</v>
      </c>
    </row>
    <row r="55" spans="1:35" ht="24" customHeight="1">
      <c r="A55" s="3556" t="s">
        <v>1361</v>
      </c>
      <c r="B55" s="3557"/>
      <c r="C55" s="3557"/>
      <c r="D55" s="2323" t="e">
        <f ca="1">IF(H55="个人住宅",0,ROUND(D45*I55,0))</f>
        <v>#REF!</v>
      </c>
      <c r="E55" s="2333" t="s">
        <v>1362</v>
      </c>
      <c r="F55" s="2543" t="str">
        <f>IF(H55="正常",I55,"免征")</f>
        <v>免征</v>
      </c>
      <c r="G55" s="2544"/>
      <c r="H55" s="2539"/>
      <c r="I55" s="165">
        <f>'数据-取费表'!B49</f>
        <v>5.0000000000000001E-4</v>
      </c>
      <c r="J55" s="2512">
        <f>IF(H59="非个人房产","",4)</f>
        <v>4</v>
      </c>
      <c r="K55" s="3606" t="str">
        <f>IF(H59="非个人房产","——","个人所得税")</f>
        <v>个人所得税</v>
      </c>
      <c r="L55" s="3606"/>
      <c r="M55" s="2517" t="e">
        <f ca="1">D59</f>
        <v>#REF!</v>
      </c>
      <c r="N55" s="2039" t="str">
        <f>E59</f>
        <v>差额计税</v>
      </c>
      <c r="O55" s="2518">
        <f>F59</f>
        <v>0.01</v>
      </c>
    </row>
    <row r="56" spans="1:35" ht="25.2">
      <c r="A56" s="3556" t="s">
        <v>1363</v>
      </c>
      <c r="B56" s="3557"/>
      <c r="C56" s="3557"/>
      <c r="D56" s="2323" t="e">
        <f ca="1">IF(H56="个人住宅",D57,D58)</f>
        <v>#REF!</v>
      </c>
      <c r="E56" s="2333" t="s">
        <v>1364</v>
      </c>
      <c r="F56" s="2543" t="str">
        <f>IF(H56="正常",F58,"免征")</f>
        <v>免征</v>
      </c>
      <c r="G56" s="2546" t="s">
        <v>1365</v>
      </c>
      <c r="H56" s="2547"/>
      <c r="I56" s="1807"/>
      <c r="J56" s="2512" t="str">
        <f>IF(项目基本情况!K6="上海银行",IF(J55="",4,J55+1),"")</f>
        <v/>
      </c>
      <c r="K56" s="3629" t="str">
        <f>IF(项目基本情况!K6="上海银行","其他处置费用","")</f>
        <v/>
      </c>
      <c r="L56" s="3630"/>
      <c r="M56" s="2514" t="str">
        <f>IF(项目基本情况!K6="上海银行",M69,"")</f>
        <v/>
      </c>
      <c r="N56" s="3629" t="str">
        <f>IF(项目基本情况!K6="上海银行","包含处置中涉及的律师、诉讼、拍卖、评估等费用","")</f>
        <v/>
      </c>
      <c r="O56" s="3632"/>
    </row>
    <row r="57" spans="1:35" ht="13.2">
      <c r="A57" s="2334" t="s">
        <v>1341</v>
      </c>
      <c r="B57" s="3567" t="s">
        <v>1366</v>
      </c>
      <c r="C57" s="3568"/>
      <c r="D57" s="1589">
        <v>0</v>
      </c>
      <c r="E57" s="324" t="s">
        <v>1343</v>
      </c>
      <c r="F57" s="302"/>
      <c r="G57" s="2544"/>
      <c r="H57" s="2548"/>
      <c r="I57" s="1807"/>
      <c r="J57" s="3606">
        <f>IF(AND(J55="",J56=""),4,IF(项目基本情况!K6="上海银行",结果表!J56+1,结果表!J55+1))</f>
        <v>5</v>
      </c>
      <c r="K57" s="3606" t="s">
        <v>1367</v>
      </c>
      <c r="L57" s="2519" t="s">
        <v>1368</v>
      </c>
      <c r="M57" s="2520"/>
      <c r="N57" s="2521">
        <f ca="1">SUMIF(M52:M56,"&lt;9e307")</f>
        <v>0</v>
      </c>
      <c r="O57" s="2522"/>
      <c r="P57" s="2677" t="e">
        <f ca="1">N57/M49</f>
        <v>#VALUE!</v>
      </c>
    </row>
    <row r="58" spans="1:35" ht="25.2">
      <c r="A58" s="2334" t="s">
        <v>1352</v>
      </c>
      <c r="B58" s="3567" t="s">
        <v>1369</v>
      </c>
      <c r="C58" s="3541"/>
      <c r="D58" s="2323" t="e">
        <f ca="1">IF(H58="转让取得",C81,C97)</f>
        <v>#REF!</v>
      </c>
      <c r="E58" s="2333" t="s">
        <v>1364</v>
      </c>
      <c r="F58" s="302" t="s">
        <v>28</v>
      </c>
      <c r="G58" s="2544"/>
      <c r="H58" s="2547"/>
      <c r="I58" s="1807"/>
      <c r="J58" s="3606"/>
      <c r="K58" s="3606"/>
      <c r="L58" s="2519" t="s">
        <v>1370</v>
      </c>
      <c r="M58" s="2523"/>
      <c r="N58" s="2524" t="str">
        <f ca="1">NUMBERSTRING(INT(N57*10000),2)&amp;"元整"</f>
        <v>零元整</v>
      </c>
      <c r="O58" s="2525"/>
    </row>
    <row r="59" spans="1:35" ht="24.6" thickBot="1">
      <c r="A59" s="3609" t="s">
        <v>1371</v>
      </c>
      <c r="B59" s="3610"/>
      <c r="C59" s="3610"/>
      <c r="D59" s="2549" t="e">
        <f ca="1">IF(H59="非个人房产","——",IF(H59="个人住宅（满五唯一有凭证）",0,IF(H59="个人其他（无凭证）",ROUND(D45*F59,0),ROUND(C67*F59,0))))</f>
        <v>#REF!</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13"/>
      <c r="I59" s="2312" t="s">
        <v>2137</v>
      </c>
      <c r="J59" s="3607">
        <f>J57+1</f>
        <v>6</v>
      </c>
      <c r="K59" s="3606" t="s">
        <v>1372</v>
      </c>
      <c r="L59" s="2512" t="s">
        <v>1368</v>
      </c>
      <c r="M59" s="2526"/>
      <c r="N59" s="2527" t="e">
        <f ca="1">M49-N57</f>
        <v>#VALUE!</v>
      </c>
      <c r="O59" s="2528"/>
    </row>
    <row r="60" spans="1:35" ht="12" customHeight="1">
      <c r="A60" s="1808"/>
      <c r="B60" s="1746"/>
      <c r="C60" s="1746"/>
      <c r="D60" s="1746"/>
      <c r="E60" s="1577"/>
      <c r="F60" s="1807"/>
      <c r="G60" s="1807"/>
      <c r="H60" s="1809"/>
      <c r="I60" s="129"/>
      <c r="J60" s="3608"/>
      <c r="K60" s="3606"/>
      <c r="L60" s="2519" t="s">
        <v>1370</v>
      </c>
      <c r="M60" s="2523"/>
      <c r="N60" s="2524" t="e">
        <f ca="1">NUMBERSTRING(INT(N59*10000),2)&amp;"元整"</f>
        <v>#VALUE!</v>
      </c>
      <c r="O60" s="2525"/>
    </row>
    <row r="61" spans="1:35" ht="13.8" thickBot="1">
      <c r="A61" s="3554" t="s">
        <v>1373</v>
      </c>
      <c r="B61" s="3554"/>
      <c r="C61" s="3554"/>
      <c r="D61" s="3554"/>
      <c r="E61" s="3554"/>
      <c r="F61" s="1807"/>
      <c r="G61" s="1807"/>
      <c r="H61" s="1809"/>
      <c r="I61" s="129"/>
      <c r="J61" s="2512">
        <f>J59+1</f>
        <v>7</v>
      </c>
      <c r="K61" s="3606" t="s">
        <v>1374</v>
      </c>
      <c r="L61" s="3606"/>
      <c r="M61" s="2529"/>
      <c r="N61" s="2530" t="e">
        <f ca="1">ROUND(N59*10000/'数据-汇总表'!E3,0)</f>
        <v>#VALUE!</v>
      </c>
      <c r="O61" s="2531"/>
    </row>
    <row r="62" spans="1:35" ht="13.2">
      <c r="A62" s="3572" t="s">
        <v>1375</v>
      </c>
      <c r="B62" s="3573"/>
      <c r="C62" s="2020"/>
      <c r="D62" s="2020" t="s">
        <v>1376</v>
      </c>
      <c r="E62" s="166" t="s">
        <v>1377</v>
      </c>
      <c r="F62" s="1807"/>
      <c r="G62" s="1807"/>
      <c r="H62" s="1809"/>
      <c r="I62" s="129"/>
    </row>
    <row r="63" spans="1:35" ht="13.2">
      <c r="A63" s="173" t="s">
        <v>330</v>
      </c>
      <c r="B63" s="167" t="s">
        <v>1378</v>
      </c>
      <c r="C63" s="2553" t="e">
        <f ca="1">ROUND((C64+C65)/(1+'数据-取费表'!C42),0)</f>
        <v>#REF!</v>
      </c>
      <c r="D63" s="167"/>
      <c r="E63" s="168"/>
      <c r="F63" s="1807"/>
      <c r="G63" s="1807"/>
      <c r="H63" s="1809"/>
      <c r="I63" s="129"/>
      <c r="J63" s="3631" t="s">
        <v>1379</v>
      </c>
      <c r="K63" s="1331" t="s">
        <v>1380</v>
      </c>
      <c r="L63" s="1331" t="e">
        <f>IF(M49&gt;10000,M49*0.5%,IF(AND(M49&gt;1000,M49&lt;=10000),M49*1%,IF(AND(M49&gt;100,M49&lt;=1000),M49*3%,IF(AND(M49&gt;10,M49&lt;=100),M49*5%,M49*8%))))</f>
        <v>#VALUE!</v>
      </c>
      <c r="M63" s="302" t="e">
        <f>ROUND(L63,1)</f>
        <v>#VALUE!</v>
      </c>
      <c r="N63" s="2532"/>
      <c r="Z63" s="1751"/>
      <c r="AI63" s="1752"/>
    </row>
    <row r="64" spans="1:35" ht="14.25" customHeight="1">
      <c r="A64" s="169" t="s">
        <v>325</v>
      </c>
      <c r="B64" s="170" t="s">
        <v>1381</v>
      </c>
      <c r="C64" s="2554" t="e">
        <f ca="1">D45</f>
        <v>#REF!</v>
      </c>
      <c r="D64" s="170" t="s">
        <v>26</v>
      </c>
      <c r="E64" s="172"/>
      <c r="F64" s="1807"/>
      <c r="G64" s="1807"/>
      <c r="H64" s="1809"/>
      <c r="I64" s="129"/>
      <c r="J64" s="363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3" t="s">
        <v>1383</v>
      </c>
      <c r="Z64" s="1751"/>
      <c r="AI64" s="1752"/>
    </row>
    <row r="65" spans="1:35" ht="14.25" customHeight="1">
      <c r="A65" s="169" t="s">
        <v>326</v>
      </c>
      <c r="B65" s="170" t="s">
        <v>1384</v>
      </c>
      <c r="C65" s="2555"/>
      <c r="D65" s="170"/>
      <c r="E65" s="172"/>
      <c r="F65" s="1807"/>
      <c r="G65" s="1807"/>
      <c r="H65" s="1809"/>
      <c r="I65" s="129"/>
      <c r="J65" s="3631"/>
      <c r="K65" s="1331" t="s">
        <v>1385</v>
      </c>
      <c r="L65" s="1331" t="e">
        <f>IF(M49&gt;1000,M49*0.1%,IF(AND(M49&gt;500,M49&lt;=1000),M49*0.5%,IF(AND(M49&gt;50,M49&lt;=500),M49*1%,IF(AND(M49&gt;1,M49&lt;=50),M49*1.5%))))</f>
        <v>#VALUE!</v>
      </c>
      <c r="M65" s="302" t="e">
        <f t="shared" si="1"/>
        <v>#VALUE!</v>
      </c>
      <c r="N65" s="2533" t="s">
        <v>1383</v>
      </c>
      <c r="Z65" s="1751"/>
      <c r="AI65" s="1752"/>
    </row>
    <row r="66" spans="1:35" ht="14.25" customHeight="1">
      <c r="A66" s="173" t="s">
        <v>327</v>
      </c>
      <c r="B66" s="174" t="s">
        <v>1386</v>
      </c>
      <c r="C66" s="2556"/>
      <c r="D66" s="174" t="s">
        <v>26</v>
      </c>
      <c r="E66" s="1337" t="s">
        <v>671</v>
      </c>
      <c r="F66" s="1807"/>
      <c r="G66" s="1807"/>
      <c r="H66" s="1809"/>
      <c r="I66" s="129"/>
      <c r="J66" s="3631"/>
      <c r="K66" s="1331" t="s">
        <v>1387</v>
      </c>
      <c r="L66" s="1331" t="e">
        <f>M49*0.5%</f>
        <v>#VALUE!</v>
      </c>
      <c r="M66" s="302" t="e">
        <f>IF(L66&gt;0.5,0.5,ROUND(L66,0))</f>
        <v>#VALUE!</v>
      </c>
      <c r="N66" s="2533" t="s">
        <v>1388</v>
      </c>
      <c r="Z66" s="1751"/>
      <c r="AI66" s="1752"/>
    </row>
    <row r="67" spans="1:35" ht="14.25" customHeight="1">
      <c r="A67" s="173" t="s">
        <v>328</v>
      </c>
      <c r="B67" s="174" t="s">
        <v>1389</v>
      </c>
      <c r="C67" s="2557" t="e">
        <f ca="1">C63-C66</f>
        <v>#REF!</v>
      </c>
      <c r="D67" s="170" t="s">
        <v>26</v>
      </c>
      <c r="E67" s="172"/>
      <c r="F67" s="1807"/>
      <c r="G67" s="1807"/>
      <c r="H67" s="1809"/>
      <c r="I67" s="129"/>
      <c r="J67" s="363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2"/>
      <c r="Z67" s="1751"/>
      <c r="AI67" s="1752"/>
    </row>
    <row r="68" spans="1:35" ht="14.25" customHeight="1" thickBot="1">
      <c r="A68" s="176" t="s">
        <v>329</v>
      </c>
      <c r="B68" s="177" t="s">
        <v>1391</v>
      </c>
      <c r="C68" s="2558" t="e">
        <f ca="1">IF(C67&lt;=0,0,ROUND(C67*D68,0))</f>
        <v>#REF!</v>
      </c>
      <c r="D68" s="2559">
        <f>'数据-取费表'!B41</f>
        <v>5.6000000000000001E-2</v>
      </c>
      <c r="E68" s="178"/>
      <c r="F68" s="1807"/>
      <c r="G68" s="1807"/>
      <c r="H68" s="1809"/>
      <c r="I68" s="129"/>
      <c r="J68" s="3631"/>
      <c r="K68" s="1331" t="s">
        <v>1392</v>
      </c>
      <c r="L68" s="1331" t="e">
        <f>IF(M49&gt;10000,M49*0.5%,IF(AND(M49&gt;5000,M49&lt;=10000),M49*1%,IF(AND(M49&gt;1000,M49&lt;=5000),M49*2%,IF(AND(M49&gt;200,M49&lt;=1000),M49*3%,M49*5%))))</f>
        <v>#VALUE!</v>
      </c>
      <c r="M68" s="302" t="e">
        <f>ROUND(L68,1)</f>
        <v>#VALUE!</v>
      </c>
      <c r="N68" s="2532"/>
      <c r="Z68" s="1751"/>
      <c r="AI68" s="1752"/>
    </row>
    <row r="69" spans="1:35" s="1771" customFormat="1" ht="16.5" customHeight="1">
      <c r="A69" s="1810"/>
      <c r="B69" s="1811"/>
      <c r="C69" s="1812"/>
      <c r="D69" s="1813"/>
      <c r="E69" s="1814"/>
      <c r="F69" s="1577"/>
      <c r="G69" s="1577"/>
      <c r="H69" s="1576"/>
      <c r="I69" s="1746"/>
      <c r="J69" s="3631"/>
      <c r="K69" s="1331" t="s">
        <v>1393</v>
      </c>
      <c r="L69" s="1331"/>
      <c r="M69" s="302" t="e">
        <f>ROUND(SUM(M63:M68),0)</f>
        <v>#VALUE!</v>
      </c>
      <c r="N69" s="253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93" t="s">
        <v>1394</v>
      </c>
      <c r="B70" s="3594"/>
      <c r="C70" s="3594"/>
      <c r="D70" s="3594"/>
      <c r="E70" s="3594"/>
      <c r="F70" s="3594"/>
      <c r="G70" s="3594"/>
      <c r="H70" s="3594"/>
      <c r="I70" s="1815"/>
      <c r="J70" s="2678"/>
      <c r="K70" s="2678"/>
      <c r="L70" s="2678"/>
      <c r="M70" s="267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72" t="s">
        <v>1375</v>
      </c>
      <c r="B71" s="3573"/>
      <c r="C71" s="2020"/>
      <c r="D71" s="2020" t="s">
        <v>1376</v>
      </c>
      <c r="E71" s="179" t="s">
        <v>1377</v>
      </c>
      <c r="F71" s="180"/>
      <c r="G71" s="180"/>
      <c r="H71" s="181"/>
      <c r="I71" s="1819"/>
      <c r="J71" s="2678"/>
      <c r="K71" s="2678"/>
      <c r="L71" s="2678"/>
      <c r="M71" s="267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57" t="e">
        <f ca="1">ROUND(D45/(1+'数据-取费表'!C42),0)</f>
        <v>#REF!</v>
      </c>
      <c r="D72" s="170" t="s">
        <v>26</v>
      </c>
      <c r="E72" s="2330"/>
      <c r="F72" s="2329"/>
      <c r="G72" s="2329"/>
      <c r="H72" s="182"/>
      <c r="I72" s="1819"/>
      <c r="J72" s="2678"/>
      <c r="K72" s="2678"/>
      <c r="L72" s="2678"/>
      <c r="M72" s="267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5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0"/>
      <c r="D75" s="170" t="s">
        <v>26</v>
      </c>
      <c r="E75" s="184" t="s">
        <v>1399</v>
      </c>
      <c r="F75" s="2561"/>
      <c r="G75" s="184" t="s">
        <v>1400</v>
      </c>
      <c r="H75" s="256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3">
        <v>0.05</v>
      </c>
      <c r="E76" s="3567" t="s">
        <v>1402</v>
      </c>
      <c r="F76" s="3541"/>
      <c r="G76" s="3541"/>
      <c r="H76" s="359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65" t="e">
        <f ca="1">ROUND(D45*D78/(1+'数据-取费表'!C42),0)</f>
        <v>#REF!</v>
      </c>
      <c r="D78" s="2566">
        <f>'数据-取费表'!B43</f>
        <v>6.000000000000001E-3</v>
      </c>
      <c r="E78" s="3551" t="s">
        <v>1406</v>
      </c>
      <c r="F78" s="3552"/>
      <c r="G78" s="3552"/>
      <c r="H78" s="356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5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6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68" t="e">
        <f ca="1">ROUND(IF(C79&lt;=0,0,IF(C80&gt;=200%,C79*60%-C73*35%,IF(C80&gt;=100%,C79*50%-C73*15%,IF(C80&gt;=50%,C79*40%-C73*5%,IF(C80&lt;50%,C79*30%,0))))),0)</f>
        <v>#REF!</v>
      </c>
      <c r="D81" s="256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93" t="s">
        <v>1410</v>
      </c>
      <c r="B83" s="3594"/>
      <c r="C83" s="3594"/>
      <c r="D83" s="3594"/>
      <c r="E83" s="3594"/>
      <c r="F83" s="3594"/>
      <c r="G83" s="3594"/>
      <c r="H83" s="359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72" t="s">
        <v>1375</v>
      </c>
      <c r="B84" s="357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5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57" t="e">
        <f ca="1">IF(H88="仅含出让金",C87+C90+C91+C92+C93+C94,C87+C91+C92+C93+C94)</f>
        <v>#REF!</v>
      </c>
      <c r="D86" s="257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65">
        <f>C88+C89</f>
        <v>0</v>
      </c>
      <c r="D87" s="256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1"/>
      <c r="D88" s="2566"/>
      <c r="E88" s="193" t="s">
        <v>1413</v>
      </c>
      <c r="F88" s="2326"/>
      <c r="G88" s="194" t="s">
        <v>1414</v>
      </c>
      <c r="H88" s="1823"/>
      <c r="I88" s="1820"/>
      <c r="J88" s="251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65">
        <f>ROUND(C88*D89,0)</f>
        <v>0</v>
      </c>
      <c r="D89" s="256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1"/>
      <c r="D90" s="2566"/>
      <c r="E90" s="193" t="str">
        <f>IF(H88="-","土地取得成本中已包含该笔费用"," ")</f>
        <v xml:space="preserve"> </v>
      </c>
      <c r="F90" s="2326"/>
      <c r="G90" s="3633" t="s">
        <v>2129</v>
      </c>
      <c r="H90" s="3634"/>
      <c r="I90" s="1820"/>
      <c r="J90" s="251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65">
        <f>IF(H91="——",成本法!C33,I91)</f>
        <v>0</v>
      </c>
      <c r="D91" s="2566"/>
      <c r="E91" s="3551" t="s">
        <v>1419</v>
      </c>
      <c r="F91" s="3552"/>
      <c r="G91" s="355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65">
        <f>ROUND((C87+C90+C91)*D92,0)</f>
        <v>0</v>
      </c>
      <c r="D92" s="2572"/>
      <c r="E92" s="3551" t="s">
        <v>1422</v>
      </c>
      <c r="F92" s="3552"/>
      <c r="G92" s="3552"/>
      <c r="H92" s="3561"/>
      <c r="I92" s="1820"/>
      <c r="J92" s="251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65" t="e">
        <f ca="1">ROUND(D45*D93/(1+'数据-取费表'!C42),0)</f>
        <v>#REF!</v>
      </c>
      <c r="D93" s="2566">
        <f>'数据-取费表'!B43</f>
        <v>6.000000000000001E-3</v>
      </c>
      <c r="E93" s="3551" t="s">
        <v>1406</v>
      </c>
      <c r="F93" s="3552"/>
      <c r="G93" s="3552"/>
      <c r="H93" s="356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1">
        <f>ROUND((C87+C90+C91)*D94,0)</f>
        <v>0</v>
      </c>
      <c r="D94" s="2566">
        <v>0.2</v>
      </c>
      <c r="E94" s="3562" t="s">
        <v>1426</v>
      </c>
      <c r="F94" s="3563"/>
      <c r="G94" s="3563"/>
      <c r="H94" s="356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5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6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68" t="e">
        <f ca="1">ROUND(IF(C95&lt;=0,0,IF(C96&gt;=200%,C95*60%-C86*35%,IF(C96&gt;=100%,C95*50%-C86*15%,IF(C96&gt;=50%,C95*40%-C86*5%,IF(C96&lt;50%,C95*30%,0))))),0)</f>
        <v>#REF!</v>
      </c>
      <c r="D97" s="256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74" t="str">
        <f>C4</f>
        <v>比较法-住宅</v>
      </c>
      <c r="D101" s="2575" t="str">
        <f>D4</f>
        <v>收益法 (元)</v>
      </c>
      <c r="E101" s="3628" t="s">
        <v>1431</v>
      </c>
      <c r="F101" s="3585"/>
      <c r="G101" s="1826" t="s">
        <v>1432</v>
      </c>
      <c r="H101" s="2584" t="e">
        <f ca="1">H118</f>
        <v>#REF!</v>
      </c>
      <c r="I101" s="129"/>
    </row>
    <row r="102" spans="1:35" ht="18.75" customHeight="1">
      <c r="A102" s="3587" t="s">
        <v>1433</v>
      </c>
      <c r="B102" s="2573" t="s">
        <v>1432</v>
      </c>
      <c r="C102" s="2574">
        <f ca="1">IF(D32="楼面单价",ROUND(C19,0),C19)</f>
        <v>411.37369999999999</v>
      </c>
      <c r="D102" s="2575">
        <f ca="1">IF(D32="楼面单价",ROUND(D19,0),D19)</f>
        <v>356.9699</v>
      </c>
      <c r="E102" s="3628"/>
      <c r="F102" s="3585"/>
      <c r="G102" s="1826" t="s">
        <v>1434</v>
      </c>
      <c r="H102" s="2544" t="e">
        <f ca="1">I118</f>
        <v>#REF!</v>
      </c>
      <c r="I102" s="129"/>
    </row>
    <row r="103" spans="1:35" ht="42.75" customHeight="1">
      <c r="A103" s="3587"/>
      <c r="B103" s="2573" t="s">
        <v>1434</v>
      </c>
      <c r="C103" s="2576">
        <f ca="1">C20</f>
        <v>73591</v>
      </c>
      <c r="D103" s="2577">
        <f ca="1">D20</f>
        <v>63859</v>
      </c>
      <c r="E103" s="3622" t="s">
        <v>1435</v>
      </c>
      <c r="F103" s="3623"/>
      <c r="G103" s="1827" t="s">
        <v>1436</v>
      </c>
      <c r="H103" s="2584">
        <f>IF(D36="正常操作",H104+H105+H106,H105+H106)</f>
        <v>0</v>
      </c>
      <c r="I103" s="129"/>
    </row>
    <row r="104" spans="1:35" ht="18.75" customHeight="1">
      <c r="A104" s="3587" t="s">
        <v>1437</v>
      </c>
      <c r="B104" s="2578" t="s">
        <v>1432</v>
      </c>
      <c r="C104" s="2579" t="e">
        <f ca="1">H118</f>
        <v>#REF!</v>
      </c>
      <c r="D104" s="2580"/>
      <c r="E104" s="1673" t="s">
        <v>1438</v>
      </c>
      <c r="F104" s="1665"/>
      <c r="G104" s="1827" t="s">
        <v>1436</v>
      </c>
      <c r="H104" s="2585">
        <f>IF(D36="同一抵押权人同一抵押物续贷",C36&amp;"（续贷，未扣减，详见特别提示）",C36)</f>
        <v>0</v>
      </c>
      <c r="I104" s="129"/>
    </row>
    <row r="105" spans="1:35" ht="18.75" customHeight="1" thickBot="1">
      <c r="A105" s="3588"/>
      <c r="B105" s="2581" t="s">
        <v>1434</v>
      </c>
      <c r="C105" s="2582" t="e">
        <f ca="1">I118</f>
        <v>#REF!</v>
      </c>
      <c r="D105" s="2583"/>
      <c r="E105" s="1673" t="s">
        <v>1439</v>
      </c>
      <c r="F105" s="1665"/>
      <c r="G105" s="1827" t="s">
        <v>1436</v>
      </c>
      <c r="H105" s="2586">
        <f>C37</f>
        <v>0</v>
      </c>
      <c r="I105" s="129"/>
    </row>
    <row r="106" spans="1:35" ht="18.75" customHeight="1">
      <c r="A106" s="1746" t="s">
        <v>1440</v>
      </c>
      <c r="B106" s="1746"/>
      <c r="C106" s="1746"/>
      <c r="D106" s="1746"/>
      <c r="E106" s="1828" t="s">
        <v>1441</v>
      </c>
      <c r="F106" s="1665"/>
      <c r="G106" s="1827" t="s">
        <v>1436</v>
      </c>
      <c r="H106" s="2586">
        <f>C38</f>
        <v>0</v>
      </c>
      <c r="I106" s="129"/>
    </row>
    <row r="107" spans="1:35" ht="18.75" customHeight="1">
      <c r="A107" s="129"/>
      <c r="B107" s="129"/>
      <c r="C107" s="129"/>
      <c r="D107" s="129"/>
      <c r="E107" s="3584" t="str">
        <f>IF(项目基本情况!E8="已注销","——","3.房地产抵押价值")</f>
        <v>3.房地产抵押价值</v>
      </c>
      <c r="F107" s="3585"/>
      <c r="G107" s="1826" t="s">
        <v>1432</v>
      </c>
      <c r="H107" s="2584" t="e">
        <f ca="1">IF(E107="——","——",H101-H103)</f>
        <v>#REF!</v>
      </c>
      <c r="I107" s="129"/>
    </row>
    <row r="108" spans="1:35" ht="18.75" customHeight="1">
      <c r="A108" s="129"/>
      <c r="B108" s="129"/>
      <c r="C108" s="129"/>
      <c r="D108" s="129"/>
      <c r="E108" s="3584"/>
      <c r="F108" s="3585"/>
      <c r="G108" s="1826" t="s">
        <v>1434</v>
      </c>
      <c r="H108" s="2544">
        <f ca="1">IF(H107=H101,H102,ROUND(H107*10000/'数据-汇总表'!E3,0))</f>
        <v>0</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6" t="s">
        <v>1432</v>
      </c>
      <c r="H109" s="2587" t="str">
        <f>IF(E109="——","——",H101-H105-H106)</f>
        <v>——</v>
      </c>
      <c r="I109" s="129"/>
    </row>
    <row r="110" spans="1:35" ht="18.75" customHeight="1">
      <c r="A110" s="129"/>
      <c r="B110" s="129"/>
      <c r="C110" s="129"/>
      <c r="D110" s="129"/>
      <c r="E110" s="3584"/>
      <c r="F110" s="3585"/>
      <c r="G110" s="1826" t="s">
        <v>1434</v>
      </c>
      <c r="H110" s="2544"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6" t="s">
        <v>1432</v>
      </c>
      <c r="H111" s="2584" t="str">
        <f>IF(E111="——","——",N59)</f>
        <v>——</v>
      </c>
      <c r="I111" s="129"/>
    </row>
    <row r="112" spans="1:35" ht="18.75" customHeight="1" thickBot="1">
      <c r="A112" s="129"/>
      <c r="B112" s="129"/>
      <c r="C112" s="129"/>
      <c r="D112" s="129"/>
      <c r="E112" s="3617"/>
      <c r="F112" s="3618"/>
      <c r="G112" s="1829" t="s">
        <v>1434</v>
      </c>
      <c r="H112" s="2588" t="str">
        <f>IF(E111="——","——",N61)</f>
        <v>——</v>
      </c>
      <c r="I112" s="129"/>
    </row>
    <row r="113" spans="1:27" ht="18.75" customHeight="1">
      <c r="A113" s="129"/>
      <c r="B113" s="129"/>
      <c r="C113" s="129"/>
      <c r="D113" s="129"/>
      <c r="E113" s="3589" t="s">
        <v>1440</v>
      </c>
      <c r="F113" s="3589"/>
      <c r="G113" s="3589"/>
      <c r="H113" s="3589"/>
      <c r="I113" s="129"/>
    </row>
    <row r="114" spans="1:27" ht="3.75" customHeight="1">
      <c r="A114" s="1746"/>
      <c r="B114" s="1746"/>
      <c r="C114" s="1746"/>
      <c r="D114" s="1746"/>
      <c r="E114" s="1808"/>
      <c r="F114" s="1808"/>
      <c r="G114" s="1808"/>
      <c r="H114" s="1808"/>
      <c r="I114" s="1746"/>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8" t="s">
        <v>1449</v>
      </c>
      <c r="E117" s="2328" t="s">
        <v>1450</v>
      </c>
      <c r="F117" s="2328" t="s">
        <v>1449</v>
      </c>
      <c r="G117" s="2328" t="s">
        <v>1451</v>
      </c>
      <c r="H117" s="2328" t="s">
        <v>1449</v>
      </c>
      <c r="I117" s="2328" t="s">
        <v>1451</v>
      </c>
    </row>
    <row r="118" spans="1:27" ht="24.75" customHeight="1">
      <c r="A118" s="2589" t="str">
        <f>项目基本情况!S2</f>
        <v>北京市房地产</v>
      </c>
      <c r="B118" s="2328">
        <f>M18</f>
        <v>55.9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5" t="s">
        <v>1452</v>
      </c>
      <c r="B119" s="3555"/>
      <c r="C119" s="3555"/>
      <c r="D119" s="3595" t="e">
        <f ca="1">NUMBERSTRING(INT(D118*10000),2)&amp;"元整"</f>
        <v>#REF!</v>
      </c>
      <c r="E119" s="3597"/>
      <c r="F119" s="3595" t="e">
        <f ca="1">NUMBERSTRING(INT(F118*10000),2)&amp;"元整"</f>
        <v>#REF!</v>
      </c>
      <c r="G119" s="3597"/>
      <c r="H119" s="3595" t="e">
        <f ca="1">NUMBERSTRING(INT(H118*10000),2)&amp;"元整"</f>
        <v>#REF!</v>
      </c>
      <c r="I119" s="3597"/>
    </row>
    <row r="120" spans="1:27" ht="18.75" customHeight="1">
      <c r="A120" s="3619" t="str">
        <f>IF(项目基本情况!B9="房地产市场价值","",MID(E103,3,LEN(E103)-2))</f>
        <v/>
      </c>
      <c r="B120" s="3620"/>
      <c r="C120" s="3621"/>
      <c r="D120" s="3619">
        <f>H103</f>
        <v>0</v>
      </c>
      <c r="E120" s="3620"/>
      <c r="F120" s="3620"/>
      <c r="G120" s="3620"/>
      <c r="H120" s="3620"/>
      <c r="I120" s="362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
      </c>
      <c r="B122" s="3586"/>
      <c r="C122" s="3586"/>
      <c r="D122" s="3619" t="e">
        <f ca="1">H107</f>
        <v>#REF!</v>
      </c>
      <c r="E122" s="3620"/>
      <c r="F122" s="3620"/>
      <c r="G122" s="3620"/>
      <c r="H122" s="3620"/>
      <c r="I122" s="3621"/>
      <c r="AA122" s="725"/>
    </row>
    <row r="123" spans="1:27" ht="18.75" customHeight="1">
      <c r="A123" s="3555" t="s">
        <v>1452</v>
      </c>
      <c r="B123" s="3555"/>
      <c r="C123" s="3555"/>
      <c r="D123" s="3595" t="e">
        <f ca="1">NUMBERSTRING(INT(D122*10000),2)&amp;"元整"</f>
        <v>#REF!</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23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4114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55.9</v>
      </c>
      <c r="E9" s="225">
        <f>'数据-取费表'!B27</f>
        <v>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55.9</v>
      </c>
      <c r="E19" s="211">
        <f>'数据-取费表'!B31</f>
        <v>200</v>
      </c>
      <c r="F19" s="231"/>
      <c r="G19" s="1855"/>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55.9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5.0000000000000001E-4</v>
      </c>
      <c r="D44" s="238"/>
      <c r="E44" s="238"/>
      <c r="F44" s="239"/>
      <c r="G44" s="3637"/>
    </row>
    <row r="45" spans="1:7" s="214" customFormat="1" ht="13.5" customHeight="1">
      <c r="A45" s="255" t="s">
        <v>1547</v>
      </c>
      <c r="B45" s="244" t="s">
        <v>1513</v>
      </c>
      <c r="C45" s="245">
        <f ca="1">C46</f>
        <v>7</v>
      </c>
      <c r="D45" s="235">
        <f ca="1">C47</f>
        <v>2.5000000000000001E-3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22</v>
      </c>
      <c r="D51" s="232"/>
      <c r="E51" s="232"/>
      <c r="F51" s="264"/>
      <c r="G51" s="234" t="s">
        <v>1560</v>
      </c>
    </row>
    <row r="52" spans="1:7" s="208" customFormat="1" ht="16.8"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北京市房地产市场价值预评估</v>
      </c>
      <c r="C37" s="3452"/>
      <c r="D37" s="3452"/>
      <c r="E37" s="3452"/>
      <c r="F37" s="3452"/>
      <c r="G37" s="3452"/>
      <c r="H37" s="3452"/>
      <c r="I37" s="345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F1" zoomScale="70" zoomScaleNormal="70" zoomScaleSheetLayoutView="70" workbookViewId="0">
      <selection activeCell="R49" sqref="R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1">
        <f ca="1">ROUND(IF(D2="——",C52/10000,C52/10000-E2),4)</f>
        <v>24.130299999999998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4317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55.9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11180</v>
      </c>
      <c r="D19" s="849">
        <f ca="1">D9+D10</f>
        <v>55.9</v>
      </c>
      <c r="E19" s="211">
        <f>'数据-取费表'!B31</f>
        <v>200</v>
      </c>
      <c r="F19" s="231"/>
      <c r="G19" s="1855"/>
    </row>
    <row r="20" spans="1:7" s="214" customFormat="1" ht="13.5" customHeight="1">
      <c r="A20" s="255" t="s">
        <v>1574</v>
      </c>
      <c r="B20" s="210" t="s">
        <v>1575</v>
      </c>
      <c r="C20" s="232">
        <f ca="1">ROUND((C5+C19)*F20,0)</f>
        <v>112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1092</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1087</v>
      </c>
      <c r="D24" s="238"/>
      <c r="E24" s="238"/>
      <c r="F24" s="239"/>
      <c r="G24" s="240" t="s">
        <v>1586</v>
      </c>
    </row>
    <row r="25" spans="1:7" s="214" customFormat="1" ht="24">
      <c r="A25" s="780" t="s">
        <v>1476</v>
      </c>
      <c r="B25" s="215" t="s">
        <v>1587</v>
      </c>
      <c r="C25" s="1128">
        <f ca="1">ROUND(IF('数据-取费表'!B22&lt;=1,C20*F22*'数据-取费表'!B22/2,C20*(POWER((1+F22),'数据-取费表'!B22/2)-1)),0)</f>
        <v>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2823</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2823</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16287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267202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223600</v>
      </c>
      <c r="D34" s="217"/>
      <c r="E34" s="220"/>
      <c r="F34" s="257"/>
      <c r="G34" s="219"/>
    </row>
    <row r="35" spans="1:7" ht="13.5" customHeight="1">
      <c r="A35" s="780" t="s">
        <v>351</v>
      </c>
      <c r="B35" s="215" t="s">
        <v>1527</v>
      </c>
      <c r="C35" s="220">
        <f ca="1">ROUND(C34*F35,0)</f>
        <v>6708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22360</v>
      </c>
      <c r="D36" s="220"/>
      <c r="E36" s="220"/>
      <c r="F36" s="259">
        <f>'数据-取费表'!B34</f>
        <v>0.1</v>
      </c>
      <c r="G36" s="260" t="s">
        <v>1530</v>
      </c>
    </row>
    <row r="37" spans="1:7" s="258" customFormat="1" ht="13.5" customHeight="1">
      <c r="A37" s="780" t="s">
        <v>353</v>
      </c>
      <c r="B37" s="215" t="s">
        <v>1531</v>
      </c>
      <c r="C37" s="249">
        <f ca="1">ROUND(E37*D37,0)</f>
        <v>11180</v>
      </c>
      <c r="D37" s="217">
        <f ca="1">D19</f>
        <v>55.9</v>
      </c>
      <c r="E37" s="249">
        <f>'数据-取费表'!B35</f>
        <v>200</v>
      </c>
      <c r="F37" s="259"/>
      <c r="G37" s="261"/>
    </row>
    <row r="38" spans="1:7" ht="13.5" customHeight="1">
      <c r="A38" s="780" t="s">
        <v>354</v>
      </c>
      <c r="B38" s="215" t="s">
        <v>1533</v>
      </c>
      <c r="C38" s="220">
        <f ca="1">ROUND(C34*F38,0)</f>
        <v>3354</v>
      </c>
      <c r="D38" s="220"/>
      <c r="E38" s="220"/>
      <c r="F38" s="259">
        <f>'数据-取费表'!B36</f>
        <v>1.4999999999999999E-2</v>
      </c>
      <c r="G38" s="219" t="s">
        <v>1528</v>
      </c>
    </row>
    <row r="39" spans="1:7" s="214" customFormat="1" ht="13.5" customHeight="1">
      <c r="A39" s="255" t="s">
        <v>1534</v>
      </c>
      <c r="B39" s="210" t="s">
        <v>1535</v>
      </c>
      <c r="C39" s="232">
        <f ca="1">ROUND(C33*F20,0)</f>
        <v>2672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12819</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12692</v>
      </c>
      <c r="D42" s="238"/>
      <c r="E42" s="238"/>
      <c r="F42" s="239"/>
      <c r="G42" s="3635" t="s">
        <v>1591</v>
      </c>
    </row>
    <row r="43" spans="1:7" ht="13.5" customHeight="1">
      <c r="A43" s="780" t="s">
        <v>347</v>
      </c>
      <c r="B43" s="215" t="s">
        <v>1545</v>
      </c>
      <c r="C43" s="238">
        <f ca="1">ROUND(IF('数据-取费表'!B22&lt;=1,C39*F22*'数据-取费表'!B20/2,C39*(POWER((1+F22),'数据-取费表'!B20/2)-1)),0)</f>
        <v>127</v>
      </c>
      <c r="D43" s="238"/>
      <c r="E43" s="238"/>
      <c r="F43" s="239"/>
      <c r="G43" s="3636"/>
    </row>
    <row r="44" spans="1:7" ht="13.5" customHeight="1">
      <c r="A44" s="780" t="s">
        <v>348</v>
      </c>
      <c r="B44" s="215" t="s">
        <v>1546</v>
      </c>
      <c r="C44" s="238">
        <f ca="1">ROUND(IF('数据-取费表'!B22&lt;=1,C40*F22*'数据-取费表'!B20/2,C40*(POWER((1+F22),'数据-取费表'!B20/2)-1)),4)</f>
        <v>5.0000000000000001E-4</v>
      </c>
      <c r="D44" s="238"/>
      <c r="E44" s="238"/>
      <c r="F44" s="239"/>
      <c r="G44" s="3637"/>
    </row>
    <row r="45" spans="1:7" s="214" customFormat="1" ht="13.5" customHeight="1">
      <c r="A45" s="255" t="s">
        <v>1547</v>
      </c>
      <c r="B45" s="244" t="s">
        <v>1513</v>
      </c>
      <c r="C45" s="245">
        <f ca="1">C46</f>
        <v>67469</v>
      </c>
      <c r="D45" s="235">
        <f ca="1">C47</f>
        <v>2.5000000000000001E-3</v>
      </c>
      <c r="E45" s="236" t="s">
        <v>1539</v>
      </c>
      <c r="F45" s="246">
        <f ca="1">F27</f>
        <v>0.25</v>
      </c>
      <c r="G45" s="247" t="s">
        <v>1548</v>
      </c>
    </row>
    <row r="46" spans="1:7" s="214" customFormat="1" ht="13.5" customHeight="1">
      <c r="A46" s="780" t="s">
        <v>346</v>
      </c>
      <c r="B46" s="248" t="s">
        <v>1549</v>
      </c>
      <c r="C46" s="249">
        <f ca="1">ROUND((C33+C39)*F27,0)</f>
        <v>67469</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375026</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225016</v>
      </c>
      <c r="D51" s="232"/>
      <c r="E51" s="232"/>
      <c r="F51" s="264"/>
      <c r="G51" s="234" t="s">
        <v>1560</v>
      </c>
    </row>
    <row r="52" spans="1:7" s="208" customFormat="1" ht="16.8" thickBot="1">
      <c r="A52" s="265" t="s">
        <v>1561</v>
      </c>
      <c r="B52" s="266"/>
      <c r="C52" s="267">
        <f ca="1">C31+C51</f>
        <v>241303</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793"/>
      <c r="F1" s="2793"/>
      <c r="G1" s="2660"/>
      <c r="H1" s="2793"/>
      <c r="I1" s="2793"/>
      <c r="J1" s="2793"/>
      <c r="K1" s="2794">
        <f>MATCH(C1,'数据-取费表'!A6:A16,0)+5</f>
        <v>7</v>
      </c>
    </row>
    <row r="2" spans="1:33" ht="18" customHeight="1">
      <c r="A2" s="201" t="s">
        <v>1462</v>
      </c>
      <c r="B2" s="204">
        <f ca="1">C32</f>
        <v>0</v>
      </c>
      <c r="C2" s="276" t="s">
        <v>1595</v>
      </c>
      <c r="D2" s="276"/>
      <c r="E2" s="2793"/>
      <c r="F2" s="2793"/>
      <c r="G2" s="2793"/>
      <c r="H2" s="2793"/>
      <c r="I2" s="2793"/>
      <c r="J2" s="2793"/>
      <c r="K2" s="2793"/>
    </row>
    <row r="3" spans="1:33" ht="18" customHeight="1" thickBot="1">
      <c r="A3" s="203" t="s">
        <v>1464</v>
      </c>
      <c r="B3" s="204">
        <f ca="1">ROUND(B2*10000/IF(C1="",'数据-汇总表'!E3,INDIRECT("'数据-取费表'!K"&amp;$K$1)),0)</f>
        <v>0</v>
      </c>
      <c r="C3" s="276" t="s">
        <v>1596</v>
      </c>
      <c r="D3" s="276"/>
      <c r="E3" s="2793"/>
      <c r="F3" s="2793"/>
      <c r="G3" s="2793"/>
      <c r="H3" s="2793"/>
      <c r="I3" s="2793"/>
      <c r="J3" s="2793"/>
      <c r="K3" s="279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55.9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55.9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55.9</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79"/>
      <c r="I1" s="2680"/>
      <c r="J1" s="2680"/>
      <c r="K1" s="2681"/>
      <c r="L1" s="2680"/>
      <c r="M1" s="268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693"/>
      <c r="H2" s="2682"/>
      <c r="I2" s="2682"/>
      <c r="J2" s="2682"/>
      <c r="K2" s="2683"/>
      <c r="L2" s="2682"/>
      <c r="M2" s="2682"/>
    </row>
    <row r="3" spans="1:37" ht="18" customHeight="1" thickBot="1">
      <c r="A3" s="1389" t="s">
        <v>806</v>
      </c>
      <c r="B3" s="1390">
        <f ca="1">IF(ISERROR(B2*10000/F43),0,ROUND(B2*10000/F43,0))</f>
        <v>0</v>
      </c>
      <c r="C3" s="1386" t="s">
        <v>807</v>
      </c>
      <c r="D3" s="1386"/>
      <c r="E3" s="1387"/>
      <c r="F3" s="1388"/>
      <c r="G3" s="269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0" t="s">
        <v>694</v>
      </c>
      <c r="C6" s="1074">
        <f ca="1">ROUND(F6*F8*F7*(1-F9)/10000,0)</f>
        <v>0</v>
      </c>
      <c r="D6" s="155" t="s">
        <v>2109</v>
      </c>
      <c r="E6" s="302" t="s">
        <v>696</v>
      </c>
      <c r="F6" s="303">
        <f ca="1">INDIRECT("'数据-取费表'!u"&amp;$G$1)</f>
        <v>0</v>
      </c>
      <c r="G6" s="1383"/>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3"/>
      <c r="H7" s="304"/>
      <c r="I7" s="3641"/>
      <c r="J7" s="306"/>
      <c r="K7" s="307"/>
      <c r="L7" s="302" t="s">
        <v>697</v>
      </c>
      <c r="M7" s="303">
        <f ca="1">F7</f>
        <v>0</v>
      </c>
    </row>
    <row r="8" spans="1:37" ht="18" customHeight="1">
      <c r="A8" s="304"/>
      <c r="B8" s="3641"/>
      <c r="C8" s="306"/>
      <c r="D8" s="307"/>
      <c r="E8" s="302" t="s">
        <v>698</v>
      </c>
      <c r="F8" s="303">
        <f ca="1">INDIRECT("'数据-取费表'!ai"&amp;$G$1)</f>
        <v>0</v>
      </c>
      <c r="G8" s="1383"/>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3"/>
      <c r="H9" s="304"/>
      <c r="I9" s="364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0.01</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4"/>
      <c r="I30" s="1397"/>
      <c r="J30" s="1398"/>
      <c r="K30" s="2473"/>
      <c r="L30" s="2685"/>
      <c r="M30" s="2686"/>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795" t="s">
        <v>2307</v>
      </c>
      <c r="I31" s="1397"/>
      <c r="J31" s="1398"/>
      <c r="K31" s="2473"/>
      <c r="L31" s="2685"/>
      <c r="M31" s="2686"/>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84"/>
      <c r="I32" s="1397"/>
      <c r="J32" s="1398"/>
      <c r="K32" s="2473"/>
      <c r="L32" s="2685"/>
      <c r="M32" s="268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3335</v>
      </c>
      <c r="E33" s="302" t="s">
        <v>712</v>
      </c>
      <c r="F33" s="322">
        <f>IF(D33="按票据","——",IF(D33="按租金收入计税",'数据-取费表'!B51,'数据-取费表'!B50))</f>
        <v>0.12</v>
      </c>
      <c r="G33" s="1383"/>
      <c r="H33" s="2687"/>
      <c r="I33" s="1397"/>
      <c r="J33" s="1398"/>
      <c r="K33" s="2688"/>
      <c r="L33" s="2687"/>
      <c r="M33" s="2687"/>
    </row>
    <row r="34" spans="1:18" ht="18" customHeight="1">
      <c r="A34" s="1069" t="s">
        <v>680</v>
      </c>
      <c r="B34" s="155" t="s">
        <v>730</v>
      </c>
      <c r="C34" s="22">
        <f ca="1">IF(项目基本情况!B11="自然人","——",ROUND(F34*F35/10000,2))</f>
        <v>0</v>
      </c>
      <c r="D34" s="324" t="s">
        <v>731</v>
      </c>
      <c r="E34" s="302" t="s">
        <v>732</v>
      </c>
      <c r="F34" s="325">
        <f>'数据-取费表'!B52</f>
        <v>0</v>
      </c>
      <c r="G34" s="1383"/>
      <c r="H34" s="2684"/>
      <c r="I34" s="1397"/>
      <c r="J34" s="1398"/>
      <c r="K34" s="2689"/>
      <c r="L34" s="2690"/>
      <c r="M34" s="2690"/>
    </row>
    <row r="35" spans="1:18" ht="18" customHeight="1">
      <c r="A35" s="1103"/>
      <c r="B35" s="1101"/>
      <c r="C35" s="26"/>
      <c r="D35" s="327"/>
      <c r="E35" s="302" t="s">
        <v>736</v>
      </c>
      <c r="F35" s="303">
        <f ca="1">INDIRECT("'数据-取费表'!r"&amp;$G$1)</f>
        <v>0</v>
      </c>
      <c r="G35" s="1383"/>
      <c r="H35" s="2684"/>
      <c r="I35" s="1397"/>
      <c r="J35" s="1398"/>
      <c r="K35" s="2688"/>
      <c r="L35" s="2687"/>
      <c r="M35" s="2687"/>
    </row>
    <row r="36" spans="1:18" ht="18" customHeight="1">
      <c r="A36" s="1102" t="s">
        <v>402</v>
      </c>
      <c r="B36" s="302" t="s">
        <v>738</v>
      </c>
      <c r="C36" s="21">
        <f ca="1">ROUND(C29*F36,2)</f>
        <v>0</v>
      </c>
      <c r="D36" s="1343" t="s">
        <v>771</v>
      </c>
      <c r="E36" s="302" t="s">
        <v>712</v>
      </c>
      <c r="F36" s="328">
        <f ca="1">INDIRECT("'数据-取费表'!Ak"&amp;$G$1)</f>
        <v>0</v>
      </c>
      <c r="G36" s="1383"/>
      <c r="H36" s="2687"/>
      <c r="I36" s="1397"/>
      <c r="J36" s="1398"/>
      <c r="K36" s="2533"/>
      <c r="L36" s="2687"/>
      <c r="M36" s="2687"/>
    </row>
    <row r="37" spans="1:18" ht="18" customHeight="1">
      <c r="A37" s="982" t="s">
        <v>437</v>
      </c>
      <c r="B37" s="302" t="s">
        <v>742</v>
      </c>
      <c r="C37" s="21">
        <f ca="1">ROUND(C13*F37,2)</f>
        <v>0</v>
      </c>
      <c r="D37" s="1343" t="s">
        <v>743</v>
      </c>
      <c r="E37" s="302" t="s">
        <v>744</v>
      </c>
      <c r="F37" s="330">
        <f ca="1">INDIRECT("'数据-取费表'!Al"&amp;$G$1)</f>
        <v>0</v>
      </c>
      <c r="G37" s="1383"/>
      <c r="H37" s="2687"/>
      <c r="I37" s="1397"/>
      <c r="J37" s="1398"/>
      <c r="K37" s="2533"/>
      <c r="L37" s="2687"/>
      <c r="M37" s="2687"/>
    </row>
    <row r="38" spans="1:18" ht="18" customHeight="1" thickBot="1">
      <c r="A38" s="1089" t="s">
        <v>684</v>
      </c>
      <c r="B38" s="1090" t="s">
        <v>728</v>
      </c>
      <c r="C38" s="1091">
        <f ca="1">ROUND(C5*F38,2)</f>
        <v>0</v>
      </c>
      <c r="D38" s="1092" t="s">
        <v>748</v>
      </c>
      <c r="E38" s="1090" t="s">
        <v>744</v>
      </c>
      <c r="F38" s="1086">
        <f ca="1">INDIRECT("'数据-取费表'!Am"&amp;$G$1)</f>
        <v>0</v>
      </c>
      <c r="G38" s="1383"/>
      <c r="H38" s="2687"/>
      <c r="I38" s="1397"/>
      <c r="J38" s="1398"/>
      <c r="K38" s="2691"/>
      <c r="L38" s="2687"/>
      <c r="M38" s="2687"/>
    </row>
    <row r="39" spans="1:18" ht="24.6" customHeight="1" thickTop="1">
      <c r="A39" s="1079" t="s">
        <v>394</v>
      </c>
      <c r="B39" s="1094" t="s">
        <v>772</v>
      </c>
      <c r="C39" s="310">
        <f ca="1">C5-C30</f>
        <v>0</v>
      </c>
      <c r="D39" s="1095" t="s">
        <v>773</v>
      </c>
      <c r="E39" s="1096"/>
      <c r="F39" s="1097"/>
      <c r="G39" s="1383"/>
      <c r="H39" s="2687"/>
      <c r="I39" s="1397"/>
      <c r="J39" s="1398"/>
      <c r="K39" s="2691"/>
      <c r="L39" s="2687"/>
      <c r="M39" s="268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2"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38" t="s">
        <v>837</v>
      </c>
      <c r="L53" s="3639"/>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C31" sqref="C31: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3383</v>
      </c>
      <c r="D1" s="1361" t="s">
        <v>43</v>
      </c>
      <c r="E1" s="1362" t="s">
        <v>678</v>
      </c>
      <c r="F1" s="1062">
        <f ca="1">J53</f>
        <v>70</v>
      </c>
      <c r="G1" s="1377">
        <f>MATCH(C1,'数据-取费表'!A6:A16,0)+5</f>
        <v>6</v>
      </c>
      <c r="H1" s="2679"/>
      <c r="I1" s="2680"/>
      <c r="J1" s="2680"/>
      <c r="K1" s="2681"/>
      <c r="L1" s="2680"/>
      <c r="M1" s="268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2">
        <f ca="1">ROUND(D2/10000,4)</f>
        <v>356.9699</v>
      </c>
      <c r="C2" s="1386" t="s">
        <v>879</v>
      </c>
      <c r="D2" s="1470">
        <f ca="1">C40+J29+L46</f>
        <v>3569699</v>
      </c>
      <c r="E2" s="1387" t="s">
        <v>880</v>
      </c>
      <c r="F2" s="1388"/>
      <c r="G2" s="2693"/>
      <c r="H2" s="2682"/>
      <c r="I2" s="2682"/>
      <c r="J2" s="2682"/>
      <c r="K2" s="2683"/>
      <c r="L2" s="2682"/>
      <c r="M2" s="2682"/>
    </row>
    <row r="3" spans="1:37" ht="18" customHeight="1" thickBot="1">
      <c r="A3" s="1389" t="s">
        <v>881</v>
      </c>
      <c r="B3" s="1390">
        <f ca="1">IF(ISERROR(D2/F43),0,ROUND(D2/F43,0))</f>
        <v>63859</v>
      </c>
      <c r="C3" s="1386" t="s">
        <v>882</v>
      </c>
      <c r="D3" s="1386"/>
      <c r="E3" s="1387"/>
      <c r="F3" s="1388"/>
      <c r="G3" s="269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74149</v>
      </c>
      <c r="D5" s="1363" t="s">
        <v>889</v>
      </c>
      <c r="E5" s="1071"/>
      <c r="F5" s="1072"/>
      <c r="G5" s="1383"/>
      <c r="H5" s="299">
        <v>1</v>
      </c>
      <c r="I5" s="300" t="s">
        <v>888</v>
      </c>
      <c r="J5" s="1070">
        <f ca="1">J6+J10+J12</f>
        <v>0</v>
      </c>
      <c r="K5" s="1363" t="s">
        <v>889</v>
      </c>
      <c r="L5" s="1071"/>
      <c r="M5" s="1072"/>
    </row>
    <row r="6" spans="1:37" ht="18" customHeight="1">
      <c r="A6" s="1069" t="s">
        <v>398</v>
      </c>
      <c r="B6" s="3640" t="s">
        <v>694</v>
      </c>
      <c r="C6" s="1074">
        <f ca="1">ROUND(F6*F8*F7*(1-F9),0)</f>
        <v>74056</v>
      </c>
      <c r="D6" s="155" t="s">
        <v>2106</v>
      </c>
      <c r="E6" s="302" t="s">
        <v>696</v>
      </c>
      <c r="F6" s="303">
        <f ca="1">INDIRECT("'数据-取费表'!u"&amp;$G$1)</f>
        <v>120</v>
      </c>
      <c r="G6" s="1383"/>
      <c r="H6" s="1069" t="s">
        <v>398</v>
      </c>
      <c r="I6" s="3640" t="s">
        <v>694</v>
      </c>
      <c r="J6" s="301">
        <f ca="1">ROUND(M6*M8*M7*(1-M9),0)</f>
        <v>0</v>
      </c>
      <c r="K6" s="1375"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55.9</v>
      </c>
      <c r="G7" s="1383"/>
      <c r="H7" s="304"/>
      <c r="I7" s="3641"/>
      <c r="J7" s="306"/>
      <c r="K7" s="307"/>
      <c r="L7" s="302" t="s">
        <v>697</v>
      </c>
      <c r="M7" s="303">
        <f ca="1">F7</f>
        <v>55.9</v>
      </c>
    </row>
    <row r="8" spans="1:37" ht="18" customHeight="1">
      <c r="A8" s="304"/>
      <c r="B8" s="3641"/>
      <c r="C8" s="306"/>
      <c r="D8" s="307"/>
      <c r="E8" s="302" t="s">
        <v>698</v>
      </c>
      <c r="F8" s="303">
        <f ca="1">INDIRECT("'数据-取费表'!ai"&amp;$G$1)</f>
        <v>12</v>
      </c>
      <c r="G8" s="1383"/>
      <c r="H8" s="304"/>
      <c r="I8" s="3641"/>
      <c r="J8" s="306"/>
      <c r="K8" s="307"/>
      <c r="L8" s="302" t="s">
        <v>698</v>
      </c>
      <c r="M8" s="303">
        <f ca="1">INDIRECT("'数据-取费表'!ai"&amp;$G$1)</f>
        <v>12</v>
      </c>
    </row>
    <row r="9" spans="1:37" ht="18" customHeight="1">
      <c r="A9" s="304"/>
      <c r="B9" s="3642"/>
      <c r="C9" s="306"/>
      <c r="D9" s="307"/>
      <c r="E9" s="302" t="s">
        <v>699</v>
      </c>
      <c r="F9" s="312">
        <f ca="1">INDIRECT("'数据-取费表'!w"&amp;$G$1)</f>
        <v>0.08</v>
      </c>
      <c r="G9" s="1383"/>
      <c r="H9" s="304"/>
      <c r="I9" s="3642"/>
      <c r="J9" s="306"/>
      <c r="K9" s="307"/>
      <c r="L9" s="313" t="s">
        <v>699</v>
      </c>
      <c r="M9" s="314">
        <f ca="1">INDIRECT("'数据-取费表'!ab"&amp;$G$1)</f>
        <v>0</v>
      </c>
    </row>
    <row r="10" spans="1:37" ht="18" customHeight="1">
      <c r="A10" s="1069" t="s">
        <v>402</v>
      </c>
      <c r="B10" s="1364" t="s">
        <v>700</v>
      </c>
      <c r="C10" s="316">
        <f ca="1">ROUND(IF(F10="押一",C6/12*F11,IF(F10="押二",C6/12*2*F11,IF(F10="押三",C6/12*3*F11,C11*F11))),0)</f>
        <v>93</v>
      </c>
      <c r="D10" s="1365" t="s">
        <v>2116</v>
      </c>
      <c r="E10" s="313" t="s">
        <v>701</v>
      </c>
      <c r="F10" s="1116" t="s">
        <v>3391</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225016</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223600</v>
      </c>
      <c r="D14" s="1344" t="s">
        <v>708</v>
      </c>
      <c r="E14" s="1341"/>
      <c r="F14" s="319"/>
      <c r="G14" s="1383"/>
      <c r="H14" s="982" t="s">
        <v>398</v>
      </c>
      <c r="I14" s="302" t="s">
        <v>709</v>
      </c>
      <c r="J14" s="21">
        <f ca="1">C29</f>
        <v>375026</v>
      </c>
      <c r="K14" s="12"/>
      <c r="L14" s="807"/>
      <c r="M14" s="808"/>
    </row>
    <row r="15" spans="1:37" s="1396" customFormat="1" ht="18" customHeight="1" thickBot="1">
      <c r="A15" s="982" t="s">
        <v>399</v>
      </c>
      <c r="B15" s="302" t="s">
        <v>710</v>
      </c>
      <c r="C15" s="21">
        <f ca="1">ROUND(C14*F15,0)</f>
        <v>6708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22360</v>
      </c>
      <c r="D16" s="302" t="s">
        <v>711</v>
      </c>
      <c r="E16" s="302" t="s">
        <v>712</v>
      </c>
      <c r="F16" s="322">
        <f ca="1">IF(INDIRECT("'数据-取费表'!c"&amp;$G$1)="住宅",'数据-取费表'!B34,0)</f>
        <v>0.1</v>
      </c>
      <c r="G16" s="1383"/>
      <c r="H16" s="1079" t="s">
        <v>393</v>
      </c>
      <c r="I16" s="1080" t="s">
        <v>714</v>
      </c>
      <c r="J16" s="310">
        <f ca="1">ROUND(J17+J22+J23+J24,0)</f>
        <v>3750</v>
      </c>
      <c r="K16" s="1087" t="s">
        <v>715</v>
      </c>
      <c r="L16" s="1088"/>
      <c r="M16" s="1072"/>
    </row>
    <row r="17" spans="1:37" s="1396" customFormat="1" ht="18" customHeight="1">
      <c r="A17" s="982" t="s">
        <v>681</v>
      </c>
      <c r="B17" s="302" t="s">
        <v>716</v>
      </c>
      <c r="C17" s="21">
        <f ca="1">ROUND(F17*(F43+INDIRECT("'数据-取费表'!S"&amp;$G$1)),0)</f>
        <v>11180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3354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267202</v>
      </c>
      <c r="D19" s="131" t="s">
        <v>726</v>
      </c>
      <c r="E19" s="1359"/>
      <c r="F19" s="23"/>
      <c r="G19" s="1383"/>
      <c r="H19" s="982"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2" t="s">
        <v>402</v>
      </c>
      <c r="B20" s="302" t="s">
        <v>728</v>
      </c>
      <c r="C20" s="21">
        <f ca="1">ROUND(C19*F20,0)</f>
        <v>2672</v>
      </c>
      <c r="D20" s="323" t="s">
        <v>729</v>
      </c>
      <c r="E20" s="302" t="s">
        <v>712</v>
      </c>
      <c r="F20" s="322">
        <f>'数据-取费表'!B37</f>
        <v>0.01</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3750</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-3750</v>
      </c>
      <c r="K25" s="1095" t="s">
        <v>753</v>
      </c>
      <c r="L25" s="1096"/>
      <c r="M25" s="1097"/>
    </row>
    <row r="26" spans="1:37" ht="18" customHeight="1">
      <c r="A26" s="982" t="s">
        <v>397</v>
      </c>
      <c r="B26" s="302" t="s">
        <v>754</v>
      </c>
      <c r="C26" s="21">
        <f ca="1">ROUND((C19+C20)*F26,0)</f>
        <v>67469</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2.5000000000000001E-3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375026</v>
      </c>
      <c r="D29" s="1092"/>
      <c r="E29" s="1090"/>
      <c r="F29" s="1093"/>
      <c r="G29" s="1395"/>
      <c r="H29" s="334" t="s">
        <v>396</v>
      </c>
      <c r="I29" s="335" t="s">
        <v>768</v>
      </c>
      <c r="J29" s="336">
        <f ca="1">ROUND(J26/(1+F40)^F41,0)</f>
        <v>0</v>
      </c>
      <c r="K29" s="337" t="s">
        <v>769</v>
      </c>
      <c r="L29" s="338"/>
      <c r="M29" s="339">
        <f ca="1">INDIRECT("'数据-取费表'!k"&amp;$G$1)</f>
        <v>55.9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11816</v>
      </c>
      <c r="D30" s="1087" t="s">
        <v>715</v>
      </c>
      <c r="E30" s="1088"/>
      <c r="F30" s="1072"/>
      <c r="G30" s="1383"/>
      <c r="H30" s="2684"/>
      <c r="I30" s="1397"/>
      <c r="J30" s="1398"/>
      <c r="K30" s="2473"/>
      <c r="L30" s="2685"/>
      <c r="M30" s="2686"/>
    </row>
    <row r="31" spans="1:37" ht="18" customHeight="1">
      <c r="A31" s="982" t="s">
        <v>398</v>
      </c>
      <c r="B31" s="302" t="s">
        <v>719</v>
      </c>
      <c r="C31" s="2315">
        <f ca="1">ROUND(IF(AND(项目基本情况!B11="自然人",项目基本情况!B10="北京市"),C6*F31/(1+'数据-取费表'!C42),C32+C33+C34),0)</f>
        <v>7100</v>
      </c>
      <c r="D31" s="1344" t="s">
        <v>720</v>
      </c>
      <c r="E31" s="1343" t="s">
        <v>770</v>
      </c>
      <c r="F31" s="2314">
        <f ca="1">IF(项目基本情况!B11="企业","——",IF(M47="住宅",IF(F6*F7*F8/12/(1+'数据-取费表'!F30)&gt;100000,4%,2.5%),IF(F6*F7*F8/12/(1+'数据-取费表'!F30)&gt;100000,12%,7%)))</f>
        <v>2.5000000000000001E-2</v>
      </c>
      <c r="G31" s="1383"/>
      <c r="H31" s="2795" t="s">
        <v>2307</v>
      </c>
      <c r="I31" s="1397"/>
      <c r="J31" s="1398"/>
      <c r="K31" s="2473"/>
      <c r="L31" s="2685"/>
      <c r="M31" s="2686"/>
    </row>
    <row r="32" spans="1:37" ht="18" customHeight="1">
      <c r="A32" s="982" t="s">
        <v>397</v>
      </c>
      <c r="B32" s="302" t="s">
        <v>723</v>
      </c>
      <c r="C32" s="21">
        <f ca="1">IF(项目基本情况!B11="自然人","——",ROUND(C6*F32/(1+'数据-取费表'!C42),0))</f>
        <v>3950</v>
      </c>
      <c r="D32" s="1343" t="s">
        <v>724</v>
      </c>
      <c r="E32" s="302" t="s">
        <v>712</v>
      </c>
      <c r="F32" s="331">
        <f>'数据-取费表'!B41</f>
        <v>5.6000000000000001E-2</v>
      </c>
      <c r="G32" s="1383"/>
      <c r="H32" s="2684"/>
      <c r="I32" s="1397"/>
      <c r="J32" s="1398"/>
      <c r="K32" s="2473"/>
      <c r="L32" s="2685"/>
      <c r="M32" s="2686"/>
    </row>
    <row r="33" spans="1:18" ht="18" customHeight="1">
      <c r="A33" s="982" t="s">
        <v>399</v>
      </c>
      <c r="B33" s="302" t="s">
        <v>727</v>
      </c>
      <c r="C33" s="21">
        <f ca="1">IF(项目基本情况!B11="自然人","——",IF(D33="按租金收入计税",ROUND(C6*F33/(1+'数据-取费表'!C42),0),IF(D33="按房产原值计税",ROUND(C29*F33*0.7,0),INDIRECT("'数据-取费表'!Aj"&amp;$G$1))))</f>
        <v>3150</v>
      </c>
      <c r="D33" s="1369" t="s">
        <v>3420</v>
      </c>
      <c r="E33" s="302" t="s">
        <v>712</v>
      </c>
      <c r="F33" s="322">
        <f>IF(D33="按票据","——",IF(D33="按租金收入计税",'数据-取费表'!B51,'数据-取费表'!B50))</f>
        <v>1.2E-2</v>
      </c>
      <c r="G33" s="1383"/>
      <c r="H33" s="2687"/>
      <c r="I33" s="1397"/>
      <c r="J33" s="1398"/>
      <c r="K33" s="2688"/>
      <c r="L33" s="2687"/>
      <c r="M33" s="2687"/>
    </row>
    <row r="34" spans="1:18" ht="18" customHeight="1">
      <c r="A34" s="1069" t="s">
        <v>680</v>
      </c>
      <c r="B34" s="155" t="s">
        <v>730</v>
      </c>
      <c r="C34" s="22">
        <f ca="1">IF(项目基本情况!B11="自然人","——",ROUND(F34*F35,0))</f>
        <v>0</v>
      </c>
      <c r="D34" s="324" t="s">
        <v>731</v>
      </c>
      <c r="E34" s="302" t="s">
        <v>732</v>
      </c>
      <c r="F34" s="325">
        <f>'数据-取费表'!B52</f>
        <v>0</v>
      </c>
      <c r="G34" s="1383"/>
      <c r="H34" s="2684"/>
      <c r="I34" s="1397"/>
      <c r="J34" s="1398"/>
      <c r="K34" s="2689"/>
      <c r="L34" s="2690"/>
      <c r="M34" s="2690"/>
    </row>
    <row r="35" spans="1:18" ht="18" customHeight="1">
      <c r="A35" s="1103"/>
      <c r="B35" s="1101"/>
      <c r="C35" s="26"/>
      <c r="D35" s="327"/>
      <c r="E35" s="302" t="s">
        <v>736</v>
      </c>
      <c r="F35" s="303">
        <f ca="1">INDIRECT("'数据-取费表'!r"&amp;$G$1)</f>
        <v>0</v>
      </c>
      <c r="G35" s="1383"/>
      <c r="H35" s="2684"/>
      <c r="I35" s="1397"/>
      <c r="J35" s="1398"/>
      <c r="K35" s="2688"/>
      <c r="L35" s="2687"/>
      <c r="M35" s="2687"/>
    </row>
    <row r="36" spans="1:18" ht="18" customHeight="1">
      <c r="A36" s="1102" t="s">
        <v>402</v>
      </c>
      <c r="B36" s="302" t="s">
        <v>738</v>
      </c>
      <c r="C36" s="21">
        <f ca="1">ROUND(C29*F36,0)</f>
        <v>3750</v>
      </c>
      <c r="D36" s="1343" t="s">
        <v>771</v>
      </c>
      <c r="E36" s="302" t="s">
        <v>712</v>
      </c>
      <c r="F36" s="328">
        <f ca="1">INDIRECT("'数据-取费表'!Ak"&amp;$G$1)</f>
        <v>0.01</v>
      </c>
      <c r="G36" s="1383"/>
      <c r="H36" s="2687"/>
      <c r="I36" s="1397"/>
      <c r="J36" s="1398"/>
      <c r="K36" s="2533"/>
      <c r="L36" s="2687"/>
      <c r="M36" s="2687"/>
    </row>
    <row r="37" spans="1:18" ht="18" customHeight="1">
      <c r="A37" s="982" t="s">
        <v>437</v>
      </c>
      <c r="B37" s="302" t="s">
        <v>742</v>
      </c>
      <c r="C37" s="21">
        <f ca="1">ROUND(C13*F37,0)</f>
        <v>225</v>
      </c>
      <c r="D37" s="1343" t="s">
        <v>743</v>
      </c>
      <c r="E37" s="302" t="s">
        <v>744</v>
      </c>
      <c r="F37" s="330">
        <f ca="1">INDIRECT("'数据-取费表'!Al"&amp;$G$1)</f>
        <v>1E-3</v>
      </c>
      <c r="G37" s="1383"/>
      <c r="H37" s="2687"/>
      <c r="I37" s="1397"/>
      <c r="J37" s="1398"/>
      <c r="K37" s="2533"/>
      <c r="L37" s="2687"/>
      <c r="M37" s="2687"/>
    </row>
    <row r="38" spans="1:18" ht="18" customHeight="1" thickBot="1">
      <c r="A38" s="1089" t="s">
        <v>684</v>
      </c>
      <c r="B38" s="1090" t="s">
        <v>728</v>
      </c>
      <c r="C38" s="1091">
        <f ca="1">ROUND(C5*F38,0)</f>
        <v>741</v>
      </c>
      <c r="D38" s="1092" t="s">
        <v>748</v>
      </c>
      <c r="E38" s="1090" t="s">
        <v>744</v>
      </c>
      <c r="F38" s="1086">
        <f ca="1">INDIRECT("'数据-取费表'!Am"&amp;$G$1)</f>
        <v>0.01</v>
      </c>
      <c r="G38" s="1383"/>
      <c r="H38" s="2687"/>
      <c r="I38" s="1397"/>
      <c r="J38" s="1398"/>
      <c r="K38" s="2691"/>
      <c r="L38" s="2687"/>
      <c r="M38" s="2687"/>
    </row>
    <row r="39" spans="1:18" ht="24.6" customHeight="1" thickTop="1">
      <c r="A39" s="1079" t="s">
        <v>394</v>
      </c>
      <c r="B39" s="1094" t="s">
        <v>772</v>
      </c>
      <c r="C39" s="310">
        <f ca="1">C5-C30</f>
        <v>62333</v>
      </c>
      <c r="D39" s="1095" t="s">
        <v>773</v>
      </c>
      <c r="E39" s="1096"/>
      <c r="F39" s="1097"/>
      <c r="G39" s="1383"/>
      <c r="H39" s="2687"/>
      <c r="I39" s="1397"/>
      <c r="J39" s="1398"/>
      <c r="K39" s="2691"/>
      <c r="L39" s="2687"/>
      <c r="M39" s="2687"/>
    </row>
    <row r="40" spans="1:18" ht="18" customHeight="1">
      <c r="A40" s="299" t="s">
        <v>395</v>
      </c>
      <c r="B40" s="300" t="s">
        <v>774</v>
      </c>
      <c r="C40" s="301">
        <f ca="1">ROUND(C39*(1-((1+F42)/(1+F40))^F41)/(F40-F42),0)</f>
        <v>3569699</v>
      </c>
      <c r="D40" s="324" t="s">
        <v>758</v>
      </c>
      <c r="E40" s="302" t="s">
        <v>759</v>
      </c>
      <c r="F40" s="312">
        <f ca="1">INDIRECT("'数据-取费表'!I"&amp;$G$1)</f>
        <v>0.04</v>
      </c>
      <c r="G40" s="1383"/>
      <c r="H40" s="1460"/>
      <c r="I40" s="1397"/>
      <c r="J40" s="1398"/>
      <c r="K40" s="2691"/>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1"/>
      <c r="I41" s="1397"/>
      <c r="J41" s="1398"/>
      <c r="K41" s="2533"/>
      <c r="L41" s="1191"/>
      <c r="M41" s="1191"/>
    </row>
    <row r="42" spans="1:18" ht="18" customHeight="1">
      <c r="A42" s="308"/>
      <c r="B42" s="309"/>
      <c r="C42" s="310"/>
      <c r="D42" s="327"/>
      <c r="E42" s="302" t="s">
        <v>766</v>
      </c>
      <c r="F42" s="312">
        <f ca="1">INDIRECT("'数据-取费表'!v"&amp;$G$1)</f>
        <v>3.5000000000000003E-2</v>
      </c>
      <c r="G42" s="1383"/>
      <c r="H42" s="1191"/>
      <c r="I42" s="1397"/>
      <c r="J42" s="1398"/>
      <c r="K42" s="2533"/>
      <c r="L42" s="1191"/>
      <c r="M42" s="1191"/>
    </row>
    <row r="43" spans="1:18" ht="18" customHeight="1" thickBot="1">
      <c r="A43" s="334" t="s">
        <v>396</v>
      </c>
      <c r="B43" s="335" t="s">
        <v>776</v>
      </c>
      <c r="C43" s="336">
        <f ca="1">ROUND(C40/F43,0)</f>
        <v>63859</v>
      </c>
      <c r="D43" s="337" t="s">
        <v>777</v>
      </c>
      <c r="E43" s="338" t="s">
        <v>778</v>
      </c>
      <c r="F43" s="339">
        <f ca="1">INDIRECT("'数据-取费表'!k"&amp;$G$1)</f>
        <v>55.9</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3418" t="s">
        <v>3351</v>
      </c>
      <c r="B45" s="1399"/>
      <c r="C45" s="1471">
        <f ca="1">ROUND((C68-C40)/10000,4)</f>
        <v>-366.26920000000001</v>
      </c>
      <c r="D45" s="3419" t="s">
        <v>3352</v>
      </c>
      <c r="E45" s="1399"/>
      <c r="F45" s="1399"/>
      <c r="O45" s="1402" t="s">
        <v>808</v>
      </c>
      <c r="P45" s="1460"/>
      <c r="Q45" s="1460"/>
      <c r="R45" s="1460"/>
    </row>
    <row r="46" spans="1:18" s="1383" customFormat="1" ht="13.8" thickBot="1">
      <c r="A46" s="1403" t="s">
        <v>809</v>
      </c>
      <c r="C46" s="1404">
        <f ca="1">ROUND(C45,0)</f>
        <v>-366</v>
      </c>
      <c r="D46" s="1405" t="str">
        <f>C2</f>
        <v>万元</v>
      </c>
      <c r="I46" s="1406" t="s">
        <v>810</v>
      </c>
      <c r="J46" s="1407"/>
      <c r="K46" s="1408"/>
      <c r="L46" s="1409">
        <f>IF(M47="住宅",0,IF(L48&gt;J51,L60,J60))</f>
        <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3422</v>
      </c>
      <c r="K47" s="1415" t="s">
        <v>816</v>
      </c>
      <c r="L47" s="1416">
        <f ca="1">INDIRECT("'数据-取费表'!d"&amp;$G$1)</f>
        <v>70</v>
      </c>
      <c r="M47" s="1379" t="str">
        <f>IF(ISNUMBER(FIND("住宅",C1)),"住宅","非住宅")</f>
        <v>住宅</v>
      </c>
      <c r="O47" s="1417" t="s">
        <v>403</v>
      </c>
      <c r="P47" s="1418" t="s">
        <v>817</v>
      </c>
      <c r="Q47" s="1419">
        <f ca="1">C40+J29</f>
        <v>3569699</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3387</v>
      </c>
      <c r="K48" s="1422" t="s">
        <v>820</v>
      </c>
      <c r="L48" s="1423">
        <f ca="1">INDIRECT("'数据-取费表'!f"&amp;$G$1)</f>
        <v>70</v>
      </c>
      <c r="O48" s="1417" t="s">
        <v>404</v>
      </c>
      <c r="P48" s="1418" t="s">
        <v>821</v>
      </c>
      <c r="Q48" s="1419" t="str">
        <f ca="1">J60</f>
        <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v>1980</v>
      </c>
      <c r="K49" s="1422" t="s">
        <v>824</v>
      </c>
      <c r="L49" s="1426"/>
      <c r="O49" s="1427" t="s">
        <v>405</v>
      </c>
      <c r="P49" s="1418" t="s">
        <v>825</v>
      </c>
      <c r="Q49" s="1419">
        <f ca="1">C29</f>
        <v>375026</v>
      </c>
      <c r="R49" s="1419" t="s">
        <v>818</v>
      </c>
    </row>
    <row r="50" spans="1:18" s="1383" customFormat="1" ht="13.8" thickBot="1">
      <c r="A50" s="976"/>
      <c r="B50" s="979"/>
      <c r="C50" s="980"/>
      <c r="D50" s="953"/>
      <c r="E50" s="1056" t="s">
        <v>697</v>
      </c>
      <c r="F50" s="1057">
        <f ca="1">F7</f>
        <v>55.9</v>
      </c>
      <c r="H50" s="723"/>
      <c r="I50" s="1420" t="s">
        <v>826</v>
      </c>
      <c r="J50" s="1428">
        <f>SUMPRODUCT((I63:I65=J47)*(J62:L62=J48)*(J63:L65))</f>
        <v>50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6</v>
      </c>
      <c r="K51" s="1433" t="s">
        <v>830</v>
      </c>
      <c r="L51" s="1434">
        <f ca="1">ROUND(-PV(INDIRECT("'数据-取费表'!h"&amp;$G$1),J51,(C39-C13*C76),0),0)</f>
        <v>326758</v>
      </c>
      <c r="M51" s="1435"/>
      <c r="O51" s="1427" t="s">
        <v>407</v>
      </c>
      <c r="P51" s="1418" t="s">
        <v>831</v>
      </c>
      <c r="Q51" s="1430">
        <f>J52</f>
        <v>0.05</v>
      </c>
      <c r="R51" s="1419"/>
    </row>
    <row r="52" spans="1:18" s="1383" customFormat="1" ht="13.8" thickBot="1">
      <c r="A52" s="977"/>
      <c r="B52" s="979"/>
      <c r="C52" s="980"/>
      <c r="D52" s="953"/>
      <c r="E52" s="981" t="s">
        <v>699</v>
      </c>
      <c r="F52" s="1054"/>
      <c r="I52" s="1436" t="s">
        <v>832</v>
      </c>
      <c r="J52" s="1437">
        <v>0.05</v>
      </c>
      <c r="K52" s="1436" t="s">
        <v>833</v>
      </c>
      <c r="L52" s="1437"/>
      <c r="O52" s="1427" t="s">
        <v>408</v>
      </c>
      <c r="P52" s="1418" t="s">
        <v>834</v>
      </c>
      <c r="Q52" s="1419">
        <f ca="1">J53</f>
        <v>70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70</v>
      </c>
      <c r="K53" s="3638" t="s">
        <v>837</v>
      </c>
      <c r="L53" s="3639"/>
      <c r="O53" s="1417" t="s">
        <v>409</v>
      </c>
      <c r="P53" s="1418" t="s">
        <v>838</v>
      </c>
      <c r="Q53" s="1419">
        <f ca="1">Q47+Q48</f>
        <v>3569699</v>
      </c>
      <c r="R53" s="1419" t="s">
        <v>410</v>
      </c>
    </row>
    <row r="54" spans="1:18" s="1383" customFormat="1" ht="13.8"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225016</v>
      </c>
      <c r="D56" s="1446"/>
      <c r="E56" s="1447"/>
      <c r="F56" s="1439"/>
      <c r="I56" s="1448" t="s">
        <v>842</v>
      </c>
      <c r="J56" s="1449" t="s">
        <v>3381</v>
      </c>
      <c r="K56" s="1420" t="s">
        <v>843</v>
      </c>
      <c r="L56" s="1423">
        <f ca="1">IF(L48&lt;J51,"——",L48-J51)</f>
        <v>64</v>
      </c>
      <c r="O56" s="1417" t="s">
        <v>403</v>
      </c>
      <c r="P56" s="1418" t="s">
        <v>817</v>
      </c>
      <c r="Q56" s="1419">
        <f ca="1">C40+J29</f>
        <v>3569699</v>
      </c>
      <c r="R56" s="1419" t="s">
        <v>818</v>
      </c>
    </row>
    <row r="57" spans="1:18" s="1383" customFormat="1" ht="24.6" thickBot="1">
      <c r="A57" s="1450"/>
      <c r="B57" s="950" t="s">
        <v>767</v>
      </c>
      <c r="C57" s="238">
        <f ca="1">C29</f>
        <v>375026</v>
      </c>
      <c r="D57" s="1451"/>
      <c r="E57" s="1452"/>
      <c r="F57" s="1453"/>
      <c r="I57" s="1454" t="s">
        <v>844</v>
      </c>
      <c r="J57" s="1455" t="str">
        <f ca="1">IF(OR(M47="住宅",J51&lt;L48,J56="是"),"——",J51-L48)</f>
        <v>——</v>
      </c>
      <c r="K57" s="1420" t="s">
        <v>892</v>
      </c>
      <c r="L57" s="1423">
        <f ca="1">IF(L48&lt;J51,"——",IF(L55="比较法",L49,IF(L55="基准地价",L50,L51)))</f>
        <v>326758</v>
      </c>
      <c r="O57" s="1417" t="s">
        <v>404</v>
      </c>
      <c r="P57" s="1418" t="s">
        <v>893</v>
      </c>
      <c r="Q57" s="1419">
        <f ca="1">L60</f>
        <v>0</v>
      </c>
      <c r="R57" s="1419" t="s">
        <v>894</v>
      </c>
    </row>
    <row r="58" spans="1:18" s="1383" customFormat="1" ht="24.6" thickBot="1">
      <c r="A58" s="315" t="s">
        <v>393</v>
      </c>
      <c r="B58" s="958" t="s">
        <v>714</v>
      </c>
      <c r="C58" s="316">
        <f ca="1">ROUND(C59+C64+C65+C66,0)</f>
        <v>3975</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3335</v>
      </c>
      <c r="E61" s="950" t="s">
        <v>783</v>
      </c>
      <c r="F61" s="322">
        <f t="shared" si="0"/>
        <v>1.2E-2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3569699</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3750</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225</v>
      </c>
      <c r="D65" s="964" t="s">
        <v>743</v>
      </c>
      <c r="E65" s="950" t="s">
        <v>744</v>
      </c>
      <c r="F65" s="330">
        <f t="shared" ca="1" si="0"/>
        <v>1E-3</v>
      </c>
      <c r="I65" s="1461" t="s">
        <v>867</v>
      </c>
      <c r="J65" s="1462">
        <v>40</v>
      </c>
      <c r="K65" s="1462">
        <v>30</v>
      </c>
      <c r="L65" s="1462">
        <v>50</v>
      </c>
      <c r="M65" s="1464">
        <v>0.02</v>
      </c>
      <c r="O65" s="1417" t="s">
        <v>403</v>
      </c>
      <c r="P65" s="1418" t="s">
        <v>868</v>
      </c>
      <c r="Q65" s="1419">
        <f ca="1">C40+J29</f>
        <v>3569699</v>
      </c>
      <c r="R65" s="1419" t="s">
        <v>818</v>
      </c>
    </row>
    <row r="66" spans="1:18" s="1383" customFormat="1" ht="16.2"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-3975</v>
      </c>
      <c r="D67" s="963" t="s">
        <v>753</v>
      </c>
      <c r="E67" s="968"/>
      <c r="F67" s="969"/>
      <c r="O67" s="1427" t="s">
        <v>405</v>
      </c>
      <c r="P67" s="1418" t="s">
        <v>850</v>
      </c>
      <c r="Q67" s="1465">
        <f ca="1">L51</f>
        <v>326758</v>
      </c>
      <c r="R67" s="1419" t="s">
        <v>870</v>
      </c>
    </row>
    <row r="68" spans="1:18" s="1383" customFormat="1" ht="16.2" thickBot="1">
      <c r="A68" s="947" t="s">
        <v>395</v>
      </c>
      <c r="B68" s="948" t="s">
        <v>774</v>
      </c>
      <c r="C68" s="301">
        <f ca="1">ROUND(C67*(1-((1+F70)/(1+F68))^F69)/(F68-F70),0)</f>
        <v>-92993</v>
      </c>
      <c r="D68" s="965" t="s">
        <v>758</v>
      </c>
      <c r="E68" s="950" t="s">
        <v>759</v>
      </c>
      <c r="F68" s="312">
        <f ca="1">F40</f>
        <v>0.04</v>
      </c>
      <c r="O68" s="1427" t="s">
        <v>406</v>
      </c>
      <c r="P68" s="1466" t="s">
        <v>871</v>
      </c>
      <c r="Q68" s="1419">
        <f ca="1">ROUND(Q69-Q70*Q71,0)</f>
        <v>62333</v>
      </c>
      <c r="R68" s="1419" t="s">
        <v>414</v>
      </c>
    </row>
    <row r="69" spans="1:18" s="1383" customFormat="1" ht="13.8" thickBot="1">
      <c r="A69" s="951"/>
      <c r="B69" s="952"/>
      <c r="C69" s="306"/>
      <c r="D69" s="970" t="s">
        <v>762</v>
      </c>
      <c r="E69" s="950" t="s">
        <v>763</v>
      </c>
      <c r="F69" s="333">
        <f ca="1">F41</f>
        <v>70</v>
      </c>
      <c r="O69" s="1427" t="s">
        <v>411</v>
      </c>
      <c r="P69" s="1466" t="s">
        <v>872</v>
      </c>
      <c r="Q69" s="1419">
        <f ca="1">C39</f>
        <v>62333</v>
      </c>
      <c r="R69" s="1419" t="s">
        <v>818</v>
      </c>
    </row>
    <row r="70" spans="1:18" s="1383" customFormat="1" ht="13.8" thickBot="1">
      <c r="A70" s="954"/>
      <c r="B70" s="955"/>
      <c r="C70" s="310"/>
      <c r="D70" s="966"/>
      <c r="E70" s="950" t="s">
        <v>766</v>
      </c>
      <c r="F70" s="1054"/>
      <c r="O70" s="1427" t="s">
        <v>412</v>
      </c>
      <c r="P70" s="1466" t="s">
        <v>873</v>
      </c>
      <c r="Q70" s="1419">
        <f ca="1">C13</f>
        <v>225016</v>
      </c>
      <c r="R70" s="1419" t="s">
        <v>818</v>
      </c>
    </row>
    <row r="71" spans="1:18" s="1383" customFormat="1" ht="13.8" thickBot="1">
      <c r="A71" s="971" t="s">
        <v>396</v>
      </c>
      <c r="B71" s="972" t="s">
        <v>776</v>
      </c>
      <c r="C71" s="336">
        <f ca="1">ROUND(C68/F71,0)</f>
        <v>-1664</v>
      </c>
      <c r="D71" s="973" t="s">
        <v>777</v>
      </c>
      <c r="E71" s="974" t="s">
        <v>778</v>
      </c>
      <c r="F71" s="339">
        <f ca="1">F43</f>
        <v>55.9</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f ca="1">Q65+Q66</f>
        <v>3569699</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0.93700000000000006</v>
      </c>
    </row>
    <row r="83" spans="2:3">
      <c r="B83" s="273" t="s">
        <v>803</v>
      </c>
      <c r="C83" s="274">
        <f ca="1">ROUND(C13/C40,3)</f>
        <v>6.3E-2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29" customWidth="1"/>
    <col min="2" max="2" width="8.88671875" style="2829"/>
    <col min="3" max="5" width="12.88671875" style="2829" customWidth="1"/>
    <col min="6" max="6" width="47.44140625" style="2829" customWidth="1"/>
    <col min="7" max="7" width="13" style="2988" customWidth="1"/>
    <col min="8" max="8" width="8.88671875" style="2823"/>
    <col min="9" max="9" width="8.88671875" style="2824"/>
    <col min="10" max="10" width="5.77734375" style="2989" customWidth="1"/>
    <col min="11" max="11" width="11.77734375" style="2989" customWidth="1"/>
    <col min="12" max="13" width="10.77734375" style="2989" customWidth="1"/>
    <col min="14" max="14" width="10" style="2989" customWidth="1"/>
    <col min="15" max="16" width="10.44140625" style="2989" bestFit="1" customWidth="1"/>
    <col min="17" max="17" width="10" style="2989" customWidth="1"/>
    <col min="18" max="18" width="10.109375" style="2989" customWidth="1"/>
    <col min="19" max="19" width="10" style="2989" customWidth="1"/>
    <col min="20" max="20" width="26.109375" style="2989" customWidth="1"/>
    <col min="21" max="21" width="8.88671875" style="2989"/>
    <col min="22" max="22" width="8.88671875" style="2824"/>
    <col min="23" max="256" width="8.88671875" style="2829"/>
    <col min="257" max="257" width="9.44140625" style="2829" customWidth="1"/>
    <col min="258" max="258" width="8.88671875" style="2829"/>
    <col min="259" max="261" width="12.88671875" style="2829" customWidth="1"/>
    <col min="262" max="262" width="47.44140625" style="2829" customWidth="1"/>
    <col min="263" max="263" width="13" style="2829" customWidth="1"/>
    <col min="264" max="265" width="8.88671875" style="2829"/>
    <col min="266" max="266" width="5.77734375" style="2829" customWidth="1"/>
    <col min="267" max="267" width="11.77734375" style="2829" customWidth="1"/>
    <col min="268" max="269" width="10.77734375" style="2829" customWidth="1"/>
    <col min="270" max="270" width="10" style="2829" customWidth="1"/>
    <col min="271" max="272" width="10.44140625" style="2829" bestFit="1" customWidth="1"/>
    <col min="273" max="273" width="10" style="2829" customWidth="1"/>
    <col min="274" max="274" width="10.109375" style="2829" customWidth="1"/>
    <col min="275" max="275" width="10" style="2829" customWidth="1"/>
    <col min="276" max="276" width="26.109375" style="2829" customWidth="1"/>
    <col min="277" max="512" width="8.88671875" style="2829"/>
    <col min="513" max="513" width="9.44140625" style="2829" customWidth="1"/>
    <col min="514" max="514" width="8.88671875" style="2829"/>
    <col min="515" max="517" width="12.88671875" style="2829" customWidth="1"/>
    <col min="518" max="518" width="47.44140625" style="2829" customWidth="1"/>
    <col min="519" max="519" width="13" style="2829" customWidth="1"/>
    <col min="520" max="521" width="8.88671875" style="2829"/>
    <col min="522" max="522" width="5.77734375" style="2829" customWidth="1"/>
    <col min="523" max="523" width="11.77734375" style="2829" customWidth="1"/>
    <col min="524" max="525" width="10.77734375" style="2829" customWidth="1"/>
    <col min="526" max="526" width="10" style="2829" customWidth="1"/>
    <col min="527" max="528" width="10.44140625" style="2829" bestFit="1" customWidth="1"/>
    <col min="529" max="529" width="10" style="2829" customWidth="1"/>
    <col min="530" max="530" width="10.109375" style="2829" customWidth="1"/>
    <col min="531" max="531" width="10" style="2829" customWidth="1"/>
    <col min="532" max="532" width="26.109375" style="2829" customWidth="1"/>
    <col min="533" max="768" width="8.88671875" style="2829"/>
    <col min="769" max="769" width="9.44140625" style="2829" customWidth="1"/>
    <col min="770" max="770" width="8.88671875" style="2829"/>
    <col min="771" max="773" width="12.88671875" style="2829" customWidth="1"/>
    <col min="774" max="774" width="47.44140625" style="2829" customWidth="1"/>
    <col min="775" max="775" width="13" style="2829" customWidth="1"/>
    <col min="776" max="777" width="8.88671875" style="2829"/>
    <col min="778" max="778" width="5.77734375" style="2829" customWidth="1"/>
    <col min="779" max="779" width="11.77734375" style="2829" customWidth="1"/>
    <col min="780" max="781" width="10.77734375" style="2829" customWidth="1"/>
    <col min="782" max="782" width="10" style="2829" customWidth="1"/>
    <col min="783" max="784" width="10.44140625" style="2829" bestFit="1" customWidth="1"/>
    <col min="785" max="785" width="10" style="2829" customWidth="1"/>
    <col min="786" max="786" width="10.109375" style="2829" customWidth="1"/>
    <col min="787" max="787" width="10" style="2829" customWidth="1"/>
    <col min="788" max="788" width="26.109375" style="2829" customWidth="1"/>
    <col min="789" max="1024" width="8.88671875" style="2829"/>
    <col min="1025" max="1025" width="9.44140625" style="2829" customWidth="1"/>
    <col min="1026" max="1026" width="8.88671875" style="2829"/>
    <col min="1027" max="1029" width="12.88671875" style="2829" customWidth="1"/>
    <col min="1030" max="1030" width="47.44140625" style="2829" customWidth="1"/>
    <col min="1031" max="1031" width="13" style="2829" customWidth="1"/>
    <col min="1032" max="1033" width="8.88671875" style="2829"/>
    <col min="1034" max="1034" width="5.77734375" style="2829" customWidth="1"/>
    <col min="1035" max="1035" width="11.77734375" style="2829" customWidth="1"/>
    <col min="1036" max="1037" width="10.77734375" style="2829" customWidth="1"/>
    <col min="1038" max="1038" width="10" style="2829" customWidth="1"/>
    <col min="1039" max="1040" width="10.44140625" style="2829" bestFit="1" customWidth="1"/>
    <col min="1041" max="1041" width="10" style="2829" customWidth="1"/>
    <col min="1042" max="1042" width="10.109375" style="2829" customWidth="1"/>
    <col min="1043" max="1043" width="10" style="2829" customWidth="1"/>
    <col min="1044" max="1044" width="26.109375" style="2829" customWidth="1"/>
    <col min="1045" max="1280" width="8.88671875" style="2829"/>
    <col min="1281" max="1281" width="9.44140625" style="2829" customWidth="1"/>
    <col min="1282" max="1282" width="8.88671875" style="2829"/>
    <col min="1283" max="1285" width="12.88671875" style="2829" customWidth="1"/>
    <col min="1286" max="1286" width="47.44140625" style="2829" customWidth="1"/>
    <col min="1287" max="1287" width="13" style="2829" customWidth="1"/>
    <col min="1288" max="1289" width="8.88671875" style="2829"/>
    <col min="1290" max="1290" width="5.77734375" style="2829" customWidth="1"/>
    <col min="1291" max="1291" width="11.77734375" style="2829" customWidth="1"/>
    <col min="1292" max="1293" width="10.77734375" style="2829" customWidth="1"/>
    <col min="1294" max="1294" width="10" style="2829" customWidth="1"/>
    <col min="1295" max="1296" width="10.44140625" style="2829" bestFit="1" customWidth="1"/>
    <col min="1297" max="1297" width="10" style="2829" customWidth="1"/>
    <col min="1298" max="1298" width="10.109375" style="2829" customWidth="1"/>
    <col min="1299" max="1299" width="10" style="2829" customWidth="1"/>
    <col min="1300" max="1300" width="26.109375" style="2829" customWidth="1"/>
    <col min="1301" max="1536" width="8.88671875" style="2829"/>
    <col min="1537" max="1537" width="9.44140625" style="2829" customWidth="1"/>
    <col min="1538" max="1538" width="8.88671875" style="2829"/>
    <col min="1539" max="1541" width="12.88671875" style="2829" customWidth="1"/>
    <col min="1542" max="1542" width="47.44140625" style="2829" customWidth="1"/>
    <col min="1543" max="1543" width="13" style="2829" customWidth="1"/>
    <col min="1544" max="1545" width="8.88671875" style="2829"/>
    <col min="1546" max="1546" width="5.77734375" style="2829" customWidth="1"/>
    <col min="1547" max="1547" width="11.77734375" style="2829" customWidth="1"/>
    <col min="1548" max="1549" width="10.77734375" style="2829" customWidth="1"/>
    <col min="1550" max="1550" width="10" style="2829" customWidth="1"/>
    <col min="1551" max="1552" width="10.44140625" style="2829" bestFit="1" customWidth="1"/>
    <col min="1553" max="1553" width="10" style="2829" customWidth="1"/>
    <col min="1554" max="1554" width="10.109375" style="2829" customWidth="1"/>
    <col min="1555" max="1555" width="10" style="2829" customWidth="1"/>
    <col min="1556" max="1556" width="26.109375" style="2829" customWidth="1"/>
    <col min="1557" max="1792" width="8.88671875" style="2829"/>
    <col min="1793" max="1793" width="9.44140625" style="2829" customWidth="1"/>
    <col min="1794" max="1794" width="8.88671875" style="2829"/>
    <col min="1795" max="1797" width="12.88671875" style="2829" customWidth="1"/>
    <col min="1798" max="1798" width="47.44140625" style="2829" customWidth="1"/>
    <col min="1799" max="1799" width="13" style="2829" customWidth="1"/>
    <col min="1800" max="1801" width="8.88671875" style="2829"/>
    <col min="1802" max="1802" width="5.77734375" style="2829" customWidth="1"/>
    <col min="1803" max="1803" width="11.77734375" style="2829" customWidth="1"/>
    <col min="1804" max="1805" width="10.77734375" style="2829" customWidth="1"/>
    <col min="1806" max="1806" width="10" style="2829" customWidth="1"/>
    <col min="1807" max="1808" width="10.44140625" style="2829" bestFit="1" customWidth="1"/>
    <col min="1809" max="1809" width="10" style="2829" customWidth="1"/>
    <col min="1810" max="1810" width="10.109375" style="2829" customWidth="1"/>
    <col min="1811" max="1811" width="10" style="2829" customWidth="1"/>
    <col min="1812" max="1812" width="26.109375" style="2829" customWidth="1"/>
    <col min="1813" max="2048" width="8.88671875" style="2829"/>
    <col min="2049" max="2049" width="9.44140625" style="2829" customWidth="1"/>
    <col min="2050" max="2050" width="8.88671875" style="2829"/>
    <col min="2051" max="2053" width="12.88671875" style="2829" customWidth="1"/>
    <col min="2054" max="2054" width="47.44140625" style="2829" customWidth="1"/>
    <col min="2055" max="2055" width="13" style="2829" customWidth="1"/>
    <col min="2056" max="2057" width="8.88671875" style="2829"/>
    <col min="2058" max="2058" width="5.77734375" style="2829" customWidth="1"/>
    <col min="2059" max="2059" width="11.77734375" style="2829" customWidth="1"/>
    <col min="2060" max="2061" width="10.77734375" style="2829" customWidth="1"/>
    <col min="2062" max="2062" width="10" style="2829" customWidth="1"/>
    <col min="2063" max="2064" width="10.44140625" style="2829" bestFit="1" customWidth="1"/>
    <col min="2065" max="2065" width="10" style="2829" customWidth="1"/>
    <col min="2066" max="2066" width="10.109375" style="2829" customWidth="1"/>
    <col min="2067" max="2067" width="10" style="2829" customWidth="1"/>
    <col min="2068" max="2068" width="26.109375" style="2829" customWidth="1"/>
    <col min="2069" max="2304" width="8.88671875" style="2829"/>
    <col min="2305" max="2305" width="9.44140625" style="2829" customWidth="1"/>
    <col min="2306" max="2306" width="8.88671875" style="2829"/>
    <col min="2307" max="2309" width="12.88671875" style="2829" customWidth="1"/>
    <col min="2310" max="2310" width="47.44140625" style="2829" customWidth="1"/>
    <col min="2311" max="2311" width="13" style="2829" customWidth="1"/>
    <col min="2312" max="2313" width="8.88671875" style="2829"/>
    <col min="2314" max="2314" width="5.77734375" style="2829" customWidth="1"/>
    <col min="2315" max="2315" width="11.77734375" style="2829" customWidth="1"/>
    <col min="2316" max="2317" width="10.77734375" style="2829" customWidth="1"/>
    <col min="2318" max="2318" width="10" style="2829" customWidth="1"/>
    <col min="2319" max="2320" width="10.44140625" style="2829" bestFit="1" customWidth="1"/>
    <col min="2321" max="2321" width="10" style="2829" customWidth="1"/>
    <col min="2322" max="2322" width="10.109375" style="2829" customWidth="1"/>
    <col min="2323" max="2323" width="10" style="2829" customWidth="1"/>
    <col min="2324" max="2324" width="26.109375" style="2829" customWidth="1"/>
    <col min="2325" max="2560" width="8.88671875" style="2829"/>
    <col min="2561" max="2561" width="9.44140625" style="2829" customWidth="1"/>
    <col min="2562" max="2562" width="8.88671875" style="2829"/>
    <col min="2563" max="2565" width="12.88671875" style="2829" customWidth="1"/>
    <col min="2566" max="2566" width="47.44140625" style="2829" customWidth="1"/>
    <col min="2567" max="2567" width="13" style="2829" customWidth="1"/>
    <col min="2568" max="2569" width="8.88671875" style="2829"/>
    <col min="2570" max="2570" width="5.77734375" style="2829" customWidth="1"/>
    <col min="2571" max="2571" width="11.77734375" style="2829" customWidth="1"/>
    <col min="2572" max="2573" width="10.77734375" style="2829" customWidth="1"/>
    <col min="2574" max="2574" width="10" style="2829" customWidth="1"/>
    <col min="2575" max="2576" width="10.44140625" style="2829" bestFit="1" customWidth="1"/>
    <col min="2577" max="2577" width="10" style="2829" customWidth="1"/>
    <col min="2578" max="2578" width="10.109375" style="2829" customWidth="1"/>
    <col min="2579" max="2579" width="10" style="2829" customWidth="1"/>
    <col min="2580" max="2580" width="26.109375" style="2829" customWidth="1"/>
    <col min="2581" max="2816" width="8.88671875" style="2829"/>
    <col min="2817" max="2817" width="9.44140625" style="2829" customWidth="1"/>
    <col min="2818" max="2818" width="8.88671875" style="2829"/>
    <col min="2819" max="2821" width="12.88671875" style="2829" customWidth="1"/>
    <col min="2822" max="2822" width="47.44140625" style="2829" customWidth="1"/>
    <col min="2823" max="2823" width="13" style="2829" customWidth="1"/>
    <col min="2824" max="2825" width="8.88671875" style="2829"/>
    <col min="2826" max="2826" width="5.77734375" style="2829" customWidth="1"/>
    <col min="2827" max="2827" width="11.77734375" style="2829" customWidth="1"/>
    <col min="2828" max="2829" width="10.77734375" style="2829" customWidth="1"/>
    <col min="2830" max="2830" width="10" style="2829" customWidth="1"/>
    <col min="2831" max="2832" width="10.44140625" style="2829" bestFit="1" customWidth="1"/>
    <col min="2833" max="2833" width="10" style="2829" customWidth="1"/>
    <col min="2834" max="2834" width="10.109375" style="2829" customWidth="1"/>
    <col min="2835" max="2835" width="10" style="2829" customWidth="1"/>
    <col min="2836" max="2836" width="26.109375" style="2829" customWidth="1"/>
    <col min="2837" max="3072" width="8.88671875" style="2829"/>
    <col min="3073" max="3073" width="9.44140625" style="2829" customWidth="1"/>
    <col min="3074" max="3074" width="8.88671875" style="2829"/>
    <col min="3075" max="3077" width="12.88671875" style="2829" customWidth="1"/>
    <col min="3078" max="3078" width="47.44140625" style="2829" customWidth="1"/>
    <col min="3079" max="3079" width="13" style="2829" customWidth="1"/>
    <col min="3080" max="3081" width="8.88671875" style="2829"/>
    <col min="3082" max="3082" width="5.77734375" style="2829" customWidth="1"/>
    <col min="3083" max="3083" width="11.77734375" style="2829" customWidth="1"/>
    <col min="3084" max="3085" width="10.77734375" style="2829" customWidth="1"/>
    <col min="3086" max="3086" width="10" style="2829" customWidth="1"/>
    <col min="3087" max="3088" width="10.44140625" style="2829" bestFit="1" customWidth="1"/>
    <col min="3089" max="3089" width="10" style="2829" customWidth="1"/>
    <col min="3090" max="3090" width="10.109375" style="2829" customWidth="1"/>
    <col min="3091" max="3091" width="10" style="2829" customWidth="1"/>
    <col min="3092" max="3092" width="26.109375" style="2829" customWidth="1"/>
    <col min="3093" max="3328" width="8.88671875" style="2829"/>
    <col min="3329" max="3329" width="9.44140625" style="2829" customWidth="1"/>
    <col min="3330" max="3330" width="8.88671875" style="2829"/>
    <col min="3331" max="3333" width="12.88671875" style="2829" customWidth="1"/>
    <col min="3334" max="3334" width="47.44140625" style="2829" customWidth="1"/>
    <col min="3335" max="3335" width="13" style="2829" customWidth="1"/>
    <col min="3336" max="3337" width="8.88671875" style="2829"/>
    <col min="3338" max="3338" width="5.77734375" style="2829" customWidth="1"/>
    <col min="3339" max="3339" width="11.77734375" style="2829" customWidth="1"/>
    <col min="3340" max="3341" width="10.77734375" style="2829" customWidth="1"/>
    <col min="3342" max="3342" width="10" style="2829" customWidth="1"/>
    <col min="3343" max="3344" width="10.44140625" style="2829" bestFit="1" customWidth="1"/>
    <col min="3345" max="3345" width="10" style="2829" customWidth="1"/>
    <col min="3346" max="3346" width="10.109375" style="2829" customWidth="1"/>
    <col min="3347" max="3347" width="10" style="2829" customWidth="1"/>
    <col min="3348" max="3348" width="26.109375" style="2829" customWidth="1"/>
    <col min="3349" max="3584" width="8.88671875" style="2829"/>
    <col min="3585" max="3585" width="9.44140625" style="2829" customWidth="1"/>
    <col min="3586" max="3586" width="8.88671875" style="2829"/>
    <col min="3587" max="3589" width="12.88671875" style="2829" customWidth="1"/>
    <col min="3590" max="3590" width="47.44140625" style="2829" customWidth="1"/>
    <col min="3591" max="3591" width="13" style="2829" customWidth="1"/>
    <col min="3592" max="3593" width="8.88671875" style="2829"/>
    <col min="3594" max="3594" width="5.77734375" style="2829" customWidth="1"/>
    <col min="3595" max="3595" width="11.77734375" style="2829" customWidth="1"/>
    <col min="3596" max="3597" width="10.77734375" style="2829" customWidth="1"/>
    <col min="3598" max="3598" width="10" style="2829" customWidth="1"/>
    <col min="3599" max="3600" width="10.44140625" style="2829" bestFit="1" customWidth="1"/>
    <col min="3601" max="3601" width="10" style="2829" customWidth="1"/>
    <col min="3602" max="3602" width="10.109375" style="2829" customWidth="1"/>
    <col min="3603" max="3603" width="10" style="2829" customWidth="1"/>
    <col min="3604" max="3604" width="26.109375" style="2829" customWidth="1"/>
    <col min="3605" max="3840" width="8.88671875" style="2829"/>
    <col min="3841" max="3841" width="9.44140625" style="2829" customWidth="1"/>
    <col min="3842" max="3842" width="8.88671875" style="2829"/>
    <col min="3843" max="3845" width="12.88671875" style="2829" customWidth="1"/>
    <col min="3846" max="3846" width="47.44140625" style="2829" customWidth="1"/>
    <col min="3847" max="3847" width="13" style="2829" customWidth="1"/>
    <col min="3848" max="3849" width="8.88671875" style="2829"/>
    <col min="3850" max="3850" width="5.77734375" style="2829" customWidth="1"/>
    <col min="3851" max="3851" width="11.77734375" style="2829" customWidth="1"/>
    <col min="3852" max="3853" width="10.77734375" style="2829" customWidth="1"/>
    <col min="3854" max="3854" width="10" style="2829" customWidth="1"/>
    <col min="3855" max="3856" width="10.44140625" style="2829" bestFit="1" customWidth="1"/>
    <col min="3857" max="3857" width="10" style="2829" customWidth="1"/>
    <col min="3858" max="3858" width="10.109375" style="2829" customWidth="1"/>
    <col min="3859" max="3859" width="10" style="2829" customWidth="1"/>
    <col min="3860" max="3860" width="26.109375" style="2829" customWidth="1"/>
    <col min="3861" max="4096" width="8.88671875" style="2829"/>
    <col min="4097" max="4097" width="9.44140625" style="2829" customWidth="1"/>
    <col min="4098" max="4098" width="8.88671875" style="2829"/>
    <col min="4099" max="4101" width="12.88671875" style="2829" customWidth="1"/>
    <col min="4102" max="4102" width="47.44140625" style="2829" customWidth="1"/>
    <col min="4103" max="4103" width="13" style="2829" customWidth="1"/>
    <col min="4104" max="4105" width="8.88671875" style="2829"/>
    <col min="4106" max="4106" width="5.77734375" style="2829" customWidth="1"/>
    <col min="4107" max="4107" width="11.77734375" style="2829" customWidth="1"/>
    <col min="4108" max="4109" width="10.77734375" style="2829" customWidth="1"/>
    <col min="4110" max="4110" width="10" style="2829" customWidth="1"/>
    <col min="4111" max="4112" width="10.44140625" style="2829" bestFit="1" customWidth="1"/>
    <col min="4113" max="4113" width="10" style="2829" customWidth="1"/>
    <col min="4114" max="4114" width="10.109375" style="2829" customWidth="1"/>
    <col min="4115" max="4115" width="10" style="2829" customWidth="1"/>
    <col min="4116" max="4116" width="26.109375" style="2829" customWidth="1"/>
    <col min="4117" max="4352" width="8.88671875" style="2829"/>
    <col min="4353" max="4353" width="9.44140625" style="2829" customWidth="1"/>
    <col min="4354" max="4354" width="8.88671875" style="2829"/>
    <col min="4355" max="4357" width="12.88671875" style="2829" customWidth="1"/>
    <col min="4358" max="4358" width="47.44140625" style="2829" customWidth="1"/>
    <col min="4359" max="4359" width="13" style="2829" customWidth="1"/>
    <col min="4360" max="4361" width="8.88671875" style="2829"/>
    <col min="4362" max="4362" width="5.77734375" style="2829" customWidth="1"/>
    <col min="4363" max="4363" width="11.77734375" style="2829" customWidth="1"/>
    <col min="4364" max="4365" width="10.77734375" style="2829" customWidth="1"/>
    <col min="4366" max="4366" width="10" style="2829" customWidth="1"/>
    <col min="4367" max="4368" width="10.44140625" style="2829" bestFit="1" customWidth="1"/>
    <col min="4369" max="4369" width="10" style="2829" customWidth="1"/>
    <col min="4370" max="4370" width="10.109375" style="2829" customWidth="1"/>
    <col min="4371" max="4371" width="10" style="2829" customWidth="1"/>
    <col min="4372" max="4372" width="26.109375" style="2829" customWidth="1"/>
    <col min="4373" max="4608" width="8.88671875" style="2829"/>
    <col min="4609" max="4609" width="9.44140625" style="2829" customWidth="1"/>
    <col min="4610" max="4610" width="8.88671875" style="2829"/>
    <col min="4611" max="4613" width="12.88671875" style="2829" customWidth="1"/>
    <col min="4614" max="4614" width="47.44140625" style="2829" customWidth="1"/>
    <col min="4615" max="4615" width="13" style="2829" customWidth="1"/>
    <col min="4616" max="4617" width="8.88671875" style="2829"/>
    <col min="4618" max="4618" width="5.77734375" style="2829" customWidth="1"/>
    <col min="4619" max="4619" width="11.77734375" style="2829" customWidth="1"/>
    <col min="4620" max="4621" width="10.77734375" style="2829" customWidth="1"/>
    <col min="4622" max="4622" width="10" style="2829" customWidth="1"/>
    <col min="4623" max="4624" width="10.44140625" style="2829" bestFit="1" customWidth="1"/>
    <col min="4625" max="4625" width="10" style="2829" customWidth="1"/>
    <col min="4626" max="4626" width="10.109375" style="2829" customWidth="1"/>
    <col min="4627" max="4627" width="10" style="2829" customWidth="1"/>
    <col min="4628" max="4628" width="26.109375" style="2829" customWidth="1"/>
    <col min="4629" max="4864" width="8.88671875" style="2829"/>
    <col min="4865" max="4865" width="9.44140625" style="2829" customWidth="1"/>
    <col min="4866" max="4866" width="8.88671875" style="2829"/>
    <col min="4867" max="4869" width="12.88671875" style="2829" customWidth="1"/>
    <col min="4870" max="4870" width="47.44140625" style="2829" customWidth="1"/>
    <col min="4871" max="4871" width="13" style="2829" customWidth="1"/>
    <col min="4872" max="4873" width="8.88671875" style="2829"/>
    <col min="4874" max="4874" width="5.77734375" style="2829" customWidth="1"/>
    <col min="4875" max="4875" width="11.77734375" style="2829" customWidth="1"/>
    <col min="4876" max="4877" width="10.77734375" style="2829" customWidth="1"/>
    <col min="4878" max="4878" width="10" style="2829" customWidth="1"/>
    <col min="4879" max="4880" width="10.44140625" style="2829" bestFit="1" customWidth="1"/>
    <col min="4881" max="4881" width="10" style="2829" customWidth="1"/>
    <col min="4882" max="4882" width="10.109375" style="2829" customWidth="1"/>
    <col min="4883" max="4883" width="10" style="2829" customWidth="1"/>
    <col min="4884" max="4884" width="26.109375" style="2829" customWidth="1"/>
    <col min="4885" max="5120" width="8.88671875" style="2829"/>
    <col min="5121" max="5121" width="9.44140625" style="2829" customWidth="1"/>
    <col min="5122" max="5122" width="8.88671875" style="2829"/>
    <col min="5123" max="5125" width="12.88671875" style="2829" customWidth="1"/>
    <col min="5126" max="5126" width="47.44140625" style="2829" customWidth="1"/>
    <col min="5127" max="5127" width="13" style="2829" customWidth="1"/>
    <col min="5128" max="5129" width="8.88671875" style="2829"/>
    <col min="5130" max="5130" width="5.77734375" style="2829" customWidth="1"/>
    <col min="5131" max="5131" width="11.77734375" style="2829" customWidth="1"/>
    <col min="5132" max="5133" width="10.77734375" style="2829" customWidth="1"/>
    <col min="5134" max="5134" width="10" style="2829" customWidth="1"/>
    <col min="5135" max="5136" width="10.44140625" style="2829" bestFit="1" customWidth="1"/>
    <col min="5137" max="5137" width="10" style="2829" customWidth="1"/>
    <col min="5138" max="5138" width="10.109375" style="2829" customWidth="1"/>
    <col min="5139" max="5139" width="10" style="2829" customWidth="1"/>
    <col min="5140" max="5140" width="26.109375" style="2829" customWidth="1"/>
    <col min="5141" max="5376" width="8.88671875" style="2829"/>
    <col min="5377" max="5377" width="9.44140625" style="2829" customWidth="1"/>
    <col min="5378" max="5378" width="8.88671875" style="2829"/>
    <col min="5379" max="5381" width="12.88671875" style="2829" customWidth="1"/>
    <col min="5382" max="5382" width="47.44140625" style="2829" customWidth="1"/>
    <col min="5383" max="5383" width="13" style="2829" customWidth="1"/>
    <col min="5384" max="5385" width="8.88671875" style="2829"/>
    <col min="5386" max="5386" width="5.77734375" style="2829" customWidth="1"/>
    <col min="5387" max="5387" width="11.77734375" style="2829" customWidth="1"/>
    <col min="5388" max="5389" width="10.77734375" style="2829" customWidth="1"/>
    <col min="5390" max="5390" width="10" style="2829" customWidth="1"/>
    <col min="5391" max="5392" width="10.44140625" style="2829" bestFit="1" customWidth="1"/>
    <col min="5393" max="5393" width="10" style="2829" customWidth="1"/>
    <col min="5394" max="5394" width="10.109375" style="2829" customWidth="1"/>
    <col min="5395" max="5395" width="10" style="2829" customWidth="1"/>
    <col min="5396" max="5396" width="26.109375" style="2829" customWidth="1"/>
    <col min="5397" max="5632" width="8.88671875" style="2829"/>
    <col min="5633" max="5633" width="9.44140625" style="2829" customWidth="1"/>
    <col min="5634" max="5634" width="8.88671875" style="2829"/>
    <col min="5635" max="5637" width="12.88671875" style="2829" customWidth="1"/>
    <col min="5638" max="5638" width="47.44140625" style="2829" customWidth="1"/>
    <col min="5639" max="5639" width="13" style="2829" customWidth="1"/>
    <col min="5640" max="5641" width="8.88671875" style="2829"/>
    <col min="5642" max="5642" width="5.77734375" style="2829" customWidth="1"/>
    <col min="5643" max="5643" width="11.77734375" style="2829" customWidth="1"/>
    <col min="5644" max="5645" width="10.77734375" style="2829" customWidth="1"/>
    <col min="5646" max="5646" width="10" style="2829" customWidth="1"/>
    <col min="5647" max="5648" width="10.44140625" style="2829" bestFit="1" customWidth="1"/>
    <col min="5649" max="5649" width="10" style="2829" customWidth="1"/>
    <col min="5650" max="5650" width="10.109375" style="2829" customWidth="1"/>
    <col min="5651" max="5651" width="10" style="2829" customWidth="1"/>
    <col min="5652" max="5652" width="26.109375" style="2829" customWidth="1"/>
    <col min="5653" max="5888" width="8.88671875" style="2829"/>
    <col min="5889" max="5889" width="9.44140625" style="2829" customWidth="1"/>
    <col min="5890" max="5890" width="8.88671875" style="2829"/>
    <col min="5891" max="5893" width="12.88671875" style="2829" customWidth="1"/>
    <col min="5894" max="5894" width="47.44140625" style="2829" customWidth="1"/>
    <col min="5895" max="5895" width="13" style="2829" customWidth="1"/>
    <col min="5896" max="5897" width="8.88671875" style="2829"/>
    <col min="5898" max="5898" width="5.77734375" style="2829" customWidth="1"/>
    <col min="5899" max="5899" width="11.77734375" style="2829" customWidth="1"/>
    <col min="5900" max="5901" width="10.77734375" style="2829" customWidth="1"/>
    <col min="5902" max="5902" width="10" style="2829" customWidth="1"/>
    <col min="5903" max="5904" width="10.44140625" style="2829" bestFit="1" customWidth="1"/>
    <col min="5905" max="5905" width="10" style="2829" customWidth="1"/>
    <col min="5906" max="5906" width="10.109375" style="2829" customWidth="1"/>
    <col min="5907" max="5907" width="10" style="2829" customWidth="1"/>
    <col min="5908" max="5908" width="26.109375" style="2829" customWidth="1"/>
    <col min="5909" max="6144" width="8.88671875" style="2829"/>
    <col min="6145" max="6145" width="9.44140625" style="2829" customWidth="1"/>
    <col min="6146" max="6146" width="8.88671875" style="2829"/>
    <col min="6147" max="6149" width="12.88671875" style="2829" customWidth="1"/>
    <col min="6150" max="6150" width="47.44140625" style="2829" customWidth="1"/>
    <col min="6151" max="6151" width="13" style="2829" customWidth="1"/>
    <col min="6152" max="6153" width="8.88671875" style="2829"/>
    <col min="6154" max="6154" width="5.77734375" style="2829" customWidth="1"/>
    <col min="6155" max="6155" width="11.77734375" style="2829" customWidth="1"/>
    <col min="6156" max="6157" width="10.77734375" style="2829" customWidth="1"/>
    <col min="6158" max="6158" width="10" style="2829" customWidth="1"/>
    <col min="6159" max="6160" width="10.44140625" style="2829" bestFit="1" customWidth="1"/>
    <col min="6161" max="6161" width="10" style="2829" customWidth="1"/>
    <col min="6162" max="6162" width="10.109375" style="2829" customWidth="1"/>
    <col min="6163" max="6163" width="10" style="2829" customWidth="1"/>
    <col min="6164" max="6164" width="26.109375" style="2829" customWidth="1"/>
    <col min="6165" max="6400" width="8.88671875" style="2829"/>
    <col min="6401" max="6401" width="9.44140625" style="2829" customWidth="1"/>
    <col min="6402" max="6402" width="8.88671875" style="2829"/>
    <col min="6403" max="6405" width="12.88671875" style="2829" customWidth="1"/>
    <col min="6406" max="6406" width="47.44140625" style="2829" customWidth="1"/>
    <col min="6407" max="6407" width="13" style="2829" customWidth="1"/>
    <col min="6408" max="6409" width="8.88671875" style="2829"/>
    <col min="6410" max="6410" width="5.77734375" style="2829" customWidth="1"/>
    <col min="6411" max="6411" width="11.77734375" style="2829" customWidth="1"/>
    <col min="6412" max="6413" width="10.77734375" style="2829" customWidth="1"/>
    <col min="6414" max="6414" width="10" style="2829" customWidth="1"/>
    <col min="6415" max="6416" width="10.44140625" style="2829" bestFit="1" customWidth="1"/>
    <col min="6417" max="6417" width="10" style="2829" customWidth="1"/>
    <col min="6418" max="6418" width="10.109375" style="2829" customWidth="1"/>
    <col min="6419" max="6419" width="10" style="2829" customWidth="1"/>
    <col min="6420" max="6420" width="26.109375" style="2829" customWidth="1"/>
    <col min="6421" max="6656" width="8.88671875" style="2829"/>
    <col min="6657" max="6657" width="9.44140625" style="2829" customWidth="1"/>
    <col min="6658" max="6658" width="8.88671875" style="2829"/>
    <col min="6659" max="6661" width="12.88671875" style="2829" customWidth="1"/>
    <col min="6662" max="6662" width="47.44140625" style="2829" customWidth="1"/>
    <col min="6663" max="6663" width="13" style="2829" customWidth="1"/>
    <col min="6664" max="6665" width="8.88671875" style="2829"/>
    <col min="6666" max="6666" width="5.77734375" style="2829" customWidth="1"/>
    <col min="6667" max="6667" width="11.77734375" style="2829" customWidth="1"/>
    <col min="6668" max="6669" width="10.77734375" style="2829" customWidth="1"/>
    <col min="6670" max="6670" width="10" style="2829" customWidth="1"/>
    <col min="6671" max="6672" width="10.44140625" style="2829" bestFit="1" customWidth="1"/>
    <col min="6673" max="6673" width="10" style="2829" customWidth="1"/>
    <col min="6674" max="6674" width="10.109375" style="2829" customWidth="1"/>
    <col min="6675" max="6675" width="10" style="2829" customWidth="1"/>
    <col min="6676" max="6676" width="26.109375" style="2829" customWidth="1"/>
    <col min="6677" max="6912" width="8.88671875" style="2829"/>
    <col min="6913" max="6913" width="9.44140625" style="2829" customWidth="1"/>
    <col min="6914" max="6914" width="8.88671875" style="2829"/>
    <col min="6915" max="6917" width="12.88671875" style="2829" customWidth="1"/>
    <col min="6918" max="6918" width="47.44140625" style="2829" customWidth="1"/>
    <col min="6919" max="6919" width="13" style="2829" customWidth="1"/>
    <col min="6920" max="6921" width="8.88671875" style="2829"/>
    <col min="6922" max="6922" width="5.77734375" style="2829" customWidth="1"/>
    <col min="6923" max="6923" width="11.77734375" style="2829" customWidth="1"/>
    <col min="6924" max="6925" width="10.77734375" style="2829" customWidth="1"/>
    <col min="6926" max="6926" width="10" style="2829" customWidth="1"/>
    <col min="6927" max="6928" width="10.44140625" style="2829" bestFit="1" customWidth="1"/>
    <col min="6929" max="6929" width="10" style="2829" customWidth="1"/>
    <col min="6930" max="6930" width="10.109375" style="2829" customWidth="1"/>
    <col min="6931" max="6931" width="10" style="2829" customWidth="1"/>
    <col min="6932" max="6932" width="26.109375" style="2829" customWidth="1"/>
    <col min="6933" max="7168" width="8.88671875" style="2829"/>
    <col min="7169" max="7169" width="9.44140625" style="2829" customWidth="1"/>
    <col min="7170" max="7170" width="8.88671875" style="2829"/>
    <col min="7171" max="7173" width="12.88671875" style="2829" customWidth="1"/>
    <col min="7174" max="7174" width="47.44140625" style="2829" customWidth="1"/>
    <col min="7175" max="7175" width="13" style="2829" customWidth="1"/>
    <col min="7176" max="7177" width="8.88671875" style="2829"/>
    <col min="7178" max="7178" width="5.77734375" style="2829" customWidth="1"/>
    <col min="7179" max="7179" width="11.77734375" style="2829" customWidth="1"/>
    <col min="7180" max="7181" width="10.77734375" style="2829" customWidth="1"/>
    <col min="7182" max="7182" width="10" style="2829" customWidth="1"/>
    <col min="7183" max="7184" width="10.44140625" style="2829" bestFit="1" customWidth="1"/>
    <col min="7185" max="7185" width="10" style="2829" customWidth="1"/>
    <col min="7186" max="7186" width="10.109375" style="2829" customWidth="1"/>
    <col min="7187" max="7187" width="10" style="2829" customWidth="1"/>
    <col min="7188" max="7188" width="26.109375" style="2829" customWidth="1"/>
    <col min="7189" max="7424" width="8.88671875" style="2829"/>
    <col min="7425" max="7425" width="9.44140625" style="2829" customWidth="1"/>
    <col min="7426" max="7426" width="8.88671875" style="2829"/>
    <col min="7427" max="7429" width="12.88671875" style="2829" customWidth="1"/>
    <col min="7430" max="7430" width="47.44140625" style="2829" customWidth="1"/>
    <col min="7431" max="7431" width="13" style="2829" customWidth="1"/>
    <col min="7432" max="7433" width="8.88671875" style="2829"/>
    <col min="7434" max="7434" width="5.77734375" style="2829" customWidth="1"/>
    <col min="7435" max="7435" width="11.77734375" style="2829" customWidth="1"/>
    <col min="7436" max="7437" width="10.77734375" style="2829" customWidth="1"/>
    <col min="7438" max="7438" width="10" style="2829" customWidth="1"/>
    <col min="7439" max="7440" width="10.44140625" style="2829" bestFit="1" customWidth="1"/>
    <col min="7441" max="7441" width="10" style="2829" customWidth="1"/>
    <col min="7442" max="7442" width="10.109375" style="2829" customWidth="1"/>
    <col min="7443" max="7443" width="10" style="2829" customWidth="1"/>
    <col min="7444" max="7444" width="26.109375" style="2829" customWidth="1"/>
    <col min="7445" max="7680" width="8.88671875" style="2829"/>
    <col min="7681" max="7681" width="9.44140625" style="2829" customWidth="1"/>
    <col min="7682" max="7682" width="8.88671875" style="2829"/>
    <col min="7683" max="7685" width="12.88671875" style="2829" customWidth="1"/>
    <col min="7686" max="7686" width="47.44140625" style="2829" customWidth="1"/>
    <col min="7687" max="7687" width="13" style="2829" customWidth="1"/>
    <col min="7688" max="7689" width="8.88671875" style="2829"/>
    <col min="7690" max="7690" width="5.77734375" style="2829" customWidth="1"/>
    <col min="7691" max="7691" width="11.77734375" style="2829" customWidth="1"/>
    <col min="7692" max="7693" width="10.77734375" style="2829" customWidth="1"/>
    <col min="7694" max="7694" width="10" style="2829" customWidth="1"/>
    <col min="7695" max="7696" width="10.44140625" style="2829" bestFit="1" customWidth="1"/>
    <col min="7697" max="7697" width="10" style="2829" customWidth="1"/>
    <col min="7698" max="7698" width="10.109375" style="2829" customWidth="1"/>
    <col min="7699" max="7699" width="10" style="2829" customWidth="1"/>
    <col min="7700" max="7700" width="26.109375" style="2829" customWidth="1"/>
    <col min="7701" max="7936" width="8.88671875" style="2829"/>
    <col min="7937" max="7937" width="9.44140625" style="2829" customWidth="1"/>
    <col min="7938" max="7938" width="8.88671875" style="2829"/>
    <col min="7939" max="7941" width="12.88671875" style="2829" customWidth="1"/>
    <col min="7942" max="7942" width="47.44140625" style="2829" customWidth="1"/>
    <col min="7943" max="7943" width="13" style="2829" customWidth="1"/>
    <col min="7944" max="7945" width="8.88671875" style="2829"/>
    <col min="7946" max="7946" width="5.77734375" style="2829" customWidth="1"/>
    <col min="7947" max="7947" width="11.77734375" style="2829" customWidth="1"/>
    <col min="7948" max="7949" width="10.77734375" style="2829" customWidth="1"/>
    <col min="7950" max="7950" width="10" style="2829" customWidth="1"/>
    <col min="7951" max="7952" width="10.44140625" style="2829" bestFit="1" customWidth="1"/>
    <col min="7953" max="7953" width="10" style="2829" customWidth="1"/>
    <col min="7954" max="7954" width="10.109375" style="2829" customWidth="1"/>
    <col min="7955" max="7955" width="10" style="2829" customWidth="1"/>
    <col min="7956" max="7956" width="26.109375" style="2829" customWidth="1"/>
    <col min="7957" max="8192" width="8.88671875" style="2829"/>
    <col min="8193" max="8193" width="9.44140625" style="2829" customWidth="1"/>
    <col min="8194" max="8194" width="8.88671875" style="2829"/>
    <col min="8195" max="8197" width="12.88671875" style="2829" customWidth="1"/>
    <col min="8198" max="8198" width="47.44140625" style="2829" customWidth="1"/>
    <col min="8199" max="8199" width="13" style="2829" customWidth="1"/>
    <col min="8200" max="8201" width="8.88671875" style="2829"/>
    <col min="8202" max="8202" width="5.77734375" style="2829" customWidth="1"/>
    <col min="8203" max="8203" width="11.77734375" style="2829" customWidth="1"/>
    <col min="8204" max="8205" width="10.77734375" style="2829" customWidth="1"/>
    <col min="8206" max="8206" width="10" style="2829" customWidth="1"/>
    <col min="8207" max="8208" width="10.44140625" style="2829" bestFit="1" customWidth="1"/>
    <col min="8209" max="8209" width="10" style="2829" customWidth="1"/>
    <col min="8210" max="8210" width="10.109375" style="2829" customWidth="1"/>
    <col min="8211" max="8211" width="10" style="2829" customWidth="1"/>
    <col min="8212" max="8212" width="26.109375" style="2829" customWidth="1"/>
    <col min="8213" max="8448" width="8.88671875" style="2829"/>
    <col min="8449" max="8449" width="9.44140625" style="2829" customWidth="1"/>
    <col min="8450" max="8450" width="8.88671875" style="2829"/>
    <col min="8451" max="8453" width="12.88671875" style="2829" customWidth="1"/>
    <col min="8454" max="8454" width="47.44140625" style="2829" customWidth="1"/>
    <col min="8455" max="8455" width="13" style="2829" customWidth="1"/>
    <col min="8456" max="8457" width="8.88671875" style="2829"/>
    <col min="8458" max="8458" width="5.77734375" style="2829" customWidth="1"/>
    <col min="8459" max="8459" width="11.77734375" style="2829" customWidth="1"/>
    <col min="8460" max="8461" width="10.77734375" style="2829" customWidth="1"/>
    <col min="8462" max="8462" width="10" style="2829" customWidth="1"/>
    <col min="8463" max="8464" width="10.44140625" style="2829" bestFit="1" customWidth="1"/>
    <col min="8465" max="8465" width="10" style="2829" customWidth="1"/>
    <col min="8466" max="8466" width="10.109375" style="2829" customWidth="1"/>
    <col min="8467" max="8467" width="10" style="2829" customWidth="1"/>
    <col min="8468" max="8468" width="26.109375" style="2829" customWidth="1"/>
    <col min="8469" max="8704" width="8.88671875" style="2829"/>
    <col min="8705" max="8705" width="9.44140625" style="2829" customWidth="1"/>
    <col min="8706" max="8706" width="8.88671875" style="2829"/>
    <col min="8707" max="8709" width="12.88671875" style="2829" customWidth="1"/>
    <col min="8710" max="8710" width="47.44140625" style="2829" customWidth="1"/>
    <col min="8711" max="8711" width="13" style="2829" customWidth="1"/>
    <col min="8712" max="8713" width="8.88671875" style="2829"/>
    <col min="8714" max="8714" width="5.77734375" style="2829" customWidth="1"/>
    <col min="8715" max="8715" width="11.77734375" style="2829" customWidth="1"/>
    <col min="8716" max="8717" width="10.77734375" style="2829" customWidth="1"/>
    <col min="8718" max="8718" width="10" style="2829" customWidth="1"/>
    <col min="8719" max="8720" width="10.44140625" style="2829" bestFit="1" customWidth="1"/>
    <col min="8721" max="8721" width="10" style="2829" customWidth="1"/>
    <col min="8722" max="8722" width="10.109375" style="2829" customWidth="1"/>
    <col min="8723" max="8723" width="10" style="2829" customWidth="1"/>
    <col min="8724" max="8724" width="26.109375" style="2829" customWidth="1"/>
    <col min="8725" max="8960" width="8.88671875" style="2829"/>
    <col min="8961" max="8961" width="9.44140625" style="2829" customWidth="1"/>
    <col min="8962" max="8962" width="8.88671875" style="2829"/>
    <col min="8963" max="8965" width="12.88671875" style="2829" customWidth="1"/>
    <col min="8966" max="8966" width="47.44140625" style="2829" customWidth="1"/>
    <col min="8967" max="8967" width="13" style="2829" customWidth="1"/>
    <col min="8968" max="8969" width="8.88671875" style="2829"/>
    <col min="8970" max="8970" width="5.77734375" style="2829" customWidth="1"/>
    <col min="8971" max="8971" width="11.77734375" style="2829" customWidth="1"/>
    <col min="8972" max="8973" width="10.77734375" style="2829" customWidth="1"/>
    <col min="8974" max="8974" width="10" style="2829" customWidth="1"/>
    <col min="8975" max="8976" width="10.44140625" style="2829" bestFit="1" customWidth="1"/>
    <col min="8977" max="8977" width="10" style="2829" customWidth="1"/>
    <col min="8978" max="8978" width="10.109375" style="2829" customWidth="1"/>
    <col min="8979" max="8979" width="10" style="2829" customWidth="1"/>
    <col min="8980" max="8980" width="26.109375" style="2829" customWidth="1"/>
    <col min="8981" max="9216" width="8.88671875" style="2829"/>
    <col min="9217" max="9217" width="9.44140625" style="2829" customWidth="1"/>
    <col min="9218" max="9218" width="8.88671875" style="2829"/>
    <col min="9219" max="9221" width="12.88671875" style="2829" customWidth="1"/>
    <col min="9222" max="9222" width="47.44140625" style="2829" customWidth="1"/>
    <col min="9223" max="9223" width="13" style="2829" customWidth="1"/>
    <col min="9224" max="9225" width="8.88671875" style="2829"/>
    <col min="9226" max="9226" width="5.77734375" style="2829" customWidth="1"/>
    <col min="9227" max="9227" width="11.77734375" style="2829" customWidth="1"/>
    <col min="9228" max="9229" width="10.77734375" style="2829" customWidth="1"/>
    <col min="9230" max="9230" width="10" style="2829" customWidth="1"/>
    <col min="9231" max="9232" width="10.44140625" style="2829" bestFit="1" customWidth="1"/>
    <col min="9233" max="9233" width="10" style="2829" customWidth="1"/>
    <col min="9234" max="9234" width="10.109375" style="2829" customWidth="1"/>
    <col min="9235" max="9235" width="10" style="2829" customWidth="1"/>
    <col min="9236" max="9236" width="26.109375" style="2829" customWidth="1"/>
    <col min="9237" max="9472" width="8.88671875" style="2829"/>
    <col min="9473" max="9473" width="9.44140625" style="2829" customWidth="1"/>
    <col min="9474" max="9474" width="8.88671875" style="2829"/>
    <col min="9475" max="9477" width="12.88671875" style="2829" customWidth="1"/>
    <col min="9478" max="9478" width="47.44140625" style="2829" customWidth="1"/>
    <col min="9479" max="9479" width="13" style="2829" customWidth="1"/>
    <col min="9480" max="9481" width="8.88671875" style="2829"/>
    <col min="9482" max="9482" width="5.77734375" style="2829" customWidth="1"/>
    <col min="9483" max="9483" width="11.77734375" style="2829" customWidth="1"/>
    <col min="9484" max="9485" width="10.77734375" style="2829" customWidth="1"/>
    <col min="9486" max="9486" width="10" style="2829" customWidth="1"/>
    <col min="9487" max="9488" width="10.44140625" style="2829" bestFit="1" customWidth="1"/>
    <col min="9489" max="9489" width="10" style="2829" customWidth="1"/>
    <col min="9490" max="9490" width="10.109375" style="2829" customWidth="1"/>
    <col min="9491" max="9491" width="10" style="2829" customWidth="1"/>
    <col min="9492" max="9492" width="26.109375" style="2829" customWidth="1"/>
    <col min="9493" max="9728" width="8.88671875" style="2829"/>
    <col min="9729" max="9729" width="9.44140625" style="2829" customWidth="1"/>
    <col min="9730" max="9730" width="8.88671875" style="2829"/>
    <col min="9731" max="9733" width="12.88671875" style="2829" customWidth="1"/>
    <col min="9734" max="9734" width="47.44140625" style="2829" customWidth="1"/>
    <col min="9735" max="9735" width="13" style="2829" customWidth="1"/>
    <col min="9736" max="9737" width="8.88671875" style="2829"/>
    <col min="9738" max="9738" width="5.77734375" style="2829" customWidth="1"/>
    <col min="9739" max="9739" width="11.77734375" style="2829" customWidth="1"/>
    <col min="9740" max="9741" width="10.77734375" style="2829" customWidth="1"/>
    <col min="9742" max="9742" width="10" style="2829" customWidth="1"/>
    <col min="9743" max="9744" width="10.44140625" style="2829" bestFit="1" customWidth="1"/>
    <col min="9745" max="9745" width="10" style="2829" customWidth="1"/>
    <col min="9746" max="9746" width="10.109375" style="2829" customWidth="1"/>
    <col min="9747" max="9747" width="10" style="2829" customWidth="1"/>
    <col min="9748" max="9748" width="26.109375" style="2829" customWidth="1"/>
    <col min="9749" max="9984" width="8.88671875" style="2829"/>
    <col min="9985" max="9985" width="9.44140625" style="2829" customWidth="1"/>
    <col min="9986" max="9986" width="8.88671875" style="2829"/>
    <col min="9987" max="9989" width="12.88671875" style="2829" customWidth="1"/>
    <col min="9990" max="9990" width="47.44140625" style="2829" customWidth="1"/>
    <col min="9991" max="9991" width="13" style="2829" customWidth="1"/>
    <col min="9992" max="9993" width="8.88671875" style="2829"/>
    <col min="9994" max="9994" width="5.77734375" style="2829" customWidth="1"/>
    <col min="9995" max="9995" width="11.77734375" style="2829" customWidth="1"/>
    <col min="9996" max="9997" width="10.77734375" style="2829" customWidth="1"/>
    <col min="9998" max="9998" width="10" style="2829" customWidth="1"/>
    <col min="9999" max="10000" width="10.44140625" style="2829" bestFit="1" customWidth="1"/>
    <col min="10001" max="10001" width="10" style="2829" customWidth="1"/>
    <col min="10002" max="10002" width="10.109375" style="2829" customWidth="1"/>
    <col min="10003" max="10003" width="10" style="2829" customWidth="1"/>
    <col min="10004" max="10004" width="26.109375" style="2829" customWidth="1"/>
    <col min="10005" max="10240" width="8.88671875" style="2829"/>
    <col min="10241" max="10241" width="9.44140625" style="2829" customWidth="1"/>
    <col min="10242" max="10242" width="8.88671875" style="2829"/>
    <col min="10243" max="10245" width="12.88671875" style="2829" customWidth="1"/>
    <col min="10246" max="10246" width="47.44140625" style="2829" customWidth="1"/>
    <col min="10247" max="10247" width="13" style="2829" customWidth="1"/>
    <col min="10248" max="10249" width="8.88671875" style="2829"/>
    <col min="10250" max="10250" width="5.77734375" style="2829" customWidth="1"/>
    <col min="10251" max="10251" width="11.77734375" style="2829" customWidth="1"/>
    <col min="10252" max="10253" width="10.77734375" style="2829" customWidth="1"/>
    <col min="10254" max="10254" width="10" style="2829" customWidth="1"/>
    <col min="10255" max="10256" width="10.44140625" style="2829" bestFit="1" customWidth="1"/>
    <col min="10257" max="10257" width="10" style="2829" customWidth="1"/>
    <col min="10258" max="10258" width="10.109375" style="2829" customWidth="1"/>
    <col min="10259" max="10259" width="10" style="2829" customWidth="1"/>
    <col min="10260" max="10260" width="26.109375" style="2829" customWidth="1"/>
    <col min="10261" max="10496" width="8.88671875" style="2829"/>
    <col min="10497" max="10497" width="9.44140625" style="2829" customWidth="1"/>
    <col min="10498" max="10498" width="8.88671875" style="2829"/>
    <col min="10499" max="10501" width="12.88671875" style="2829" customWidth="1"/>
    <col min="10502" max="10502" width="47.44140625" style="2829" customWidth="1"/>
    <col min="10503" max="10503" width="13" style="2829" customWidth="1"/>
    <col min="10504" max="10505" width="8.88671875" style="2829"/>
    <col min="10506" max="10506" width="5.77734375" style="2829" customWidth="1"/>
    <col min="10507" max="10507" width="11.77734375" style="2829" customWidth="1"/>
    <col min="10508" max="10509" width="10.77734375" style="2829" customWidth="1"/>
    <col min="10510" max="10510" width="10" style="2829" customWidth="1"/>
    <col min="10511" max="10512" width="10.44140625" style="2829" bestFit="1" customWidth="1"/>
    <col min="10513" max="10513" width="10" style="2829" customWidth="1"/>
    <col min="10514" max="10514" width="10.109375" style="2829" customWidth="1"/>
    <col min="10515" max="10515" width="10" style="2829" customWidth="1"/>
    <col min="10516" max="10516" width="26.109375" style="2829" customWidth="1"/>
    <col min="10517" max="10752" width="8.88671875" style="2829"/>
    <col min="10753" max="10753" width="9.44140625" style="2829" customWidth="1"/>
    <col min="10754" max="10754" width="8.88671875" style="2829"/>
    <col min="10755" max="10757" width="12.88671875" style="2829" customWidth="1"/>
    <col min="10758" max="10758" width="47.44140625" style="2829" customWidth="1"/>
    <col min="10759" max="10759" width="13" style="2829" customWidth="1"/>
    <col min="10760" max="10761" width="8.88671875" style="2829"/>
    <col min="10762" max="10762" width="5.77734375" style="2829" customWidth="1"/>
    <col min="10763" max="10763" width="11.77734375" style="2829" customWidth="1"/>
    <col min="10764" max="10765" width="10.77734375" style="2829" customWidth="1"/>
    <col min="10766" max="10766" width="10" style="2829" customWidth="1"/>
    <col min="10767" max="10768" width="10.44140625" style="2829" bestFit="1" customWidth="1"/>
    <col min="10769" max="10769" width="10" style="2829" customWidth="1"/>
    <col min="10770" max="10770" width="10.109375" style="2829" customWidth="1"/>
    <col min="10771" max="10771" width="10" style="2829" customWidth="1"/>
    <col min="10772" max="10772" width="26.109375" style="2829" customWidth="1"/>
    <col min="10773" max="11008" width="8.88671875" style="2829"/>
    <col min="11009" max="11009" width="9.44140625" style="2829" customWidth="1"/>
    <col min="11010" max="11010" width="8.88671875" style="2829"/>
    <col min="11011" max="11013" width="12.88671875" style="2829" customWidth="1"/>
    <col min="11014" max="11014" width="47.44140625" style="2829" customWidth="1"/>
    <col min="11015" max="11015" width="13" style="2829" customWidth="1"/>
    <col min="11016" max="11017" width="8.88671875" style="2829"/>
    <col min="11018" max="11018" width="5.77734375" style="2829" customWidth="1"/>
    <col min="11019" max="11019" width="11.77734375" style="2829" customWidth="1"/>
    <col min="11020" max="11021" width="10.77734375" style="2829" customWidth="1"/>
    <col min="11022" max="11022" width="10" style="2829" customWidth="1"/>
    <col min="11023" max="11024" width="10.44140625" style="2829" bestFit="1" customWidth="1"/>
    <col min="11025" max="11025" width="10" style="2829" customWidth="1"/>
    <col min="11026" max="11026" width="10.109375" style="2829" customWidth="1"/>
    <col min="11027" max="11027" width="10" style="2829" customWidth="1"/>
    <col min="11028" max="11028" width="26.109375" style="2829" customWidth="1"/>
    <col min="11029" max="11264" width="8.88671875" style="2829"/>
    <col min="11265" max="11265" width="9.44140625" style="2829" customWidth="1"/>
    <col min="11266" max="11266" width="8.88671875" style="2829"/>
    <col min="11267" max="11269" width="12.88671875" style="2829" customWidth="1"/>
    <col min="11270" max="11270" width="47.44140625" style="2829" customWidth="1"/>
    <col min="11271" max="11271" width="13" style="2829" customWidth="1"/>
    <col min="11272" max="11273" width="8.88671875" style="2829"/>
    <col min="11274" max="11274" width="5.77734375" style="2829" customWidth="1"/>
    <col min="11275" max="11275" width="11.77734375" style="2829" customWidth="1"/>
    <col min="11276" max="11277" width="10.77734375" style="2829" customWidth="1"/>
    <col min="11278" max="11278" width="10" style="2829" customWidth="1"/>
    <col min="11279" max="11280" width="10.44140625" style="2829" bestFit="1" customWidth="1"/>
    <col min="11281" max="11281" width="10" style="2829" customWidth="1"/>
    <col min="11282" max="11282" width="10.109375" style="2829" customWidth="1"/>
    <col min="11283" max="11283" width="10" style="2829" customWidth="1"/>
    <col min="11284" max="11284" width="26.109375" style="2829" customWidth="1"/>
    <col min="11285" max="11520" width="8.88671875" style="2829"/>
    <col min="11521" max="11521" width="9.44140625" style="2829" customWidth="1"/>
    <col min="11522" max="11522" width="8.88671875" style="2829"/>
    <col min="11523" max="11525" width="12.88671875" style="2829" customWidth="1"/>
    <col min="11526" max="11526" width="47.44140625" style="2829" customWidth="1"/>
    <col min="11527" max="11527" width="13" style="2829" customWidth="1"/>
    <col min="11528" max="11529" width="8.88671875" style="2829"/>
    <col min="11530" max="11530" width="5.77734375" style="2829" customWidth="1"/>
    <col min="11531" max="11531" width="11.77734375" style="2829" customWidth="1"/>
    <col min="11532" max="11533" width="10.77734375" style="2829" customWidth="1"/>
    <col min="11534" max="11534" width="10" style="2829" customWidth="1"/>
    <col min="11535" max="11536" width="10.44140625" style="2829" bestFit="1" customWidth="1"/>
    <col min="11537" max="11537" width="10" style="2829" customWidth="1"/>
    <col min="11538" max="11538" width="10.109375" style="2829" customWidth="1"/>
    <col min="11539" max="11539" width="10" style="2829" customWidth="1"/>
    <col min="11540" max="11540" width="26.109375" style="2829" customWidth="1"/>
    <col min="11541" max="11776" width="8.88671875" style="2829"/>
    <col min="11777" max="11777" width="9.44140625" style="2829" customWidth="1"/>
    <col min="11778" max="11778" width="8.88671875" style="2829"/>
    <col min="11779" max="11781" width="12.88671875" style="2829" customWidth="1"/>
    <col min="11782" max="11782" width="47.44140625" style="2829" customWidth="1"/>
    <col min="11783" max="11783" width="13" style="2829" customWidth="1"/>
    <col min="11784" max="11785" width="8.88671875" style="2829"/>
    <col min="11786" max="11786" width="5.77734375" style="2829" customWidth="1"/>
    <col min="11787" max="11787" width="11.77734375" style="2829" customWidth="1"/>
    <col min="11788" max="11789" width="10.77734375" style="2829" customWidth="1"/>
    <col min="11790" max="11790" width="10" style="2829" customWidth="1"/>
    <col min="11791" max="11792" width="10.44140625" style="2829" bestFit="1" customWidth="1"/>
    <col min="11793" max="11793" width="10" style="2829" customWidth="1"/>
    <col min="11794" max="11794" width="10.109375" style="2829" customWidth="1"/>
    <col min="11795" max="11795" width="10" style="2829" customWidth="1"/>
    <col min="11796" max="11796" width="26.109375" style="2829" customWidth="1"/>
    <col min="11797" max="12032" width="8.88671875" style="2829"/>
    <col min="12033" max="12033" width="9.44140625" style="2829" customWidth="1"/>
    <col min="12034" max="12034" width="8.88671875" style="2829"/>
    <col min="12035" max="12037" width="12.88671875" style="2829" customWidth="1"/>
    <col min="12038" max="12038" width="47.44140625" style="2829" customWidth="1"/>
    <col min="12039" max="12039" width="13" style="2829" customWidth="1"/>
    <col min="12040" max="12041" width="8.88671875" style="2829"/>
    <col min="12042" max="12042" width="5.77734375" style="2829" customWidth="1"/>
    <col min="12043" max="12043" width="11.77734375" style="2829" customWidth="1"/>
    <col min="12044" max="12045" width="10.77734375" style="2829" customWidth="1"/>
    <col min="12046" max="12046" width="10" style="2829" customWidth="1"/>
    <col min="12047" max="12048" width="10.44140625" style="2829" bestFit="1" customWidth="1"/>
    <col min="12049" max="12049" width="10" style="2829" customWidth="1"/>
    <col min="12050" max="12050" width="10.109375" style="2829" customWidth="1"/>
    <col min="12051" max="12051" width="10" style="2829" customWidth="1"/>
    <col min="12052" max="12052" width="26.109375" style="2829" customWidth="1"/>
    <col min="12053" max="12288" width="8.88671875" style="2829"/>
    <col min="12289" max="12289" width="9.44140625" style="2829" customWidth="1"/>
    <col min="12290" max="12290" width="8.88671875" style="2829"/>
    <col min="12291" max="12293" width="12.88671875" style="2829" customWidth="1"/>
    <col min="12294" max="12294" width="47.44140625" style="2829" customWidth="1"/>
    <col min="12295" max="12295" width="13" style="2829" customWidth="1"/>
    <col min="12296" max="12297" width="8.88671875" style="2829"/>
    <col min="12298" max="12298" width="5.77734375" style="2829" customWidth="1"/>
    <col min="12299" max="12299" width="11.77734375" style="2829" customWidth="1"/>
    <col min="12300" max="12301" width="10.77734375" style="2829" customWidth="1"/>
    <col min="12302" max="12302" width="10" style="2829" customWidth="1"/>
    <col min="12303" max="12304" width="10.44140625" style="2829" bestFit="1" customWidth="1"/>
    <col min="12305" max="12305" width="10" style="2829" customWidth="1"/>
    <col min="12306" max="12306" width="10.109375" style="2829" customWidth="1"/>
    <col min="12307" max="12307" width="10" style="2829" customWidth="1"/>
    <col min="12308" max="12308" width="26.109375" style="2829" customWidth="1"/>
    <col min="12309" max="12544" width="8.88671875" style="2829"/>
    <col min="12545" max="12545" width="9.44140625" style="2829" customWidth="1"/>
    <col min="12546" max="12546" width="8.88671875" style="2829"/>
    <col min="12547" max="12549" width="12.88671875" style="2829" customWidth="1"/>
    <col min="12550" max="12550" width="47.44140625" style="2829" customWidth="1"/>
    <col min="12551" max="12551" width="13" style="2829" customWidth="1"/>
    <col min="12552" max="12553" width="8.88671875" style="2829"/>
    <col min="12554" max="12554" width="5.77734375" style="2829" customWidth="1"/>
    <col min="12555" max="12555" width="11.77734375" style="2829" customWidth="1"/>
    <col min="12556" max="12557" width="10.77734375" style="2829" customWidth="1"/>
    <col min="12558" max="12558" width="10" style="2829" customWidth="1"/>
    <col min="12559" max="12560" width="10.44140625" style="2829" bestFit="1" customWidth="1"/>
    <col min="12561" max="12561" width="10" style="2829" customWidth="1"/>
    <col min="12562" max="12562" width="10.109375" style="2829" customWidth="1"/>
    <col min="12563" max="12563" width="10" style="2829" customWidth="1"/>
    <col min="12564" max="12564" width="26.109375" style="2829" customWidth="1"/>
    <col min="12565" max="12800" width="8.88671875" style="2829"/>
    <col min="12801" max="12801" width="9.44140625" style="2829" customWidth="1"/>
    <col min="12802" max="12802" width="8.88671875" style="2829"/>
    <col min="12803" max="12805" width="12.88671875" style="2829" customWidth="1"/>
    <col min="12806" max="12806" width="47.44140625" style="2829" customWidth="1"/>
    <col min="12807" max="12807" width="13" style="2829" customWidth="1"/>
    <col min="12808" max="12809" width="8.88671875" style="2829"/>
    <col min="12810" max="12810" width="5.77734375" style="2829" customWidth="1"/>
    <col min="12811" max="12811" width="11.77734375" style="2829" customWidth="1"/>
    <col min="12812" max="12813" width="10.77734375" style="2829" customWidth="1"/>
    <col min="12814" max="12814" width="10" style="2829" customWidth="1"/>
    <col min="12815" max="12816" width="10.44140625" style="2829" bestFit="1" customWidth="1"/>
    <col min="12817" max="12817" width="10" style="2829" customWidth="1"/>
    <col min="12818" max="12818" width="10.109375" style="2829" customWidth="1"/>
    <col min="12819" max="12819" width="10" style="2829" customWidth="1"/>
    <col min="12820" max="12820" width="26.109375" style="2829" customWidth="1"/>
    <col min="12821" max="13056" width="8.88671875" style="2829"/>
    <col min="13057" max="13057" width="9.44140625" style="2829" customWidth="1"/>
    <col min="13058" max="13058" width="8.88671875" style="2829"/>
    <col min="13059" max="13061" width="12.88671875" style="2829" customWidth="1"/>
    <col min="13062" max="13062" width="47.44140625" style="2829" customWidth="1"/>
    <col min="13063" max="13063" width="13" style="2829" customWidth="1"/>
    <col min="13064" max="13065" width="8.88671875" style="2829"/>
    <col min="13066" max="13066" width="5.77734375" style="2829" customWidth="1"/>
    <col min="13067" max="13067" width="11.77734375" style="2829" customWidth="1"/>
    <col min="13068" max="13069" width="10.77734375" style="2829" customWidth="1"/>
    <col min="13070" max="13070" width="10" style="2829" customWidth="1"/>
    <col min="13071" max="13072" width="10.44140625" style="2829" bestFit="1" customWidth="1"/>
    <col min="13073" max="13073" width="10" style="2829" customWidth="1"/>
    <col min="13074" max="13074" width="10.109375" style="2829" customWidth="1"/>
    <col min="13075" max="13075" width="10" style="2829" customWidth="1"/>
    <col min="13076" max="13076" width="26.109375" style="2829" customWidth="1"/>
    <col min="13077" max="13312" width="8.88671875" style="2829"/>
    <col min="13313" max="13313" width="9.44140625" style="2829" customWidth="1"/>
    <col min="13314" max="13314" width="8.88671875" style="2829"/>
    <col min="13315" max="13317" width="12.88671875" style="2829" customWidth="1"/>
    <col min="13318" max="13318" width="47.44140625" style="2829" customWidth="1"/>
    <col min="13319" max="13319" width="13" style="2829" customWidth="1"/>
    <col min="13320" max="13321" width="8.88671875" style="2829"/>
    <col min="13322" max="13322" width="5.77734375" style="2829" customWidth="1"/>
    <col min="13323" max="13323" width="11.77734375" style="2829" customWidth="1"/>
    <col min="13324" max="13325" width="10.77734375" style="2829" customWidth="1"/>
    <col min="13326" max="13326" width="10" style="2829" customWidth="1"/>
    <col min="13327" max="13328" width="10.44140625" style="2829" bestFit="1" customWidth="1"/>
    <col min="13329" max="13329" width="10" style="2829" customWidth="1"/>
    <col min="13330" max="13330" width="10.109375" style="2829" customWidth="1"/>
    <col min="13331" max="13331" width="10" style="2829" customWidth="1"/>
    <col min="13332" max="13332" width="26.109375" style="2829" customWidth="1"/>
    <col min="13333" max="13568" width="8.88671875" style="2829"/>
    <col min="13569" max="13569" width="9.44140625" style="2829" customWidth="1"/>
    <col min="13570" max="13570" width="8.88671875" style="2829"/>
    <col min="13571" max="13573" width="12.88671875" style="2829" customWidth="1"/>
    <col min="13574" max="13574" width="47.44140625" style="2829" customWidth="1"/>
    <col min="13575" max="13575" width="13" style="2829" customWidth="1"/>
    <col min="13576" max="13577" width="8.88671875" style="2829"/>
    <col min="13578" max="13578" width="5.77734375" style="2829" customWidth="1"/>
    <col min="13579" max="13579" width="11.77734375" style="2829" customWidth="1"/>
    <col min="13580" max="13581" width="10.77734375" style="2829" customWidth="1"/>
    <col min="13582" max="13582" width="10" style="2829" customWidth="1"/>
    <col min="13583" max="13584" width="10.44140625" style="2829" bestFit="1" customWidth="1"/>
    <col min="13585" max="13585" width="10" style="2829" customWidth="1"/>
    <col min="13586" max="13586" width="10.109375" style="2829" customWidth="1"/>
    <col min="13587" max="13587" width="10" style="2829" customWidth="1"/>
    <col min="13588" max="13588" width="26.109375" style="2829" customWidth="1"/>
    <col min="13589" max="13824" width="8.88671875" style="2829"/>
    <col min="13825" max="13825" width="9.44140625" style="2829" customWidth="1"/>
    <col min="13826" max="13826" width="8.88671875" style="2829"/>
    <col min="13827" max="13829" width="12.88671875" style="2829" customWidth="1"/>
    <col min="13830" max="13830" width="47.44140625" style="2829" customWidth="1"/>
    <col min="13831" max="13831" width="13" style="2829" customWidth="1"/>
    <col min="13832" max="13833" width="8.88671875" style="2829"/>
    <col min="13834" max="13834" width="5.77734375" style="2829" customWidth="1"/>
    <col min="13835" max="13835" width="11.77734375" style="2829" customWidth="1"/>
    <col min="13836" max="13837" width="10.77734375" style="2829" customWidth="1"/>
    <col min="13838" max="13838" width="10" style="2829" customWidth="1"/>
    <col min="13839" max="13840" width="10.44140625" style="2829" bestFit="1" customWidth="1"/>
    <col min="13841" max="13841" width="10" style="2829" customWidth="1"/>
    <col min="13842" max="13842" width="10.109375" style="2829" customWidth="1"/>
    <col min="13843" max="13843" width="10" style="2829" customWidth="1"/>
    <col min="13844" max="13844" width="26.109375" style="2829" customWidth="1"/>
    <col min="13845" max="14080" width="8.88671875" style="2829"/>
    <col min="14081" max="14081" width="9.44140625" style="2829" customWidth="1"/>
    <col min="14082" max="14082" width="8.88671875" style="2829"/>
    <col min="14083" max="14085" width="12.88671875" style="2829" customWidth="1"/>
    <col min="14086" max="14086" width="47.44140625" style="2829" customWidth="1"/>
    <col min="14087" max="14087" width="13" style="2829" customWidth="1"/>
    <col min="14088" max="14089" width="8.88671875" style="2829"/>
    <col min="14090" max="14090" width="5.77734375" style="2829" customWidth="1"/>
    <col min="14091" max="14091" width="11.77734375" style="2829" customWidth="1"/>
    <col min="14092" max="14093" width="10.77734375" style="2829" customWidth="1"/>
    <col min="14094" max="14094" width="10" style="2829" customWidth="1"/>
    <col min="14095" max="14096" width="10.44140625" style="2829" bestFit="1" customWidth="1"/>
    <col min="14097" max="14097" width="10" style="2829" customWidth="1"/>
    <col min="14098" max="14098" width="10.109375" style="2829" customWidth="1"/>
    <col min="14099" max="14099" width="10" style="2829" customWidth="1"/>
    <col min="14100" max="14100" width="26.109375" style="2829" customWidth="1"/>
    <col min="14101" max="14336" width="8.88671875" style="2829"/>
    <col min="14337" max="14337" width="9.44140625" style="2829" customWidth="1"/>
    <col min="14338" max="14338" width="8.88671875" style="2829"/>
    <col min="14339" max="14341" width="12.88671875" style="2829" customWidth="1"/>
    <col min="14342" max="14342" width="47.44140625" style="2829" customWidth="1"/>
    <col min="14343" max="14343" width="13" style="2829" customWidth="1"/>
    <col min="14344" max="14345" width="8.88671875" style="2829"/>
    <col min="14346" max="14346" width="5.77734375" style="2829" customWidth="1"/>
    <col min="14347" max="14347" width="11.77734375" style="2829" customWidth="1"/>
    <col min="14348" max="14349" width="10.77734375" style="2829" customWidth="1"/>
    <col min="14350" max="14350" width="10" style="2829" customWidth="1"/>
    <col min="14351" max="14352" width="10.44140625" style="2829" bestFit="1" customWidth="1"/>
    <col min="14353" max="14353" width="10" style="2829" customWidth="1"/>
    <col min="14354" max="14354" width="10.109375" style="2829" customWidth="1"/>
    <col min="14355" max="14355" width="10" style="2829" customWidth="1"/>
    <col min="14356" max="14356" width="26.109375" style="2829" customWidth="1"/>
    <col min="14357" max="14592" width="8.88671875" style="2829"/>
    <col min="14593" max="14593" width="9.44140625" style="2829" customWidth="1"/>
    <col min="14594" max="14594" width="8.88671875" style="2829"/>
    <col min="14595" max="14597" width="12.88671875" style="2829" customWidth="1"/>
    <col min="14598" max="14598" width="47.44140625" style="2829" customWidth="1"/>
    <col min="14599" max="14599" width="13" style="2829" customWidth="1"/>
    <col min="14600" max="14601" width="8.88671875" style="2829"/>
    <col min="14602" max="14602" width="5.77734375" style="2829" customWidth="1"/>
    <col min="14603" max="14603" width="11.77734375" style="2829" customWidth="1"/>
    <col min="14604" max="14605" width="10.77734375" style="2829" customWidth="1"/>
    <col min="14606" max="14606" width="10" style="2829" customWidth="1"/>
    <col min="14607" max="14608" width="10.44140625" style="2829" bestFit="1" customWidth="1"/>
    <col min="14609" max="14609" width="10" style="2829" customWidth="1"/>
    <col min="14610" max="14610" width="10.109375" style="2829" customWidth="1"/>
    <col min="14611" max="14611" width="10" style="2829" customWidth="1"/>
    <col min="14612" max="14612" width="26.109375" style="2829" customWidth="1"/>
    <col min="14613" max="14848" width="8.88671875" style="2829"/>
    <col min="14849" max="14849" width="9.44140625" style="2829" customWidth="1"/>
    <col min="14850" max="14850" width="8.88671875" style="2829"/>
    <col min="14851" max="14853" width="12.88671875" style="2829" customWidth="1"/>
    <col min="14854" max="14854" width="47.44140625" style="2829" customWidth="1"/>
    <col min="14855" max="14855" width="13" style="2829" customWidth="1"/>
    <col min="14856" max="14857" width="8.88671875" style="2829"/>
    <col min="14858" max="14858" width="5.77734375" style="2829" customWidth="1"/>
    <col min="14859" max="14859" width="11.77734375" style="2829" customWidth="1"/>
    <col min="14860" max="14861" width="10.77734375" style="2829" customWidth="1"/>
    <col min="14862" max="14862" width="10" style="2829" customWidth="1"/>
    <col min="14863" max="14864" width="10.44140625" style="2829" bestFit="1" customWidth="1"/>
    <col min="14865" max="14865" width="10" style="2829" customWidth="1"/>
    <col min="14866" max="14866" width="10.109375" style="2829" customWidth="1"/>
    <col min="14867" max="14867" width="10" style="2829" customWidth="1"/>
    <col min="14868" max="14868" width="26.109375" style="2829" customWidth="1"/>
    <col min="14869" max="15104" width="8.88671875" style="2829"/>
    <col min="15105" max="15105" width="9.44140625" style="2829" customWidth="1"/>
    <col min="15106" max="15106" width="8.88671875" style="2829"/>
    <col min="15107" max="15109" width="12.88671875" style="2829" customWidth="1"/>
    <col min="15110" max="15110" width="47.44140625" style="2829" customWidth="1"/>
    <col min="15111" max="15111" width="13" style="2829" customWidth="1"/>
    <col min="15112" max="15113" width="8.88671875" style="2829"/>
    <col min="15114" max="15114" width="5.77734375" style="2829" customWidth="1"/>
    <col min="15115" max="15115" width="11.77734375" style="2829" customWidth="1"/>
    <col min="15116" max="15117" width="10.77734375" style="2829" customWidth="1"/>
    <col min="15118" max="15118" width="10" style="2829" customWidth="1"/>
    <col min="15119" max="15120" width="10.44140625" style="2829" bestFit="1" customWidth="1"/>
    <col min="15121" max="15121" width="10" style="2829" customWidth="1"/>
    <col min="15122" max="15122" width="10.109375" style="2829" customWidth="1"/>
    <col min="15123" max="15123" width="10" style="2829" customWidth="1"/>
    <col min="15124" max="15124" width="26.109375" style="2829" customWidth="1"/>
    <col min="15125" max="15360" width="8.88671875" style="2829"/>
    <col min="15361" max="15361" width="9.44140625" style="2829" customWidth="1"/>
    <col min="15362" max="15362" width="8.88671875" style="2829"/>
    <col min="15363" max="15365" width="12.88671875" style="2829" customWidth="1"/>
    <col min="15366" max="15366" width="47.44140625" style="2829" customWidth="1"/>
    <col min="15367" max="15367" width="13" style="2829" customWidth="1"/>
    <col min="15368" max="15369" width="8.88671875" style="2829"/>
    <col min="15370" max="15370" width="5.77734375" style="2829" customWidth="1"/>
    <col min="15371" max="15371" width="11.77734375" style="2829" customWidth="1"/>
    <col min="15372" max="15373" width="10.77734375" style="2829" customWidth="1"/>
    <col min="15374" max="15374" width="10" style="2829" customWidth="1"/>
    <col min="15375" max="15376" width="10.44140625" style="2829" bestFit="1" customWidth="1"/>
    <col min="15377" max="15377" width="10" style="2829" customWidth="1"/>
    <col min="15378" max="15378" width="10.109375" style="2829" customWidth="1"/>
    <col min="15379" max="15379" width="10" style="2829" customWidth="1"/>
    <col min="15380" max="15380" width="26.109375" style="2829" customWidth="1"/>
    <col min="15381" max="15616" width="8.88671875" style="2829"/>
    <col min="15617" max="15617" width="9.44140625" style="2829" customWidth="1"/>
    <col min="15618" max="15618" width="8.88671875" style="2829"/>
    <col min="15619" max="15621" width="12.88671875" style="2829" customWidth="1"/>
    <col min="15622" max="15622" width="47.44140625" style="2829" customWidth="1"/>
    <col min="15623" max="15623" width="13" style="2829" customWidth="1"/>
    <col min="15624" max="15625" width="8.88671875" style="2829"/>
    <col min="15626" max="15626" width="5.77734375" style="2829" customWidth="1"/>
    <col min="15627" max="15627" width="11.77734375" style="2829" customWidth="1"/>
    <col min="15628" max="15629" width="10.77734375" style="2829" customWidth="1"/>
    <col min="15630" max="15630" width="10" style="2829" customWidth="1"/>
    <col min="15631" max="15632" width="10.44140625" style="2829" bestFit="1" customWidth="1"/>
    <col min="15633" max="15633" width="10" style="2829" customWidth="1"/>
    <col min="15634" max="15634" width="10.109375" style="2829" customWidth="1"/>
    <col min="15635" max="15635" width="10" style="2829" customWidth="1"/>
    <col min="15636" max="15636" width="26.109375" style="2829" customWidth="1"/>
    <col min="15637" max="15872" width="8.88671875" style="2829"/>
    <col min="15873" max="15873" width="9.44140625" style="2829" customWidth="1"/>
    <col min="15874" max="15874" width="8.88671875" style="2829"/>
    <col min="15875" max="15877" width="12.88671875" style="2829" customWidth="1"/>
    <col min="15878" max="15878" width="47.44140625" style="2829" customWidth="1"/>
    <col min="15879" max="15879" width="13" style="2829" customWidth="1"/>
    <col min="15880" max="15881" width="8.88671875" style="2829"/>
    <col min="15882" max="15882" width="5.77734375" style="2829" customWidth="1"/>
    <col min="15883" max="15883" width="11.77734375" style="2829" customWidth="1"/>
    <col min="15884" max="15885" width="10.77734375" style="2829" customWidth="1"/>
    <col min="15886" max="15886" width="10" style="2829" customWidth="1"/>
    <col min="15887" max="15888" width="10.44140625" style="2829" bestFit="1" customWidth="1"/>
    <col min="15889" max="15889" width="10" style="2829" customWidth="1"/>
    <col min="15890" max="15890" width="10.109375" style="2829" customWidth="1"/>
    <col min="15891" max="15891" width="10" style="2829" customWidth="1"/>
    <col min="15892" max="15892" width="26.109375" style="2829" customWidth="1"/>
    <col min="15893" max="16128" width="8.88671875" style="2829"/>
    <col min="16129" max="16129" width="9.44140625" style="2829" customWidth="1"/>
    <col min="16130" max="16130" width="8.88671875" style="2829"/>
    <col min="16131" max="16133" width="12.88671875" style="2829" customWidth="1"/>
    <col min="16134" max="16134" width="47.44140625" style="2829" customWidth="1"/>
    <col min="16135" max="16135" width="13" style="2829" customWidth="1"/>
    <col min="16136" max="16137" width="8.88671875" style="2829"/>
    <col min="16138" max="16138" width="5.77734375" style="2829" customWidth="1"/>
    <col min="16139" max="16139" width="11.77734375" style="2829" customWidth="1"/>
    <col min="16140" max="16141" width="10.77734375" style="2829" customWidth="1"/>
    <col min="16142" max="16142" width="10" style="2829" customWidth="1"/>
    <col min="16143" max="16144" width="10.44140625" style="2829" bestFit="1" customWidth="1"/>
    <col min="16145" max="16145" width="10" style="2829" customWidth="1"/>
    <col min="16146" max="16146" width="10.109375" style="2829" customWidth="1"/>
    <col min="16147" max="16147" width="10" style="2829" customWidth="1"/>
    <col min="16148" max="16148" width="26.109375" style="2829" customWidth="1"/>
    <col min="16149" max="16384" width="8.88671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2" customHeight="1">
      <c r="A2" s="1384" t="s">
        <v>2315</v>
      </c>
      <c r="B2" s="2830" t="e">
        <f>IF(D2="——",C40,C40+E2)</f>
        <v>#DIV/0!</v>
      </c>
      <c r="C2" s="2831" t="s">
        <v>2316</v>
      </c>
      <c r="D2" s="3428" t="s">
        <v>3358</v>
      </c>
      <c r="E2" s="3429"/>
      <c r="F2" s="2833"/>
      <c r="G2" s="2834"/>
      <c r="H2" s="2835"/>
      <c r="I2" s="2836"/>
      <c r="J2" s="3649" t="s">
        <v>2317</v>
      </c>
      <c r="K2" s="3650"/>
      <c r="L2" s="2837" t="s">
        <v>2318</v>
      </c>
      <c r="M2" s="2837" t="s">
        <v>2319</v>
      </c>
      <c r="N2" s="2837" t="s">
        <v>2320</v>
      </c>
      <c r="O2" s="2837" t="s">
        <v>2321</v>
      </c>
      <c r="P2" s="2837" t="s">
        <v>2322</v>
      </c>
      <c r="Q2" s="2838" t="s">
        <v>2323</v>
      </c>
      <c r="R2" s="2839" t="s">
        <v>2324</v>
      </c>
      <c r="S2" s="2828"/>
      <c r="T2" s="2828"/>
      <c r="U2" s="2828"/>
      <c r="V2" s="2836"/>
    </row>
    <row r="3" spans="1:22" s="2840" customFormat="1" ht="13.2" customHeight="1">
      <c r="A3" s="2841" t="s">
        <v>2325</v>
      </c>
      <c r="B3" s="2842" t="e">
        <f>ROUND(B2*10000/B4,0)</f>
        <v>#DIV/0!</v>
      </c>
      <c r="C3" s="2831" t="s">
        <v>2326</v>
      </c>
      <c r="D3" s="2831"/>
      <c r="E3" s="2832"/>
      <c r="F3" s="2833"/>
      <c r="G3" s="2834"/>
      <c r="H3" s="2835"/>
      <c r="I3" s="2836"/>
      <c r="J3" s="3651" t="s">
        <v>2327</v>
      </c>
      <c r="K3" s="3652"/>
      <c r="L3" s="2843"/>
      <c r="M3" s="2843"/>
      <c r="N3" s="2843"/>
      <c r="O3" s="2843"/>
      <c r="P3" s="2843"/>
      <c r="Q3" s="2844"/>
      <c r="R3" s="2845">
        <f>SUM(L3:Q3)</f>
        <v>0</v>
      </c>
      <c r="S3" s="2828"/>
      <c r="T3" s="2828"/>
      <c r="U3" s="2828"/>
      <c r="V3" s="2836"/>
    </row>
    <row r="4" spans="1:22" s="2840" customFormat="1" ht="13.2" customHeight="1">
      <c r="A4" s="2846" t="s">
        <v>2328</v>
      </c>
      <c r="B4" s="2847"/>
      <c r="C4" s="2831"/>
      <c r="D4" s="2831"/>
      <c r="E4" s="2832"/>
      <c r="F4" s="2833"/>
      <c r="G4" s="2834"/>
      <c r="H4" s="2835"/>
      <c r="I4" s="2836"/>
      <c r="J4" s="3651" t="s">
        <v>2329</v>
      </c>
      <c r="K4" s="3652"/>
      <c r="L4" s="2848"/>
      <c r="M4" s="2848"/>
      <c r="N4" s="2848"/>
      <c r="O4" s="2848"/>
      <c r="P4" s="2848"/>
      <c r="Q4" s="2849"/>
      <c r="R4" s="2850">
        <f>SUM(L4:Q4)</f>
        <v>0</v>
      </c>
      <c r="S4" s="2828"/>
      <c r="T4" s="2828"/>
      <c r="U4" s="2828"/>
      <c r="V4" s="2836"/>
    </row>
    <row r="5" spans="1:22" s="2840" customFormat="1" ht="13.2"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2" customHeight="1" thickBot="1">
      <c r="A6" s="3657" t="s">
        <v>2333</v>
      </c>
      <c r="B6" s="3658"/>
      <c r="C6" s="3659"/>
      <c r="D6" s="2857"/>
      <c r="E6" s="2858"/>
      <c r="F6" s="2859"/>
      <c r="G6" s="2860"/>
      <c r="H6" s="2835"/>
      <c r="I6" s="2836"/>
      <c r="J6" s="3643">
        <v>1</v>
      </c>
      <c r="K6" s="3644"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2" customHeight="1">
      <c r="A7" s="2863" t="s">
        <v>2343</v>
      </c>
      <c r="B7" s="2864"/>
      <c r="C7" s="2865"/>
      <c r="D7" s="2866">
        <f>SUM(D9,D10,D11,D17,0)</f>
        <v>0</v>
      </c>
      <c r="E7" s="2867" t="e">
        <f>E9+E10+E11+E17</f>
        <v>#DIV/0!</v>
      </c>
      <c r="F7" s="2868"/>
      <c r="G7" s="2869"/>
      <c r="H7" s="2835"/>
      <c r="I7" s="2836"/>
      <c r="J7" s="3643"/>
      <c r="K7" s="3645"/>
      <c r="L7" s="2870" t="s">
        <v>2344</v>
      </c>
      <c r="M7" s="2871"/>
      <c r="N7" s="2847"/>
      <c r="O7" s="2872"/>
      <c r="P7" s="2872"/>
      <c r="Q7" s="2873">
        <v>365</v>
      </c>
      <c r="R7" s="2874">
        <f>ROUND(M7*N7*O7*P7*Q7/10000,0)</f>
        <v>0</v>
      </c>
      <c r="S7" s="2828"/>
      <c r="T7" s="2828" t="s">
        <v>2345</v>
      </c>
      <c r="U7" s="2828"/>
      <c r="V7" s="2836"/>
    </row>
    <row r="8" spans="1:22" s="2840" customFormat="1" ht="13.2" customHeight="1">
      <c r="A8" s="2875" t="s">
        <v>2346</v>
      </c>
      <c r="B8" s="3660" t="s">
        <v>2347</v>
      </c>
      <c r="C8" s="3661"/>
      <c r="D8" s="2876" t="s">
        <v>2348</v>
      </c>
      <c r="E8" s="2877" t="s">
        <v>2349</v>
      </c>
      <c r="F8" s="2878" t="s">
        <v>2350</v>
      </c>
      <c r="G8" s="2879"/>
      <c r="H8" s="2835"/>
      <c r="I8" s="2836"/>
      <c r="J8" s="3643"/>
      <c r="K8" s="3645"/>
      <c r="L8" s="2870" t="s">
        <v>2351</v>
      </c>
      <c r="M8" s="2871"/>
      <c r="N8" s="2847"/>
      <c r="O8" s="2872"/>
      <c r="P8" s="2872"/>
      <c r="Q8" s="2873">
        <v>365</v>
      </c>
      <c r="R8" s="2874">
        <f t="shared" ref="R8:R13" si="0">ROUND(M8*N8*O8*P8*Q8/10000,0)</f>
        <v>0</v>
      </c>
      <c r="S8" s="2828"/>
      <c r="T8" s="2828" t="s">
        <v>2352</v>
      </c>
      <c r="U8" s="2828"/>
      <c r="V8" s="2836"/>
    </row>
    <row r="9" spans="1:22" s="2840" customFormat="1" ht="13.2" customHeight="1">
      <c r="A9" s="2875">
        <v>1</v>
      </c>
      <c r="B9" s="3660" t="s">
        <v>2353</v>
      </c>
      <c r="C9" s="3661"/>
      <c r="D9" s="2876">
        <f>ROUND(D6*E9,0)</f>
        <v>0</v>
      </c>
      <c r="E9" s="2880"/>
      <c r="F9" s="2881" t="s">
        <v>2354</v>
      </c>
      <c r="G9" s="2860"/>
      <c r="H9" s="2835"/>
      <c r="I9" s="2836"/>
      <c r="J9" s="3643"/>
      <c r="K9" s="3645"/>
      <c r="L9" s="2870" t="s">
        <v>2355</v>
      </c>
      <c r="M9" s="2871"/>
      <c r="N9" s="2847"/>
      <c r="O9" s="2872"/>
      <c r="P9" s="2872"/>
      <c r="Q9" s="2873">
        <v>365</v>
      </c>
      <c r="R9" s="2874">
        <f t="shared" si="0"/>
        <v>0</v>
      </c>
      <c r="S9" s="2828"/>
      <c r="T9" s="2828"/>
      <c r="U9" s="2828"/>
      <c r="V9" s="2836"/>
    </row>
    <row r="10" spans="1:22" s="2840" customFormat="1" ht="13.2" customHeight="1">
      <c r="A10" s="2875">
        <v>2</v>
      </c>
      <c r="B10" s="3660" t="s">
        <v>2356</v>
      </c>
      <c r="C10" s="3661"/>
      <c r="D10" s="2876">
        <f>ROUND(D6*E10,0)</f>
        <v>0</v>
      </c>
      <c r="E10" s="2880"/>
      <c r="F10" s="2881" t="s">
        <v>2357</v>
      </c>
      <c r="G10" s="2860"/>
      <c r="H10" s="2835"/>
      <c r="I10" s="2836"/>
      <c r="J10" s="3643"/>
      <c r="K10" s="3645"/>
      <c r="L10" s="2870" t="s">
        <v>2358</v>
      </c>
      <c r="M10" s="2871"/>
      <c r="N10" s="2847"/>
      <c r="O10" s="2872"/>
      <c r="P10" s="2872"/>
      <c r="Q10" s="2873">
        <v>365</v>
      </c>
      <c r="R10" s="2874">
        <f t="shared" si="0"/>
        <v>0</v>
      </c>
      <c r="S10" s="2828"/>
      <c r="T10" s="2828"/>
      <c r="U10" s="2828"/>
      <c r="V10" s="2836"/>
    </row>
    <row r="11" spans="1:22" s="2840" customFormat="1" ht="13.2" customHeight="1">
      <c r="A11" s="2875">
        <v>3</v>
      </c>
      <c r="B11" s="3660" t="s">
        <v>2359</v>
      </c>
      <c r="C11" s="3661"/>
      <c r="D11" s="2876">
        <f>D12+D14+D15+D16</f>
        <v>0</v>
      </c>
      <c r="E11" s="2882" t="e">
        <f>D11/D6</f>
        <v>#DIV/0!</v>
      </c>
      <c r="F11" s="2878"/>
      <c r="G11" s="2879"/>
      <c r="H11" s="2835"/>
      <c r="I11" s="2836"/>
      <c r="J11" s="3643"/>
      <c r="K11" s="3645"/>
      <c r="L11" s="2870" t="s">
        <v>2360</v>
      </c>
      <c r="M11" s="2871"/>
      <c r="N11" s="2847"/>
      <c r="O11" s="2872"/>
      <c r="P11" s="2872"/>
      <c r="Q11" s="2873">
        <v>365</v>
      </c>
      <c r="R11" s="2874">
        <f t="shared" si="0"/>
        <v>0</v>
      </c>
      <c r="S11" s="2828"/>
      <c r="T11" s="2828"/>
      <c r="U11" s="2828"/>
      <c r="V11" s="2836"/>
    </row>
    <row r="12" spans="1:22" s="2840" customFormat="1" ht="13.2" customHeight="1">
      <c r="A12" s="2883" t="s">
        <v>2361</v>
      </c>
      <c r="B12" s="3653" t="s">
        <v>2362</v>
      </c>
      <c r="C12" s="3654"/>
      <c r="D12" s="2884">
        <f>ROUND(D13*1.2%*(1-30%),0)</f>
        <v>0</v>
      </c>
      <c r="E12" s="2885">
        <v>1.2E-2</v>
      </c>
      <c r="F12" s="2878" t="s">
        <v>2363</v>
      </c>
      <c r="G12" s="2879"/>
      <c r="H12" s="2835"/>
      <c r="I12" s="2836"/>
      <c r="J12" s="3643"/>
      <c r="K12" s="3645"/>
      <c r="L12" s="2870" t="s">
        <v>2364</v>
      </c>
      <c r="M12" s="2871"/>
      <c r="N12" s="2847"/>
      <c r="O12" s="2872"/>
      <c r="P12" s="2872"/>
      <c r="Q12" s="2873">
        <v>365</v>
      </c>
      <c r="R12" s="2874">
        <f t="shared" si="0"/>
        <v>0</v>
      </c>
      <c r="S12" s="2828"/>
      <c r="T12" s="2828"/>
      <c r="U12" s="2828"/>
      <c r="V12" s="2836"/>
    </row>
    <row r="13" spans="1:22" s="2840" customFormat="1" ht="13.2" customHeight="1">
      <c r="A13" s="2883"/>
      <c r="B13" s="2886"/>
      <c r="C13" s="2887" t="s">
        <v>2365</v>
      </c>
      <c r="D13" s="2888"/>
      <c r="E13" s="2889"/>
      <c r="F13" s="2878"/>
      <c r="G13" s="2879"/>
      <c r="H13" s="2835"/>
      <c r="I13" s="2836"/>
      <c r="J13" s="3643"/>
      <c r="K13" s="3645"/>
      <c r="L13" s="2870" t="s">
        <v>2366</v>
      </c>
      <c r="M13" s="2871"/>
      <c r="N13" s="2847"/>
      <c r="O13" s="2872"/>
      <c r="P13" s="2872"/>
      <c r="Q13" s="2873">
        <v>365</v>
      </c>
      <c r="R13" s="2874">
        <f t="shared" si="0"/>
        <v>0</v>
      </c>
      <c r="S13" s="2828"/>
      <c r="T13" s="2828"/>
      <c r="U13" s="2828"/>
      <c r="V13" s="2836"/>
    </row>
    <row r="14" spans="1:22" s="2840" customFormat="1" ht="13.2" customHeight="1">
      <c r="A14" s="2883" t="s">
        <v>2367</v>
      </c>
      <c r="B14" s="3653" t="s">
        <v>2368</v>
      </c>
      <c r="C14" s="3654"/>
      <c r="D14" s="2884">
        <f>ROUND(E14*B5/10000,0)</f>
        <v>0</v>
      </c>
      <c r="E14" s="2873"/>
      <c r="F14" s="2878" t="s">
        <v>2369</v>
      </c>
      <c r="G14" s="2879"/>
      <c r="H14" s="2835"/>
      <c r="I14" s="2836"/>
      <c r="J14" s="3643"/>
      <c r="K14" s="3646"/>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2" customHeight="1">
      <c r="A15" s="2883" t="s">
        <v>2371</v>
      </c>
      <c r="B15" s="3653" t="s">
        <v>2372</v>
      </c>
      <c r="C15" s="3654"/>
      <c r="D15" s="2884">
        <f>ROUND(D6*E15,0)</f>
        <v>0</v>
      </c>
      <c r="E15" s="2885">
        <v>5.5E-2</v>
      </c>
      <c r="F15" s="2878" t="s">
        <v>2373</v>
      </c>
      <c r="G15" s="2860"/>
      <c r="H15" s="2835"/>
      <c r="I15" s="2836"/>
      <c r="J15" s="3643">
        <v>2</v>
      </c>
      <c r="K15" s="3644"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2" customHeight="1">
      <c r="A16" s="2883" t="s">
        <v>2380</v>
      </c>
      <c r="B16" s="3653" t="s">
        <v>2381</v>
      </c>
      <c r="C16" s="3654"/>
      <c r="D16" s="2895">
        <f>D6*E16</f>
        <v>0</v>
      </c>
      <c r="E16" s="2896"/>
      <c r="F16" s="2881" t="s">
        <v>2382</v>
      </c>
      <c r="G16" s="2860"/>
      <c r="H16" s="2835"/>
      <c r="I16" s="2836"/>
      <c r="J16" s="3643"/>
      <c r="K16" s="3645"/>
      <c r="L16" s="2870" t="s">
        <v>2383</v>
      </c>
      <c r="M16" s="2871"/>
      <c r="N16" s="2871"/>
      <c r="O16" s="2872"/>
      <c r="P16" s="2873">
        <v>365</v>
      </c>
      <c r="Q16" s="2847"/>
      <c r="R16" s="2894">
        <f>ROUND(M16*N16*O16*P16/10000,0)</f>
        <v>0</v>
      </c>
      <c r="S16" s="2828"/>
      <c r="T16" s="2828"/>
      <c r="U16" s="2828"/>
      <c r="V16" s="2836"/>
    </row>
    <row r="17" spans="1:22" s="2840" customFormat="1" ht="13.2" customHeight="1" thickBot="1">
      <c r="A17" s="2897">
        <v>4</v>
      </c>
      <c r="B17" s="3655" t="s">
        <v>2384</v>
      </c>
      <c r="C17" s="3656"/>
      <c r="D17" s="2898">
        <f>ROUND(D6*E17,0)</f>
        <v>0</v>
      </c>
      <c r="E17" s="2899"/>
      <c r="F17" s="2900" t="s">
        <v>2385</v>
      </c>
      <c r="G17" s="2860"/>
      <c r="H17" s="2835"/>
      <c r="I17" s="2836"/>
      <c r="J17" s="3643"/>
      <c r="K17" s="3645"/>
      <c r="L17" s="2870" t="s">
        <v>2386</v>
      </c>
      <c r="M17" s="2871"/>
      <c r="N17" s="2871"/>
      <c r="O17" s="2872"/>
      <c r="P17" s="2873">
        <v>365</v>
      </c>
      <c r="Q17" s="2847"/>
      <c r="R17" s="2894">
        <f>ROUND(M17*N17*O17*P17/10000,0)</f>
        <v>0</v>
      </c>
      <c r="S17" s="2828"/>
      <c r="T17" s="2828"/>
      <c r="U17" s="2828"/>
      <c r="V17" s="2836"/>
    </row>
    <row r="18" spans="1:22" s="2840" customFormat="1" ht="13.2" customHeight="1" thickBot="1">
      <c r="A18" s="2863" t="s">
        <v>2387</v>
      </c>
      <c r="B18" s="2864"/>
      <c r="C18" s="2864"/>
      <c r="D18" s="2901">
        <f>ROUND(D6*E18,0)</f>
        <v>0</v>
      </c>
      <c r="E18" s="2902"/>
      <c r="F18" s="2903" t="s">
        <v>2388</v>
      </c>
      <c r="G18" s="2860"/>
      <c r="H18" s="2835"/>
      <c r="I18" s="2836"/>
      <c r="J18" s="3643"/>
      <c r="K18" s="3645"/>
      <c r="L18" s="2870" t="s">
        <v>2389</v>
      </c>
      <c r="M18" s="2871"/>
      <c r="N18" s="2871"/>
      <c r="O18" s="2872"/>
      <c r="P18" s="2873">
        <v>365</v>
      </c>
      <c r="Q18" s="2847"/>
      <c r="R18" s="2894">
        <f>ROUND(M18*N18*O18*P18/10000,0)</f>
        <v>0</v>
      </c>
      <c r="S18" s="2828"/>
      <c r="T18" s="2828"/>
      <c r="U18" s="2828"/>
      <c r="V18" s="2836"/>
    </row>
    <row r="19" spans="1:22" s="2840" customFormat="1" ht="13.2" customHeight="1" thickBot="1">
      <c r="A19" s="2904" t="s">
        <v>2390</v>
      </c>
      <c r="B19" s="2858"/>
      <c r="C19" s="2858"/>
      <c r="D19" s="2858"/>
      <c r="E19" s="2858"/>
      <c r="F19" s="2859"/>
      <c r="G19" s="2879"/>
      <c r="H19" s="2835"/>
      <c r="I19" s="2836"/>
      <c r="J19" s="3643"/>
      <c r="K19" s="3646"/>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2" customHeight="1">
      <c r="A20" s="2863"/>
      <c r="B20" s="2864"/>
      <c r="C20" s="2864"/>
      <c r="D20" s="2864"/>
      <c r="E20" s="2864"/>
      <c r="F20" s="2907"/>
      <c r="G20" s="2879"/>
      <c r="H20" s="2835"/>
      <c r="I20" s="2836"/>
      <c r="J20" s="3643">
        <v>3</v>
      </c>
      <c r="K20" s="3644"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2" customHeight="1">
      <c r="A21" s="2863"/>
      <c r="B21" s="2864"/>
      <c r="C21" s="2910" t="s">
        <v>2399</v>
      </c>
      <c r="D21" s="2911" t="s">
        <v>2400</v>
      </c>
      <c r="E21" s="2912" t="s">
        <v>2401</v>
      </c>
      <c r="F21" s="2907"/>
      <c r="G21" s="2879"/>
      <c r="H21" s="2835"/>
      <c r="I21" s="2836"/>
      <c r="J21" s="3643"/>
      <c r="K21" s="3645"/>
      <c r="L21" s="2870" t="s">
        <v>2402</v>
      </c>
      <c r="M21" s="2871"/>
      <c r="N21" s="2871"/>
      <c r="O21" s="2872"/>
      <c r="P21" s="2873">
        <v>365</v>
      </c>
      <c r="Q21" s="2847"/>
      <c r="R21" s="2913">
        <f>ROUND(M21*N21*O21*P21/10000,0)</f>
        <v>0</v>
      </c>
      <c r="S21" s="2909"/>
      <c r="T21" s="2909"/>
      <c r="U21" s="2909"/>
      <c r="V21" s="2836"/>
    </row>
    <row r="22" spans="1:22" s="2840" customFormat="1" ht="13.2" customHeight="1">
      <c r="A22" s="2863"/>
      <c r="B22" s="2864"/>
      <c r="C22" s="2914" t="s">
        <v>2403</v>
      </c>
      <c r="D22" s="2915" t="s">
        <v>2404</v>
      </c>
      <c r="E22" s="2916" t="s">
        <v>2405</v>
      </c>
      <c r="F22" s="2907"/>
      <c r="G22" s="2917"/>
      <c r="H22" s="2835"/>
      <c r="I22" s="2836"/>
      <c r="J22" s="3643"/>
      <c r="K22" s="3645"/>
      <c r="L22" s="2870" t="s">
        <v>2406</v>
      </c>
      <c r="M22" s="2871"/>
      <c r="N22" s="2871"/>
      <c r="O22" s="2872"/>
      <c r="P22" s="2873">
        <v>365</v>
      </c>
      <c r="Q22" s="2847"/>
      <c r="R22" s="2913">
        <f>ROUND(M22*N22*O22*P22/10000,0)</f>
        <v>0</v>
      </c>
      <c r="S22" s="2909"/>
      <c r="T22" s="2909"/>
      <c r="U22" s="2909"/>
      <c r="V22" s="2836"/>
    </row>
    <row r="23" spans="1:22" s="2840" customFormat="1" ht="13.2" customHeight="1">
      <c r="A23" s="2918">
        <v>1</v>
      </c>
      <c r="B23" s="2919" t="s">
        <v>2407</v>
      </c>
      <c r="C23" s="2920">
        <f>D6</f>
        <v>0</v>
      </c>
      <c r="D23" s="2921">
        <f>C23*(1+D24)</f>
        <v>0</v>
      </c>
      <c r="E23" s="2922">
        <f>D23*(1+E24)</f>
        <v>0</v>
      </c>
      <c r="F23" s="2923"/>
      <c r="G23" s="2924"/>
      <c r="H23" s="2835"/>
      <c r="I23" s="2836"/>
      <c r="J23" s="3643"/>
      <c r="K23" s="3645"/>
      <c r="L23" s="2870" t="s">
        <v>2408</v>
      </c>
      <c r="M23" s="2871"/>
      <c r="N23" s="2871"/>
      <c r="O23" s="2872"/>
      <c r="P23" s="2873">
        <v>365</v>
      </c>
      <c r="Q23" s="2847"/>
      <c r="R23" s="2913">
        <f>ROUND(M23*N23*O23*P23/10000,0)</f>
        <v>0</v>
      </c>
      <c r="S23" s="2828"/>
      <c r="T23" s="2828"/>
      <c r="U23" s="2828"/>
      <c r="V23" s="2836"/>
    </row>
    <row r="24" spans="1:22" s="2840" customFormat="1" ht="13.2" customHeight="1">
      <c r="A24" s="2925"/>
      <c r="B24" s="2926" t="s">
        <v>2409</v>
      </c>
      <c r="C24" s="2927"/>
      <c r="D24" s="2928"/>
      <c r="E24" s="2929"/>
      <c r="F24" s="2930"/>
      <c r="G24" s="2924"/>
      <c r="H24" s="2835"/>
      <c r="I24" s="2836"/>
      <c r="J24" s="3643"/>
      <c r="K24" s="3646"/>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2"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2" customHeight="1">
      <c r="A26" s="2918">
        <v>2</v>
      </c>
      <c r="B26" s="2919" t="s">
        <v>2411</v>
      </c>
      <c r="C26" s="2920">
        <f>D7</f>
        <v>0</v>
      </c>
      <c r="D26" s="2921">
        <f>D23*D27</f>
        <v>0</v>
      </c>
      <c r="E26" s="2922">
        <f>E23*E27</f>
        <v>0</v>
      </c>
      <c r="F26" s="2923"/>
      <c r="G26" s="2924"/>
      <c r="H26" s="2835"/>
      <c r="I26" s="2836"/>
      <c r="J26" s="3647">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2" customHeight="1">
      <c r="A27" s="2925"/>
      <c r="B27" s="2926" t="s">
        <v>2417</v>
      </c>
      <c r="C27" s="2944" t="e">
        <f>E7</f>
        <v>#DIV/0!</v>
      </c>
      <c r="D27" s="2928"/>
      <c r="E27" s="2929"/>
      <c r="F27" s="2930"/>
      <c r="G27" s="2924"/>
      <c r="H27" s="2945"/>
      <c r="I27" s="2936"/>
      <c r="J27" s="3648"/>
      <c r="K27" s="2946"/>
      <c r="L27" s="2947"/>
      <c r="M27" s="2948"/>
      <c r="N27" s="2949"/>
      <c r="O27" s="2949"/>
      <c r="P27" s="2949"/>
      <c r="Q27" s="2950"/>
      <c r="R27" s="2906">
        <f>ROUND(O27*N27*P27*(1-Q27)/10000,0)</f>
        <v>0</v>
      </c>
      <c r="S27" s="2828"/>
      <c r="T27" s="2828"/>
      <c r="U27" s="2828"/>
      <c r="V27" s="2836"/>
    </row>
    <row r="28" spans="1:22" s="2937" customFormat="1" ht="13.2"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2"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2"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2"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2" customHeight="1">
      <c r="A32" s="2918">
        <v>4</v>
      </c>
      <c r="B32" s="2919" t="s">
        <v>2425</v>
      </c>
      <c r="C32" s="2920">
        <f>C23-C26-C29</f>
        <v>0</v>
      </c>
      <c r="D32" s="2921">
        <f>D23-D26-D29</f>
        <v>0</v>
      </c>
      <c r="E32" s="2922">
        <f>E23-E26-E29</f>
        <v>0</v>
      </c>
      <c r="F32" s="2923"/>
      <c r="G32" s="2917"/>
      <c r="H32" s="2835"/>
      <c r="I32" s="2836"/>
      <c r="J32" s="3649" t="s">
        <v>2317</v>
      </c>
      <c r="K32" s="3650"/>
      <c r="L32" s="2837" t="s">
        <v>2318</v>
      </c>
      <c r="M32" s="2837" t="s">
        <v>2319</v>
      </c>
      <c r="N32" s="2837" t="s">
        <v>2320</v>
      </c>
      <c r="O32" s="2837" t="s">
        <v>2321</v>
      </c>
      <c r="P32" s="2837" t="s">
        <v>2322</v>
      </c>
      <c r="Q32" s="2838" t="s">
        <v>2323</v>
      </c>
      <c r="R32" s="2960" t="s">
        <v>2324</v>
      </c>
      <c r="S32" s="2909"/>
      <c r="T32" s="2828"/>
      <c r="U32" s="2828"/>
      <c r="V32" s="2936"/>
    </row>
    <row r="33" spans="1:23" s="2840" customFormat="1" ht="13.2" customHeight="1">
      <c r="A33" s="2918"/>
      <c r="B33" s="2919"/>
      <c r="C33" s="2920"/>
      <c r="D33" s="2961"/>
      <c r="E33" s="2962"/>
      <c r="F33" s="2923"/>
      <c r="G33" s="2917"/>
      <c r="H33" s="2945"/>
      <c r="I33" s="2936"/>
      <c r="J33" s="3651" t="s">
        <v>2327</v>
      </c>
      <c r="K33" s="3652"/>
      <c r="L33" s="2843"/>
      <c r="M33" s="2843"/>
      <c r="N33" s="2843"/>
      <c r="O33" s="2843"/>
      <c r="P33" s="2843"/>
      <c r="Q33" s="2844"/>
      <c r="R33" s="2963">
        <f>SUM(L33:Q33)</f>
        <v>0</v>
      </c>
      <c r="S33" s="2909"/>
      <c r="T33" s="2828"/>
      <c r="U33" s="2828"/>
      <c r="V33" s="2836"/>
    </row>
    <row r="34" spans="1:23" s="2840" customFormat="1" ht="13.2" customHeight="1">
      <c r="A34" s="2918">
        <v>5</v>
      </c>
      <c r="B34" s="2919" t="s">
        <v>2426</v>
      </c>
      <c r="C34" s="2964"/>
      <c r="D34" s="2965"/>
      <c r="E34" s="2966"/>
      <c r="F34" s="2923"/>
      <c r="G34" s="2917"/>
      <c r="H34" s="2945"/>
      <c r="I34" s="2936"/>
      <c r="J34" s="3651" t="s">
        <v>2329</v>
      </c>
      <c r="K34" s="3652"/>
      <c r="L34" s="2848"/>
      <c r="M34" s="2848"/>
      <c r="N34" s="2848"/>
      <c r="O34" s="2848"/>
      <c r="P34" s="2848"/>
      <c r="Q34" s="2849"/>
      <c r="R34" s="2967">
        <f>SUM(L34:Q34)</f>
        <v>0</v>
      </c>
      <c r="S34" s="2909"/>
      <c r="T34" s="2828"/>
      <c r="U34" s="2828" t="e">
        <f>ROUND(R35*10000/365/R33,1)</f>
        <v>#DIV/0!</v>
      </c>
      <c r="V34" s="2836"/>
    </row>
    <row r="35" spans="1:23" s="2840" customFormat="1" ht="13.2"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2" customHeight="1" thickBot="1">
      <c r="A36" s="2918">
        <v>7</v>
      </c>
      <c r="B36" s="2973" t="s">
        <v>2428</v>
      </c>
      <c r="C36" s="2974"/>
      <c r="D36" s="2975"/>
      <c r="E36" s="2976"/>
      <c r="F36" s="2977">
        <f>C36+D36+E36</f>
        <v>0</v>
      </c>
      <c r="G36" s="2917"/>
      <c r="H36" s="2835"/>
      <c r="I36" s="2836"/>
      <c r="J36" s="3643">
        <v>1</v>
      </c>
      <c r="K36" s="3644" t="s">
        <v>2429</v>
      </c>
      <c r="L36" s="2861"/>
      <c r="M36" s="2862"/>
      <c r="N36" s="2862"/>
      <c r="O36" s="2862"/>
      <c r="P36" s="2862"/>
      <c r="Q36" s="2862"/>
      <c r="R36" s="2845" t="s">
        <v>2341</v>
      </c>
      <c r="S36" s="2909"/>
      <c r="T36" s="2828" t="s">
        <v>2342</v>
      </c>
      <c r="U36" s="2828"/>
      <c r="V36" s="2836"/>
    </row>
    <row r="37" spans="1:23" s="2840" customFormat="1" ht="13.2" customHeight="1">
      <c r="A37" s="2918"/>
      <c r="B37" s="2919"/>
      <c r="C37" s="2919"/>
      <c r="D37" s="2919"/>
      <c r="E37" s="2919"/>
      <c r="F37" s="2923"/>
      <c r="G37" s="2917"/>
      <c r="H37" s="2835"/>
      <c r="I37" s="2836"/>
      <c r="J37" s="3643"/>
      <c r="K37" s="3645"/>
      <c r="L37" s="2870"/>
      <c r="M37" s="2871"/>
      <c r="N37" s="2847"/>
      <c r="O37" s="2872"/>
      <c r="P37" s="2872"/>
      <c r="Q37" s="2873"/>
      <c r="R37" s="2874"/>
      <c r="S37" s="2909"/>
      <c r="T37" s="2828" t="s">
        <v>2345</v>
      </c>
      <c r="U37" s="2828"/>
      <c r="V37" s="2836"/>
    </row>
    <row r="38" spans="1:23" s="2840" customFormat="1" ht="13.2" customHeight="1">
      <c r="A38" s="2918">
        <v>8</v>
      </c>
      <c r="B38" s="2919"/>
      <c r="C38" s="2876" t="e">
        <f>ROUND(C32*(1-((1+C35)/(1+C34))^C36)/(C34-C35),0)</f>
        <v>#DIV/0!</v>
      </c>
      <c r="D38" s="2876">
        <f>IF(D23=0,0,ROUND(D32*(1-((1+D35)/(1+D34))^D36)/(D34-D35),0))</f>
        <v>0</v>
      </c>
      <c r="E38" s="2876">
        <f>IF(E23=0,0,ROUND(E32*(1-((1+E35)/(1+E34))^E36)/(E34-E35),0))</f>
        <v>0</v>
      </c>
      <c r="F38" s="2923"/>
      <c r="G38" s="2917"/>
      <c r="H38" s="2835"/>
      <c r="I38" s="2836"/>
      <c r="J38" s="3643"/>
      <c r="K38" s="3645"/>
      <c r="L38" s="2870"/>
      <c r="M38" s="2871"/>
      <c r="N38" s="2847"/>
      <c r="O38" s="2872"/>
      <c r="P38" s="2872"/>
      <c r="Q38" s="2873"/>
      <c r="R38" s="2874"/>
      <c r="S38" s="2909"/>
      <c r="T38" s="2828" t="s">
        <v>2352</v>
      </c>
      <c r="U38" s="2828"/>
      <c r="V38" s="2836"/>
    </row>
    <row r="39" spans="1:23" s="2840" customFormat="1" ht="13.2" customHeight="1">
      <c r="A39" s="2918">
        <v>9</v>
      </c>
      <c r="B39" s="2919" t="s">
        <v>2430</v>
      </c>
      <c r="C39" s="2884" t="e">
        <f>C38</f>
        <v>#DIV/0!</v>
      </c>
      <c r="D39" s="2919">
        <f>D38/(1+D34)^C36</f>
        <v>0</v>
      </c>
      <c r="E39" s="2919">
        <f>E38/(1+E34)^(C36+D36)</f>
        <v>0</v>
      </c>
      <c r="F39" s="2923"/>
      <c r="G39" s="2978"/>
      <c r="H39" s="2835"/>
      <c r="I39" s="2836"/>
      <c r="J39" s="3643"/>
      <c r="K39" s="3645"/>
      <c r="L39" s="2870"/>
      <c r="M39" s="2871"/>
      <c r="N39" s="2847"/>
      <c r="O39" s="2872"/>
      <c r="P39" s="2872"/>
      <c r="Q39" s="2873"/>
      <c r="R39" s="2874"/>
      <c r="S39" s="2909"/>
      <c r="T39" s="2828"/>
      <c r="U39" s="2828"/>
      <c r="V39" s="2836"/>
    </row>
    <row r="40" spans="1:23" s="2840" customFormat="1" ht="13.2" customHeight="1">
      <c r="A40" s="2979">
        <v>10</v>
      </c>
      <c r="B40" s="2919" t="s">
        <v>2431</v>
      </c>
      <c r="C40" s="2980" t="e">
        <f>C39+D39+E39</f>
        <v>#DIV/0!</v>
      </c>
      <c r="D40" s="2981"/>
      <c r="E40" s="2981"/>
      <c r="F40" s="2982"/>
      <c r="G40" s="2917"/>
      <c r="H40" s="2835"/>
      <c r="I40" s="2836"/>
      <c r="J40" s="3643"/>
      <c r="K40" s="3646"/>
      <c r="L40" s="2890" t="s">
        <v>2370</v>
      </c>
      <c r="M40" s="2891"/>
      <c r="N40" s="2891"/>
      <c r="O40" s="2892"/>
      <c r="P40" s="2892"/>
      <c r="Q40" s="2893"/>
      <c r="R40" s="2839">
        <f>SUM(R37:R39)</f>
        <v>0</v>
      </c>
      <c r="S40" s="2909"/>
      <c r="T40" s="2828"/>
      <c r="U40" s="2828"/>
      <c r="V40" s="2836"/>
    </row>
    <row r="41" spans="1:23" s="2840" customFormat="1" ht="13.2"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2" customHeight="1">
      <c r="G42" s="2987"/>
      <c r="H42" s="2835"/>
      <c r="I42" s="2836"/>
      <c r="J42" s="3647">
        <v>3</v>
      </c>
      <c r="K42" s="2938" t="s">
        <v>2412</v>
      </c>
      <c r="L42" s="2939"/>
      <c r="M42" s="2940"/>
      <c r="N42" s="2941" t="s">
        <v>2413</v>
      </c>
      <c r="O42" s="2941" t="s">
        <v>2414</v>
      </c>
      <c r="P42" s="2942" t="s">
        <v>2415</v>
      </c>
      <c r="Q42" s="2942" t="s">
        <v>2416</v>
      </c>
      <c r="R42" s="2845" t="s">
        <v>2341</v>
      </c>
      <c r="S42" s="2943"/>
      <c r="T42" s="2943"/>
      <c r="U42" s="2828"/>
      <c r="V42" s="2836"/>
    </row>
    <row r="43" spans="1:23" ht="13.2" customHeight="1">
      <c r="A43" s="2840"/>
      <c r="B43" s="2840"/>
      <c r="C43" s="2840"/>
      <c r="D43" s="2840"/>
      <c r="E43" s="2840"/>
      <c r="F43" s="2840"/>
      <c r="I43" s="2823"/>
      <c r="J43" s="3648"/>
      <c r="K43" s="2946"/>
      <c r="L43" s="2947"/>
      <c r="M43" s="2948"/>
      <c r="N43" s="2871"/>
      <c r="O43" s="2871"/>
      <c r="P43" s="2871"/>
      <c r="Q43" s="2935"/>
      <c r="R43" s="2906">
        <f>ROUND(O43*N43*P43*(1-Q43)/10000,0)</f>
        <v>0</v>
      </c>
      <c r="S43" s="2909"/>
      <c r="T43" s="2828"/>
      <c r="V43" s="2989"/>
      <c r="W43" s="2990"/>
    </row>
    <row r="44" spans="1:23" ht="13.2"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694"/>
      <c r="G1" s="1488"/>
      <c r="H1" s="1488"/>
      <c r="I1" s="1488"/>
      <c r="J1" s="1488"/>
      <c r="K1" s="1488"/>
      <c r="L1" s="1488"/>
      <c r="M1" s="1488"/>
      <c r="N1" s="1488"/>
      <c r="O1" s="1488"/>
      <c r="P1" s="1488"/>
      <c r="Q1" s="1488"/>
      <c r="R1" s="1488"/>
      <c r="S1" s="1488"/>
    </row>
    <row r="2" spans="1:22" ht="15.6">
      <c r="A2" s="1869" t="s">
        <v>1462</v>
      </c>
      <c r="B2" s="1870">
        <f ca="1">SUMIF(B6:B13,"&lt;&gt;#ref!",B6:B13)</f>
        <v>356.9699</v>
      </c>
      <c r="C2" s="1871" t="s">
        <v>1651</v>
      </c>
      <c r="D2" s="1872" t="s">
        <v>1652</v>
      </c>
      <c r="E2" s="2596">
        <f>SUM(E6:E13)</f>
        <v>55.9</v>
      </c>
      <c r="F2" s="2694"/>
      <c r="G2" s="1488"/>
      <c r="H2" s="1488"/>
      <c r="I2" s="1488"/>
      <c r="J2" s="1488"/>
      <c r="K2" s="1488"/>
      <c r="L2" s="1488"/>
      <c r="M2" s="1488"/>
      <c r="N2" s="1488"/>
      <c r="O2" s="1488"/>
      <c r="P2" s="1488"/>
      <c r="Q2" s="1488"/>
      <c r="R2" s="1488"/>
      <c r="S2" s="1488"/>
    </row>
    <row r="3" spans="1:22" ht="15.6">
      <c r="A3" s="1869" t="s">
        <v>686</v>
      </c>
      <c r="B3" s="2590">
        <f ca="1">ROUND(B2*10000/E2,0)</f>
        <v>63859</v>
      </c>
      <c r="C3" s="1871" t="s">
        <v>1659</v>
      </c>
      <c r="D3" s="2696"/>
      <c r="E3" s="2698"/>
      <c r="F3" s="2694"/>
      <c r="G3" s="1488"/>
      <c r="H3" s="1488"/>
      <c r="I3" s="1488"/>
      <c r="J3" s="1488"/>
      <c r="K3" s="1488"/>
      <c r="L3" s="1488"/>
      <c r="M3" s="1488"/>
      <c r="N3" s="1488"/>
      <c r="O3" s="1488"/>
      <c r="P3" s="1488"/>
      <c r="Q3" s="1488"/>
      <c r="R3" s="1488"/>
      <c r="S3" s="1488"/>
    </row>
    <row r="4" spans="1:22" ht="15.6">
      <c r="A4" s="2699"/>
      <c r="B4" s="2696"/>
      <c r="C4" s="2696"/>
      <c r="D4" s="2696"/>
      <c r="E4" s="2698"/>
      <c r="F4" s="2694"/>
      <c r="G4" s="1488"/>
      <c r="H4" s="1488"/>
      <c r="I4" s="1488"/>
      <c r="J4" s="1488"/>
      <c r="K4" s="1488"/>
      <c r="L4" s="1488"/>
      <c r="M4" s="1488"/>
      <c r="N4" s="1488"/>
      <c r="O4" s="1488"/>
      <c r="P4" s="1488"/>
      <c r="Q4" s="1488"/>
      <c r="R4" s="1488"/>
      <c r="S4" s="1488"/>
    </row>
    <row r="5" spans="1:22" ht="14.4">
      <c r="A5" s="2592" t="s">
        <v>1653</v>
      </c>
      <c r="B5" s="3662" t="s">
        <v>1654</v>
      </c>
      <c r="C5" s="3663"/>
      <c r="D5" s="2695"/>
      <c r="E5" s="1873" t="s">
        <v>1655</v>
      </c>
      <c r="F5" s="1874" t="s">
        <v>1656</v>
      </c>
      <c r="G5" s="1488"/>
      <c r="H5" s="1488"/>
      <c r="I5" s="1488"/>
      <c r="J5" s="1488"/>
      <c r="K5" s="1488"/>
      <c r="L5" s="1488"/>
      <c r="M5" s="1488"/>
      <c r="N5" s="1488"/>
      <c r="O5" s="1488"/>
      <c r="P5" s="1488"/>
      <c r="Q5" s="1488"/>
      <c r="R5" s="1488"/>
      <c r="S5" s="1488"/>
    </row>
    <row r="6" spans="1:22" ht="14.4">
      <c r="A6" s="2593" t="str">
        <f>'数据-取费表'!AN6</f>
        <v>收益法 (元)</v>
      </c>
      <c r="B6" s="2591">
        <f ca="1">IF(F6="是",'数据-取费表'!AO6,0)</f>
        <v>356.9699</v>
      </c>
      <c r="C6" s="1871" t="s">
        <v>1651</v>
      </c>
      <c r="D6" s="2696"/>
      <c r="E6" s="2595">
        <f>IF(OR(A6=0,F6="否"),0,'数据-取费表'!K6+'数据-取费表'!S6)</f>
        <v>55.9</v>
      </c>
      <c r="F6" s="1875" t="s">
        <v>1657</v>
      </c>
      <c r="G6" s="1488"/>
      <c r="H6" s="1488"/>
      <c r="I6" s="1488"/>
      <c r="J6" s="1488"/>
      <c r="K6" s="1488"/>
      <c r="L6" s="1488"/>
      <c r="M6" s="1488"/>
      <c r="N6" s="1488"/>
      <c r="O6" s="1488"/>
      <c r="P6" s="1488"/>
      <c r="Q6" s="1488"/>
      <c r="R6" s="1488"/>
      <c r="S6" s="1488"/>
    </row>
    <row r="7" spans="1:22" ht="14.4">
      <c r="A7" s="2593">
        <f>'数据-取费表'!AN7</f>
        <v>0</v>
      </c>
      <c r="B7" s="2591" t="e">
        <f ca="1">IF(F7="是",'数据-取费表'!AO7,0)</f>
        <v>#REF!</v>
      </c>
      <c r="C7" s="1871" t="s">
        <v>1651</v>
      </c>
      <c r="D7" s="2696"/>
      <c r="E7" s="2595">
        <f>IF(OR(A7=0,F7="否"),0,'数据-取费表'!K7+'数据-取费表'!S7)</f>
        <v>0</v>
      </c>
      <c r="F7" s="1875" t="s">
        <v>1657</v>
      </c>
      <c r="G7" s="1488"/>
      <c r="H7" s="1488"/>
      <c r="I7" s="1488"/>
      <c r="J7" s="1488"/>
      <c r="K7" s="1488"/>
      <c r="L7" s="1488"/>
      <c r="M7" s="1488"/>
      <c r="N7" s="1488"/>
      <c r="O7" s="1488"/>
      <c r="P7" s="1488"/>
      <c r="Q7" s="1488"/>
      <c r="R7" s="1488"/>
      <c r="S7" s="1488"/>
    </row>
    <row r="8" spans="1:22" ht="14.4">
      <c r="A8" s="2593">
        <f>'数据-取费表'!AN8</f>
        <v>0</v>
      </c>
      <c r="B8" s="2591" t="e">
        <f ca="1">IF(F8="是",'数据-取费表'!AO8,0)</f>
        <v>#REF!</v>
      </c>
      <c r="C8" s="1871" t="s">
        <v>1651</v>
      </c>
      <c r="D8" s="2696"/>
      <c r="E8" s="2595">
        <f>IF(OR(A8=0,F8="否"),0,'数据-取费表'!K8+'数据-取费表'!S8)</f>
        <v>0</v>
      </c>
      <c r="F8" s="1875" t="s">
        <v>1657</v>
      </c>
      <c r="G8" s="1488"/>
      <c r="H8" s="1488"/>
      <c r="I8" s="1488"/>
      <c r="J8" s="1488"/>
      <c r="K8" s="1488"/>
      <c r="L8" s="1488"/>
      <c r="M8" s="1488"/>
      <c r="N8" s="1488"/>
      <c r="O8" s="1488"/>
      <c r="P8" s="1488"/>
      <c r="Q8" s="1488"/>
      <c r="R8" s="1488"/>
      <c r="S8" s="1488"/>
    </row>
    <row r="9" spans="1:22" ht="14.4">
      <c r="A9" s="2593">
        <f>'数据-取费表'!AN9</f>
        <v>0</v>
      </c>
      <c r="B9" s="2591" t="e">
        <f ca="1">IF(F9="是",'数据-取费表'!AO9,0)</f>
        <v>#REF!</v>
      </c>
      <c r="C9" s="1871" t="s">
        <v>1651</v>
      </c>
      <c r="D9" s="2696"/>
      <c r="E9" s="2595">
        <f>IF(OR(A9=0,F9="否"),0,'数据-取费表'!K9+'数据-取费表'!S9)</f>
        <v>0</v>
      </c>
      <c r="F9" s="1875" t="s">
        <v>1657</v>
      </c>
      <c r="G9" s="1488"/>
      <c r="H9" s="1488"/>
      <c r="I9" s="1488"/>
      <c r="J9" s="1488"/>
      <c r="K9" s="1488"/>
      <c r="L9" s="1488"/>
      <c r="M9" s="1488"/>
      <c r="N9" s="1488"/>
      <c r="O9" s="1488"/>
      <c r="P9" s="1488"/>
      <c r="Q9" s="1488"/>
      <c r="R9" s="1488"/>
      <c r="S9" s="1488"/>
    </row>
    <row r="10" spans="1:22" ht="14.4">
      <c r="A10" s="2593">
        <f>'数据-取费表'!AN10</f>
        <v>0</v>
      </c>
      <c r="B10" s="2591" t="e">
        <f ca="1">IF(F10="是",'数据-取费表'!AO10,0)</f>
        <v>#REF!</v>
      </c>
      <c r="C10" s="1871" t="s">
        <v>1651</v>
      </c>
      <c r="D10" s="2696"/>
      <c r="E10" s="259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593">
        <f>'数据-取费表'!AN11</f>
        <v>0</v>
      </c>
      <c r="B11" s="2591" t="e">
        <f ca="1">IF(F11="是",'数据-取费表'!AO11,0)</f>
        <v>#REF!</v>
      </c>
      <c r="C11" s="1871" t="s">
        <v>1651</v>
      </c>
      <c r="D11" s="2696"/>
      <c r="E11" s="259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593">
        <f>'数据-取费表'!AN12</f>
        <v>0</v>
      </c>
      <c r="B12" s="2591" t="e">
        <f ca="1">IF(F12="是",'数据-取费表'!AO12,0)</f>
        <v>#REF!</v>
      </c>
      <c r="C12" s="1871" t="s">
        <v>1651</v>
      </c>
      <c r="D12" s="2696"/>
      <c r="E12" s="259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4">
        <f>'数据-取费表'!AN13</f>
        <v>0</v>
      </c>
      <c r="B13" s="2591" t="e">
        <f ca="1">IF(F13="是",'数据-取费表'!AO13,0)</f>
        <v>#REF!</v>
      </c>
      <c r="C13" s="1876" t="s">
        <v>1651</v>
      </c>
      <c r="D13" s="2697"/>
      <c r="E13" s="259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B7" sqref="B7"/>
    </sheetView>
  </sheetViews>
  <sheetFormatPr defaultColWidth="13.33203125" defaultRowHeight="15.6"/>
  <cols>
    <col min="1" max="1" width="17.6640625" style="3444" customWidth="1"/>
    <col min="2" max="16384" width="13.33203125" style="3444"/>
  </cols>
  <sheetData>
    <row r="1" spans="1:14">
      <c r="A1" s="3664" t="s">
        <v>3388</v>
      </c>
      <c r="C1" s="3443">
        <v>45474.333831018521</v>
      </c>
      <c r="D1" s="3443">
        <v>45444.333831018521</v>
      </c>
      <c r="E1" s="3443">
        <v>45413.333831018521</v>
      </c>
      <c r="F1" s="3443">
        <v>45383.333831018521</v>
      </c>
      <c r="G1" s="3443">
        <v>45352.333831018521</v>
      </c>
      <c r="H1" s="3443">
        <v>45323.333831018521</v>
      </c>
      <c r="I1" s="3443">
        <v>45292.333831018521</v>
      </c>
      <c r="J1" s="3443">
        <v>45261.333831018521</v>
      </c>
      <c r="K1" s="3443">
        <v>45231.333831018521</v>
      </c>
      <c r="L1" s="3443">
        <v>45200.333831018521</v>
      </c>
      <c r="M1" s="3443">
        <v>45170.333831018521</v>
      </c>
      <c r="N1" s="3443">
        <v>45139.333831018521</v>
      </c>
    </row>
    <row r="2" spans="1:14">
      <c r="A2" s="3664"/>
      <c r="C2" s="3444" t="s">
        <v>3389</v>
      </c>
      <c r="D2" s="3444" t="s">
        <v>3389</v>
      </c>
      <c r="E2" s="3444" t="s">
        <v>3389</v>
      </c>
      <c r="F2" s="3444" t="s">
        <v>3389</v>
      </c>
      <c r="G2" s="3444" t="s">
        <v>3389</v>
      </c>
      <c r="H2" s="3444" t="s">
        <v>3389</v>
      </c>
      <c r="I2" s="3444" t="s">
        <v>3389</v>
      </c>
      <c r="J2" s="3444" t="s">
        <v>3389</v>
      </c>
      <c r="K2" s="3444" t="s">
        <v>3389</v>
      </c>
      <c r="L2" s="3444" t="s">
        <v>3389</v>
      </c>
      <c r="M2" s="3444" t="s">
        <v>3389</v>
      </c>
      <c r="N2" s="3444" t="s">
        <v>3389</v>
      </c>
    </row>
    <row r="3" spans="1:14">
      <c r="A3" s="3444" t="s">
        <v>3423</v>
      </c>
      <c r="B3" s="3444">
        <f>ROUND(AVERAGE(C3:N3),1)</f>
        <v>139</v>
      </c>
      <c r="C3" s="3444">
        <v>145.01</v>
      </c>
      <c r="D3" s="3444">
        <v>156.86000000000001</v>
      </c>
      <c r="E3" s="3444">
        <v>147.81</v>
      </c>
      <c r="F3" s="3444">
        <v>136.97999999999999</v>
      </c>
      <c r="G3" s="3444">
        <v>132.96</v>
      </c>
      <c r="H3" s="3444">
        <v>131.66</v>
      </c>
      <c r="I3" s="3444">
        <v>129.28</v>
      </c>
      <c r="J3" s="3444">
        <v>132.63999999999999</v>
      </c>
      <c r="K3" s="3444">
        <v>135.13</v>
      </c>
      <c r="L3" s="3444">
        <v>136.80000000000001</v>
      </c>
      <c r="M3" s="3444">
        <v>141.26</v>
      </c>
      <c r="N3" s="3444">
        <v>141.18</v>
      </c>
    </row>
    <row r="4" spans="1:14">
      <c r="A4" s="3444" t="s">
        <v>3424</v>
      </c>
      <c r="B4" s="3444">
        <f t="shared" ref="B4:B8" si="0">ROUND(AVERAGE(C4:N4),1)</f>
        <v>141.9</v>
      </c>
      <c r="C4" s="3444">
        <v>144.29</v>
      </c>
      <c r="D4" s="3444">
        <v>145.47999999999999</v>
      </c>
      <c r="E4" s="3444">
        <v>146.85</v>
      </c>
      <c r="F4" s="3444">
        <v>140.31</v>
      </c>
      <c r="G4" s="3444">
        <v>137.52000000000001</v>
      </c>
      <c r="H4" s="3444">
        <v>137.97</v>
      </c>
      <c r="I4" s="3444">
        <v>143.99</v>
      </c>
      <c r="J4" s="3444">
        <v>143.66</v>
      </c>
      <c r="K4" s="3444">
        <v>141.77000000000001</v>
      </c>
      <c r="L4" s="3444">
        <v>133.75</v>
      </c>
      <c r="M4" s="3444">
        <v>142.91</v>
      </c>
      <c r="N4" s="3444">
        <v>144.44999999999999</v>
      </c>
    </row>
    <row r="5" spans="1:14">
      <c r="A5" s="3444" t="s">
        <v>3425</v>
      </c>
      <c r="B5" s="3444">
        <f t="shared" si="0"/>
        <v>119.4</v>
      </c>
      <c r="C5" s="3444">
        <v>116.4</v>
      </c>
      <c r="D5" s="3444">
        <v>116.4</v>
      </c>
      <c r="E5" s="3444">
        <v>116.4</v>
      </c>
      <c r="F5" s="3444">
        <v>118.12</v>
      </c>
      <c r="G5" s="3444">
        <v>119.77</v>
      </c>
      <c r="H5" s="3444">
        <v>119.77</v>
      </c>
      <c r="I5" s="3444">
        <v>119.77</v>
      </c>
      <c r="J5" s="3444">
        <v>119.77</v>
      </c>
      <c r="K5" s="3444">
        <v>120.94</v>
      </c>
      <c r="L5" s="3444">
        <v>119.77</v>
      </c>
      <c r="M5" s="3444">
        <v>119.77</v>
      </c>
      <c r="N5" s="3444">
        <v>126.28</v>
      </c>
    </row>
    <row r="6" spans="1:14">
      <c r="A6" s="3444" t="s">
        <v>3426</v>
      </c>
      <c r="B6" s="3444">
        <f t="shared" si="0"/>
        <v>152.1</v>
      </c>
      <c r="C6" s="3444">
        <v>154.62</v>
      </c>
      <c r="D6" s="3444">
        <v>175.29</v>
      </c>
      <c r="E6" s="3444">
        <v>136.86000000000001</v>
      </c>
      <c r="F6" s="3444">
        <v>139.80000000000001</v>
      </c>
      <c r="G6" s="3444">
        <v>154.1</v>
      </c>
      <c r="H6" s="3444">
        <v>156.75</v>
      </c>
      <c r="I6" s="3444">
        <v>152.33000000000001</v>
      </c>
      <c r="J6" s="3444">
        <v>147.13999999999999</v>
      </c>
      <c r="K6" s="3444">
        <v>150.16999999999999</v>
      </c>
      <c r="L6" s="3444">
        <v>170.19</v>
      </c>
      <c r="M6" s="3444">
        <v>149.46</v>
      </c>
      <c r="N6" s="3444">
        <v>138.99</v>
      </c>
    </row>
    <row r="7" spans="1:14">
      <c r="A7" s="3444" t="s">
        <v>3427</v>
      </c>
      <c r="B7" s="3444">
        <f t="shared" si="0"/>
        <v>147.1</v>
      </c>
      <c r="C7" s="3444">
        <v>160.74</v>
      </c>
      <c r="D7" s="3444">
        <v>149.87</v>
      </c>
      <c r="E7" s="3444">
        <v>142.47</v>
      </c>
      <c r="F7" s="3444">
        <v>136.13999999999999</v>
      </c>
      <c r="G7" s="3444">
        <v>138.38999999999999</v>
      </c>
      <c r="H7" s="3444">
        <v>138.68</v>
      </c>
      <c r="I7" s="3444">
        <v>143.66</v>
      </c>
      <c r="J7" s="3444">
        <v>150.06</v>
      </c>
      <c r="K7" s="3444">
        <v>149.87</v>
      </c>
      <c r="L7" s="3444">
        <v>142.09</v>
      </c>
      <c r="M7" s="3444">
        <v>154.06</v>
      </c>
      <c r="N7" s="3444">
        <v>159.66999999999999</v>
      </c>
    </row>
    <row r="8" spans="1:14">
      <c r="A8" s="3444" t="s">
        <v>3428</v>
      </c>
      <c r="B8" s="3444">
        <f t="shared" si="0"/>
        <v>94.2</v>
      </c>
      <c r="C8" s="3444">
        <v>72.12</v>
      </c>
      <c r="D8" s="3444">
        <v>90.16</v>
      </c>
      <c r="E8" s="3444">
        <v>94.66</v>
      </c>
      <c r="F8" s="3444">
        <v>96.61</v>
      </c>
      <c r="G8" s="3444">
        <v>99.2</v>
      </c>
      <c r="H8" s="3444">
        <v>96.54</v>
      </c>
      <c r="I8" s="3444">
        <v>98.81</v>
      </c>
      <c r="J8" s="3444">
        <v>99.74</v>
      </c>
      <c r="K8" s="3444">
        <v>98.85</v>
      </c>
      <c r="L8" s="3444">
        <v>97.54</v>
      </c>
      <c r="M8" s="3444">
        <v>94.36</v>
      </c>
      <c r="N8" s="3444">
        <v>91.46</v>
      </c>
    </row>
  </sheetData>
  <mergeCells count="1">
    <mergeCell ref="A1:A2"/>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60" zoomScaleSheetLayoutView="85" workbookViewId="0">
      <selection activeCell="C90" sqref="C90:F9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1661</v>
      </c>
      <c r="C1" s="1238" t="s">
        <v>1662</v>
      </c>
      <c r="D1" s="1225" t="s">
        <v>3383</v>
      </c>
      <c r="E1" s="3413" t="s">
        <v>3392</v>
      </c>
      <c r="F1" s="1878" t="s">
        <v>3393</v>
      </c>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14">
        <f>IF(E1="项目模式",IF(C2="——",ROUND(C49*D3/10000,0),ROUND(C49*D3/10000,0)-D2),IF(E1="单套模式",IF(C2="——",ROUND(C49*D3/10000,4),ROUND(C49*D3/10000,4)-D2)))</f>
        <v>411.37369999999999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0"/>
      <c r="M2" s="2701"/>
      <c r="N2" s="2701"/>
      <c r="O2" s="270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73591</v>
      </c>
      <c r="C3" s="354" t="s">
        <v>1665</v>
      </c>
      <c r="D3" s="353">
        <f>IF(D1="",'数据-汇总表'!E3,SUMIF('数据-汇总表'!$C19:$C33,D1,'数据-汇总表'!$E19:$E33))</f>
        <v>55.9</v>
      </c>
      <c r="E3" s="907"/>
      <c r="F3" s="1887"/>
      <c r="G3" s="907"/>
      <c r="H3" s="907"/>
      <c r="I3" s="907"/>
      <c r="J3" s="907"/>
      <c r="K3" s="1883"/>
      <c r="L3" s="2700"/>
      <c r="M3" s="2701"/>
      <c r="N3" s="2701"/>
      <c r="O3" s="2701"/>
      <c r="P3" s="1884"/>
      <c r="Q3" s="1885"/>
      <c r="R3" s="1885"/>
      <c r="S3" s="1885"/>
      <c r="T3" s="1885"/>
      <c r="U3" s="1885"/>
      <c r="V3" s="1885"/>
      <c r="W3" s="1885"/>
      <c r="X3" s="1885"/>
      <c r="Y3" s="1885"/>
      <c r="Z3" s="1885"/>
      <c r="AA3" s="1885"/>
      <c r="AB3" s="1885"/>
      <c r="AC3" s="1061"/>
    </row>
    <row r="4" spans="1:29" ht="14.4">
      <c r="A4" s="355" t="s">
        <v>1666</v>
      </c>
      <c r="B4" s="356"/>
      <c r="C4" s="3683" t="s">
        <v>1667</v>
      </c>
      <c r="D4" s="3684"/>
      <c r="E4" s="3685" t="s">
        <v>1668</v>
      </c>
      <c r="F4" s="3686"/>
      <c r="G4" s="3683" t="s">
        <v>1669</v>
      </c>
      <c r="H4" s="3684"/>
      <c r="I4" s="3683" t="s">
        <v>1670</v>
      </c>
      <c r="J4" s="3684"/>
      <c r="K4" s="1888" t="s">
        <v>1671</v>
      </c>
      <c r="L4" s="2702"/>
      <c r="M4" s="2703"/>
      <c r="N4" s="2703"/>
      <c r="O4" s="2703"/>
      <c r="P4" s="3687" t="s">
        <v>1672</v>
      </c>
      <c r="Q4" s="3688"/>
      <c r="R4" s="3693" t="s">
        <v>1668</v>
      </c>
      <c r="S4" s="3694"/>
      <c r="T4" s="3693" t="s">
        <v>1669</v>
      </c>
      <c r="U4" s="3694"/>
      <c r="V4" s="3699" t="s">
        <v>1670</v>
      </c>
      <c r="W4" s="3699"/>
      <c r="X4" s="1354"/>
      <c r="Y4" s="3693" t="s">
        <v>1672</v>
      </c>
      <c r="Z4" s="3694"/>
      <c r="AA4" s="3680" t="s">
        <v>1668</v>
      </c>
      <c r="AB4" s="3680" t="s">
        <v>1669</v>
      </c>
      <c r="AC4" s="3680" t="s">
        <v>1670</v>
      </c>
    </row>
    <row r="5" spans="1:29">
      <c r="A5" s="358"/>
      <c r="B5" s="359"/>
      <c r="C5" s="3707" t="s">
        <v>3432</v>
      </c>
      <c r="D5" s="3703"/>
      <c r="E5" s="3710" t="s">
        <v>3433</v>
      </c>
      <c r="F5" s="3711"/>
      <c r="G5" s="3702" t="str">
        <f>E5</f>
        <v>静淑苑</v>
      </c>
      <c r="H5" s="3703"/>
      <c r="I5" s="3707" t="s">
        <v>3450</v>
      </c>
      <c r="J5" s="3703"/>
      <c r="K5" s="1889"/>
      <c r="L5" s="2702"/>
      <c r="M5" s="2703"/>
      <c r="N5" s="2703"/>
      <c r="O5" s="2703"/>
      <c r="P5" s="3689"/>
      <c r="Q5" s="3690"/>
      <c r="R5" s="3695"/>
      <c r="S5" s="3696"/>
      <c r="T5" s="3695"/>
      <c r="U5" s="3696"/>
      <c r="V5" s="3699"/>
      <c r="W5" s="3699"/>
      <c r="X5" s="1354"/>
      <c r="Y5" s="3695"/>
      <c r="Z5" s="3696"/>
      <c r="AA5" s="3681"/>
      <c r="AB5" s="3681"/>
      <c r="AC5" s="3681"/>
    </row>
    <row r="6" spans="1:29" ht="15" thickBot="1">
      <c r="A6" s="360"/>
      <c r="B6" s="361"/>
      <c r="C6" s="3700" t="s">
        <v>1677</v>
      </c>
      <c r="D6" s="3701"/>
      <c r="E6" s="3708" t="s">
        <v>1677</v>
      </c>
      <c r="F6" s="3709"/>
      <c r="G6" s="3700" t="s">
        <v>1677</v>
      </c>
      <c r="H6" s="3701"/>
      <c r="I6" s="3700" t="s">
        <v>1677</v>
      </c>
      <c r="J6" s="3701"/>
      <c r="K6" s="1889" t="s">
        <v>1678</v>
      </c>
      <c r="L6" s="2702"/>
      <c r="M6" s="2703"/>
      <c r="N6" s="2703"/>
      <c r="O6" s="2703"/>
      <c r="P6" s="3691"/>
      <c r="Q6" s="3692"/>
      <c r="R6" s="3695"/>
      <c r="S6" s="3696"/>
      <c r="T6" s="3697"/>
      <c r="U6" s="3698"/>
      <c r="V6" s="3699"/>
      <c r="W6" s="3699"/>
      <c r="X6" s="1354"/>
      <c r="Y6" s="3697"/>
      <c r="Z6" s="3698"/>
      <c r="AA6" s="3682"/>
      <c r="AB6" s="3682"/>
      <c r="AC6" s="3682"/>
    </row>
    <row r="7" spans="1:29" s="108" customFormat="1" ht="15" thickBot="1">
      <c r="A7" s="362" t="s">
        <v>1679</v>
      </c>
      <c r="B7" s="363"/>
      <c r="C7" s="364">
        <f>'数据-取费表'!B2</f>
        <v>45517</v>
      </c>
      <c r="D7" s="365">
        <v>100</v>
      </c>
      <c r="E7" s="366">
        <v>45353</v>
      </c>
      <c r="F7" s="367">
        <f>SUMIF(58:58,YEAR(E7)&amp;"-"&amp;MONTH(E7),59:59)</f>
        <v>102</v>
      </c>
      <c r="G7" s="366">
        <v>45406</v>
      </c>
      <c r="H7" s="365">
        <f>SUMIF(58:58,YEAR(G7)&amp;"-"&amp;MONTH(G7),59:59)</f>
        <v>101</v>
      </c>
      <c r="I7" s="366">
        <v>45489</v>
      </c>
      <c r="J7" s="365">
        <f>SUMIF(58:58,YEAR(I7)&amp;"-"&amp;MONTH(I7),59:59)</f>
        <v>100</v>
      </c>
      <c r="K7" s="1890"/>
      <c r="L7" s="2704"/>
      <c r="M7" s="2705"/>
      <c r="N7" s="2705"/>
      <c r="O7" s="2705"/>
      <c r="P7" s="3704" t="s">
        <v>1680</v>
      </c>
      <c r="Q7" s="3706"/>
      <c r="R7" s="701" t="s">
        <v>20</v>
      </c>
      <c r="S7" s="702">
        <f t="shared" ref="S7:S15" si="0">F7</f>
        <v>102</v>
      </c>
      <c r="T7" s="701" t="s">
        <v>20</v>
      </c>
      <c r="U7" s="702">
        <f t="shared" ref="U7:U15" si="1">H7</f>
        <v>101</v>
      </c>
      <c r="V7" s="701" t="s">
        <v>20</v>
      </c>
      <c r="W7" s="702">
        <f t="shared" ref="W7:W15" si="2">J7</f>
        <v>100</v>
      </c>
      <c r="X7" s="703"/>
      <c r="Y7" s="3704" t="s">
        <v>1680</v>
      </c>
      <c r="Z7" s="3705"/>
      <c r="AA7" s="704">
        <f>D7/F7</f>
        <v>0.98039215686274506</v>
      </c>
      <c r="AB7" s="704">
        <f>D7/H7</f>
        <v>0.99009900990099009</v>
      </c>
      <c r="AC7" s="704">
        <f>D7/J7</f>
        <v>1</v>
      </c>
    </row>
    <row r="8" spans="1:29" s="108" customFormat="1" ht="15" thickBot="1">
      <c r="A8" s="362" t="s">
        <v>1681</v>
      </c>
      <c r="B8" s="363"/>
      <c r="C8" s="368" t="s">
        <v>3394</v>
      </c>
      <c r="D8" s="365">
        <v>100</v>
      </c>
      <c r="E8" s="1891" t="s">
        <v>3394</v>
      </c>
      <c r="F8" s="367">
        <f>SUMIF(61:61,E8,62:62)-SUMIF(61:61,C8,62:62)+100</f>
        <v>100</v>
      </c>
      <c r="G8" s="368" t="s">
        <v>3394</v>
      </c>
      <c r="H8" s="365">
        <f>SUMIF(61:61,G8,62:62)-SUMIF(61:61,C8,62:62)+100</f>
        <v>100</v>
      </c>
      <c r="I8" s="1891" t="s">
        <v>3394</v>
      </c>
      <c r="J8" s="365">
        <f>SUMIF(61:61,I8,62:62)-SUMIF(61:61,C8,62:62)+100</f>
        <v>100</v>
      </c>
      <c r="K8" s="1890"/>
      <c r="L8" s="2704"/>
      <c r="M8" s="2705"/>
      <c r="N8" s="2705"/>
      <c r="O8" s="2705"/>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ht="15" thickBot="1">
      <c r="A9" s="369" t="s">
        <v>1684</v>
      </c>
      <c r="B9" s="63" t="s">
        <v>1685</v>
      </c>
      <c r="C9" s="3433" t="s">
        <v>3395</v>
      </c>
      <c r="D9" s="126">
        <v>100</v>
      </c>
      <c r="E9" s="371" t="s">
        <v>3383</v>
      </c>
      <c r="F9" s="372">
        <f>SUMIF(63:63,E9,64:64)-SUMIF(63:63,C9,64:64)+100</f>
        <v>100</v>
      </c>
      <c r="G9" s="373" t="s">
        <v>3383</v>
      </c>
      <c r="H9" s="126">
        <f>SUMIF(63:63,G9,64:64)-SUMIF(63:63,C9,64:64)+100</f>
        <v>100</v>
      </c>
      <c r="I9" s="373" t="s">
        <v>3383</v>
      </c>
      <c r="J9" s="126">
        <f>SUMIF(63:63,I9,64:64)-SUMIF(63:63,C9,64:64)+100</f>
        <v>100</v>
      </c>
      <c r="K9" s="1890"/>
      <c r="L9" s="2704"/>
      <c r="M9" s="2705"/>
      <c r="N9" s="2705"/>
      <c r="O9" s="2705"/>
      <c r="P9" s="3679"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8.8" hidden="1">
      <c r="A10" s="374"/>
      <c r="B10" s="375" t="s">
        <v>1688</v>
      </c>
      <c r="C10" s="3421"/>
      <c r="D10" s="127">
        <v>100</v>
      </c>
      <c r="E10" s="3422"/>
      <c r="F10" s="376">
        <f>SUMIF(65:65,E10,66:66)-SUMIF(65:65,C10,66:66)+100</f>
        <v>100</v>
      </c>
      <c r="G10" s="3421"/>
      <c r="H10" s="127">
        <f>SUMIF(65:65,G10,66:66)-SUMIF(65:65,C10,66:66)+100</f>
        <v>100</v>
      </c>
      <c r="I10" s="3421"/>
      <c r="J10" s="127">
        <f>SUMIF(65:65,I10,66:66)-SUMIF(65:65,C10,66:66)+100</f>
        <v>100</v>
      </c>
      <c r="K10" s="1890"/>
      <c r="L10" s="2706"/>
      <c r="M10" s="2707"/>
      <c r="N10" s="2707"/>
      <c r="O10" s="2707"/>
      <c r="P10" s="3679"/>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hidden="1">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08"/>
      <c r="M11" s="2703"/>
      <c r="N11" s="2703"/>
      <c r="O11" s="2703"/>
      <c r="P11" s="3679"/>
      <c r="Q11" s="1342" t="str">
        <f t="shared" si="6"/>
        <v>容积率</v>
      </c>
      <c r="R11" s="701" t="s">
        <v>18</v>
      </c>
      <c r="S11" s="702">
        <f t="shared" si="0"/>
        <v>100</v>
      </c>
      <c r="T11" s="701" t="s">
        <v>18</v>
      </c>
      <c r="U11" s="702">
        <f t="shared" si="1"/>
        <v>100</v>
      </c>
      <c r="V11" s="701" t="s">
        <v>18</v>
      </c>
      <c r="W11" s="702">
        <f t="shared" si="2"/>
        <v>100</v>
      </c>
      <c r="X11" s="703"/>
      <c r="Y11" s="3542"/>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4"/>
      <c r="M12" s="2705"/>
      <c r="N12" s="2705"/>
      <c r="O12" s="2705"/>
      <c r="P12" s="3679"/>
      <c r="Q12" s="1342">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9"/>
      <c r="M13" s="2703"/>
      <c r="N13" s="2703"/>
      <c r="O13" s="2703"/>
      <c r="P13" s="3679"/>
      <c r="Q13" s="1342">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9"/>
      <c r="M14" s="2703"/>
      <c r="N14" s="2703"/>
      <c r="O14" s="2703"/>
      <c r="P14" s="3679"/>
      <c r="Q14" s="1342">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124.2">
      <c r="A15" s="391" t="s">
        <v>1690</v>
      </c>
      <c r="B15" s="61" t="s">
        <v>1257</v>
      </c>
      <c r="C15" s="1895" t="str">
        <f>估价对象房地状况!C3</f>
        <v>估价对象周边有双清苑、清风华景园、逸成东苑、柏儒苑等，居住小区规模和社区发展完善程度较好，综合评价居住社区成熟度较好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09"/>
      <c r="M15" s="2703"/>
      <c r="N15" s="2703"/>
      <c r="O15" s="2703"/>
      <c r="P15" s="3677" t="s">
        <v>1691</v>
      </c>
      <c r="Q15" s="1351" t="str">
        <f t="shared" si="6"/>
        <v>居住社区成熟度</v>
      </c>
      <c r="R15" s="705" t="s">
        <v>18</v>
      </c>
      <c r="S15" s="706">
        <f t="shared" si="0"/>
        <v>100</v>
      </c>
      <c r="T15" s="705" t="s">
        <v>18</v>
      </c>
      <c r="U15" s="706">
        <f t="shared" si="1"/>
        <v>100</v>
      </c>
      <c r="V15" s="705" t="s">
        <v>18</v>
      </c>
      <c r="W15" s="706">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9"/>
      <c r="M16" s="2703"/>
      <c r="N16" s="2703"/>
      <c r="O16" s="2703"/>
      <c r="P16" s="3678"/>
      <c r="Q16" s="1351"/>
      <c r="R16" s="705"/>
      <c r="S16" s="706"/>
      <c r="T16" s="705"/>
      <c r="U16" s="706"/>
      <c r="V16" s="705"/>
      <c r="W16" s="706"/>
      <c r="X16" s="1354"/>
      <c r="Y16" s="3671"/>
      <c r="Z16" s="1355"/>
      <c r="AA16" s="1352">
        <v>1</v>
      </c>
      <c r="AB16" s="1352">
        <v>1</v>
      </c>
      <c r="AC16" s="1352">
        <v>1</v>
      </c>
    </row>
    <row r="17" spans="1:29" ht="124.2">
      <c r="A17" s="379"/>
      <c r="B17" s="402" t="s">
        <v>1259</v>
      </c>
      <c r="C17" s="1899" t="str">
        <f>估价对象房地状况!C6</f>
        <v>估价对象周边有392路、466路、577路、专12路等多条公交线路，距地铁15号线（清华东路西口站）约700米，综合评价交通便捷度较好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9"/>
      <c r="M17" s="2703"/>
      <c r="N17" s="2703"/>
      <c r="O17" s="2703"/>
      <c r="P17" s="3678"/>
      <c r="Q17" s="1351" t="str">
        <f>B17</f>
        <v>交通便捷度</v>
      </c>
      <c r="R17" s="705" t="s">
        <v>18</v>
      </c>
      <c r="S17" s="706">
        <f>F17</f>
        <v>100</v>
      </c>
      <c r="T17" s="705" t="s">
        <v>18</v>
      </c>
      <c r="U17" s="706">
        <f>H17</f>
        <v>100</v>
      </c>
      <c r="V17" s="705" t="s">
        <v>18</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9"/>
      <c r="M18" s="2703"/>
      <c r="N18" s="2703"/>
      <c r="O18" s="2703"/>
      <c r="P18" s="3678"/>
      <c r="Q18" s="1351"/>
      <c r="R18" s="705"/>
      <c r="S18" s="706"/>
      <c r="T18" s="705"/>
      <c r="U18" s="706"/>
      <c r="V18" s="705"/>
      <c r="W18" s="706"/>
      <c r="X18" s="1354"/>
      <c r="Y18" s="3671"/>
      <c r="Z18" s="1355"/>
      <c r="AA18" s="1352">
        <v>1</v>
      </c>
      <c r="AB18" s="1352">
        <v>1</v>
      </c>
      <c r="AC18" s="1352">
        <v>1</v>
      </c>
    </row>
    <row r="19" spans="1:29" ht="41.4">
      <c r="A19" s="379"/>
      <c r="B19" s="402" t="s">
        <v>1258</v>
      </c>
      <c r="C19" s="1899"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09"/>
      <c r="M19" s="2703"/>
      <c r="N19" s="2703"/>
      <c r="O19" s="2703"/>
      <c r="P19" s="3678"/>
      <c r="Q19" s="1351" t="str">
        <f>B19</f>
        <v>公共配套设施</v>
      </c>
      <c r="R19" s="705" t="s">
        <v>18</v>
      </c>
      <c r="S19" s="706">
        <f>F19</f>
        <v>100</v>
      </c>
      <c r="T19" s="705" t="s">
        <v>18</v>
      </c>
      <c r="U19" s="706">
        <f>H19</f>
        <v>100</v>
      </c>
      <c r="V19" s="705" t="s">
        <v>18</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9"/>
      <c r="M20" s="2703"/>
      <c r="N20" s="2703"/>
      <c r="O20" s="2703"/>
      <c r="P20" s="3678"/>
      <c r="Q20" s="1351"/>
      <c r="R20" s="705"/>
      <c r="S20" s="706"/>
      <c r="T20" s="705"/>
      <c r="U20" s="706"/>
      <c r="V20" s="705"/>
      <c r="W20" s="706"/>
      <c r="X20" s="1354"/>
      <c r="Y20" s="3671"/>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9"/>
      <c r="M21" s="2703"/>
      <c r="N21" s="2703"/>
      <c r="O21" s="2703"/>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09"/>
      <c r="M22" s="2703"/>
      <c r="N22" s="2703"/>
      <c r="O22" s="2703"/>
      <c r="P22" s="3678"/>
      <c r="Q22" s="1351"/>
      <c r="R22" s="705"/>
      <c r="S22" s="706"/>
      <c r="T22" s="705"/>
      <c r="U22" s="706"/>
      <c r="V22" s="705"/>
      <c r="W22" s="706"/>
      <c r="X22" s="1354"/>
      <c r="Y22" s="3671"/>
      <c r="Z22" s="1355"/>
      <c r="AA22" s="1352">
        <v>1</v>
      </c>
      <c r="AB22" s="1352">
        <v>1</v>
      </c>
      <c r="AC22" s="1352">
        <v>1</v>
      </c>
    </row>
    <row r="23" spans="1:29" ht="124.2">
      <c r="A23" s="379"/>
      <c r="B23" s="402" t="s">
        <v>1261</v>
      </c>
      <c r="C23" s="1899" t="str">
        <f>估价对象房地状况!C9</f>
        <v>区域自然环境：北京东升花园中心、东升八家郊野公园；人文环境：北京林业大学、北京农业大学、清华大学；综合评价环境状况较好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09"/>
      <c r="M23" s="2703"/>
      <c r="N23" s="2703"/>
      <c r="O23" s="2703"/>
      <c r="P23" s="3678"/>
      <c r="Q23" s="1351" t="str">
        <f>B23</f>
        <v>自然及人文环境</v>
      </c>
      <c r="R23" s="705" t="s">
        <v>18</v>
      </c>
      <c r="S23" s="706">
        <f>F23</f>
        <v>100</v>
      </c>
      <c r="T23" s="705" t="s">
        <v>18</v>
      </c>
      <c r="U23" s="706">
        <f>H23</f>
        <v>100</v>
      </c>
      <c r="V23" s="705" t="s">
        <v>18</v>
      </c>
      <c r="W23" s="706">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9"/>
      <c r="M24" s="2703"/>
      <c r="N24" s="2703"/>
      <c r="O24" s="2703"/>
      <c r="P24" s="3678"/>
      <c r="Q24" s="1351"/>
      <c r="R24" s="705"/>
      <c r="S24" s="706"/>
      <c r="T24" s="705"/>
      <c r="U24" s="706"/>
      <c r="V24" s="705"/>
      <c r="W24" s="706"/>
      <c r="X24" s="1354"/>
      <c r="Y24" s="3671"/>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09"/>
      <c r="M25" s="2703"/>
      <c r="N25" s="2703"/>
      <c r="O25" s="2703"/>
      <c r="P25" s="367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t="s">
        <v>3436</v>
      </c>
      <c r="D26" s="386">
        <v>100</v>
      </c>
      <c r="E26" s="1905" t="s">
        <v>3441</v>
      </c>
      <c r="F26" s="386">
        <f>SUMIF(88:88,E26,89:89)-SUMIF(88:88,C26,89:89)+100</f>
        <v>103</v>
      </c>
      <c r="G26" s="1906" t="s">
        <v>3454</v>
      </c>
      <c r="H26" s="386">
        <f>SUMIF(88:88,G26,89:89)-SUMIF(88:88,C26,89:89)+100</f>
        <v>99</v>
      </c>
      <c r="I26" s="1906" t="s">
        <v>3441</v>
      </c>
      <c r="J26" s="386">
        <f>SUMIF(88:88,I26,89:89)-SUMIF(88:88,C26,89:89)+100</f>
        <v>103</v>
      </c>
      <c r="K26" s="377">
        <v>1</v>
      </c>
      <c r="L26" s="2709"/>
      <c r="M26" s="2703"/>
      <c r="N26" s="2703"/>
      <c r="O26" s="2703"/>
      <c r="P26" s="3678"/>
      <c r="Q26" s="1351" t="str">
        <f t="shared" si="11"/>
        <v>朝向</v>
      </c>
      <c r="R26" s="705" t="s">
        <v>18</v>
      </c>
      <c r="S26" s="706">
        <f t="shared" si="12"/>
        <v>103</v>
      </c>
      <c r="T26" s="705" t="s">
        <v>18</v>
      </c>
      <c r="U26" s="706">
        <f t="shared" si="13"/>
        <v>99</v>
      </c>
      <c r="V26" s="705" t="s">
        <v>18</v>
      </c>
      <c r="W26" s="706">
        <f t="shared" si="14"/>
        <v>103</v>
      </c>
      <c r="X26" s="1354"/>
      <c r="Y26" s="3671"/>
      <c r="Z26" s="1355" t="str">
        <f>Q26</f>
        <v>朝向</v>
      </c>
      <c r="AA26" s="1352">
        <f t="shared" si="15"/>
        <v>0.970873786407767</v>
      </c>
      <c r="AB26" s="1352">
        <f t="shared" si="16"/>
        <v>1.0101010101010102</v>
      </c>
      <c r="AC26" s="1352">
        <f t="shared" si="17"/>
        <v>0.970873786407767</v>
      </c>
    </row>
    <row r="27" spans="1:29" s="108" customFormat="1" ht="15">
      <c r="A27" s="382"/>
      <c r="B27" s="3440" t="s">
        <v>3411</v>
      </c>
      <c r="C27" s="383" t="s">
        <v>3442</v>
      </c>
      <c r="D27" s="413">
        <v>100</v>
      </c>
      <c r="E27" s="416" t="s">
        <v>3443</v>
      </c>
      <c r="F27" s="413">
        <f>SUMIF(90:90,E27,91:91)-SUMIF(90:90,C27,91:91)+100</f>
        <v>98</v>
      </c>
      <c r="G27" s="414" t="s">
        <v>3453</v>
      </c>
      <c r="H27" s="413">
        <f>SUMIF(90:90,G27,91:91)-SUMIF(90:90,C27,91:91)+100</f>
        <v>96</v>
      </c>
      <c r="I27" s="414" t="s">
        <v>3452</v>
      </c>
      <c r="J27" s="413">
        <f>SUMIF(90:90,I27,91:91)-SUMIF(90:90,C27,91:91)+100</f>
        <v>94</v>
      </c>
      <c r="K27" s="1893"/>
      <c r="L27" s="2704"/>
      <c r="M27" s="2705"/>
      <c r="N27" s="2705"/>
      <c r="O27" s="2705"/>
      <c r="P27" s="3678"/>
      <c r="Q27" s="1342" t="str">
        <f t="shared" si="11"/>
        <v>楼层</v>
      </c>
      <c r="R27" s="701" t="s">
        <v>18</v>
      </c>
      <c r="S27" s="702">
        <f t="shared" si="12"/>
        <v>98</v>
      </c>
      <c r="T27" s="701" t="s">
        <v>18</v>
      </c>
      <c r="U27" s="702">
        <f t="shared" si="13"/>
        <v>96</v>
      </c>
      <c r="V27" s="701" t="s">
        <v>18</v>
      </c>
      <c r="W27" s="702">
        <f t="shared" si="14"/>
        <v>94</v>
      </c>
      <c r="X27" s="703"/>
      <c r="Y27" s="3671"/>
      <c r="Z27" s="52" t="str">
        <f>Q27</f>
        <v>楼层</v>
      </c>
      <c r="AA27" s="1352">
        <f t="shared" si="15"/>
        <v>1.0204081632653061</v>
      </c>
      <c r="AB27" s="1352">
        <f t="shared" si="16"/>
        <v>1.0416666666666667</v>
      </c>
      <c r="AC27" s="1352">
        <f t="shared" si="17"/>
        <v>1.0638297872340425</v>
      </c>
    </row>
    <row r="28" spans="1:29" ht="15.6" thickBot="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9"/>
      <c r="M28" s="2703"/>
      <c r="N28" s="2703"/>
      <c r="O28" s="2703"/>
      <c r="P28" s="3678"/>
      <c r="Q28" s="1351">
        <f t="shared" si="11"/>
        <v>111</v>
      </c>
      <c r="R28" s="705" t="s">
        <v>18</v>
      </c>
      <c r="S28" s="706">
        <f t="shared" si="12"/>
        <v>100</v>
      </c>
      <c r="T28" s="705" t="s">
        <v>18</v>
      </c>
      <c r="U28" s="706">
        <f t="shared" si="13"/>
        <v>100</v>
      </c>
      <c r="V28" s="705" t="s">
        <v>18</v>
      </c>
      <c r="W28" s="706">
        <f t="shared" si="14"/>
        <v>100</v>
      </c>
      <c r="X28" s="1354"/>
      <c r="Y28" s="3671"/>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9"/>
      <c r="M29" s="2703"/>
      <c r="N29" s="2703"/>
      <c r="O29" s="2703"/>
      <c r="P29" s="3678"/>
      <c r="Q29" s="1351">
        <f t="shared" si="11"/>
        <v>111</v>
      </c>
      <c r="R29" s="705" t="s">
        <v>18</v>
      </c>
      <c r="S29" s="706">
        <f t="shared" si="12"/>
        <v>100</v>
      </c>
      <c r="T29" s="705" t="s">
        <v>18</v>
      </c>
      <c r="U29" s="706">
        <f t="shared" si="13"/>
        <v>100</v>
      </c>
      <c r="V29" s="705" t="s">
        <v>18</v>
      </c>
      <c r="W29" s="706">
        <f t="shared" si="14"/>
        <v>100</v>
      </c>
      <c r="X29" s="1354"/>
      <c r="Y29" s="3671"/>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9"/>
      <c r="M30" s="2703"/>
      <c r="N30" s="2703"/>
      <c r="O30" s="2703"/>
      <c r="P30" s="3678"/>
      <c r="Q30" s="1351">
        <f t="shared" si="11"/>
        <v>111</v>
      </c>
      <c r="R30" s="705" t="s">
        <v>18</v>
      </c>
      <c r="S30" s="706">
        <f t="shared" si="12"/>
        <v>100</v>
      </c>
      <c r="T30" s="705" t="s">
        <v>18</v>
      </c>
      <c r="U30" s="706">
        <f t="shared" si="13"/>
        <v>100</v>
      </c>
      <c r="V30" s="705" t="s">
        <v>18</v>
      </c>
      <c r="W30" s="706">
        <f t="shared" si="14"/>
        <v>100</v>
      </c>
      <c r="X30" s="1354"/>
      <c r="Y30" s="3671"/>
      <c r="Z30" s="1355">
        <f t="shared" si="18"/>
        <v>111</v>
      </c>
      <c r="AA30" s="1352">
        <f t="shared" si="15"/>
        <v>1</v>
      </c>
      <c r="AB30" s="1352">
        <f t="shared" si="16"/>
        <v>1</v>
      </c>
      <c r="AC30" s="1352">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9"/>
      <c r="M31" s="2703"/>
      <c r="N31" s="2703"/>
      <c r="O31" s="2703"/>
      <c r="P31" s="3678"/>
      <c r="Q31" s="1351">
        <f t="shared" si="11"/>
        <v>111</v>
      </c>
      <c r="R31" s="705" t="s">
        <v>18</v>
      </c>
      <c r="S31" s="706">
        <f t="shared" si="12"/>
        <v>100</v>
      </c>
      <c r="T31" s="705" t="s">
        <v>18</v>
      </c>
      <c r="U31" s="706">
        <f t="shared" si="13"/>
        <v>100</v>
      </c>
      <c r="V31" s="705" t="s">
        <v>18</v>
      </c>
      <c r="W31" s="706">
        <f t="shared" si="14"/>
        <v>100</v>
      </c>
      <c r="X31" s="1354"/>
      <c r="Y31" s="3671"/>
      <c r="Z31" s="1355">
        <f t="shared" si="18"/>
        <v>111</v>
      </c>
      <c r="AA31" s="1352">
        <f t="shared" si="15"/>
        <v>1</v>
      </c>
      <c r="AB31" s="1352">
        <f t="shared" si="16"/>
        <v>1</v>
      </c>
      <c r="AC31" s="1352">
        <f t="shared" si="17"/>
        <v>1</v>
      </c>
    </row>
    <row r="32" spans="1:29" ht="15">
      <c r="A32" s="391" t="s">
        <v>1694</v>
      </c>
      <c r="B32" s="63" t="s">
        <v>1695</v>
      </c>
      <c r="C32" s="1909" t="s">
        <v>3434</v>
      </c>
      <c r="D32" s="418">
        <v>100</v>
      </c>
      <c r="E32" s="1910" t="s">
        <v>3434</v>
      </c>
      <c r="F32" s="412">
        <f>SUMIF(100:100,E32,101:101)-SUMIF(100:100,C32,101:101)+100</f>
        <v>100</v>
      </c>
      <c r="G32" s="1909" t="s">
        <v>3434</v>
      </c>
      <c r="H32" s="418">
        <f>SUMIF(100:100,G32,101:101)-SUMIF(100:100,C32,101:101)+100</f>
        <v>100</v>
      </c>
      <c r="I32" s="1910" t="s">
        <v>3434</v>
      </c>
      <c r="J32" s="386">
        <f>SUMIF(100:100,I32,101:101)-SUMIF(100:100,C32,101:101)+100</f>
        <v>100</v>
      </c>
      <c r="K32" s="377">
        <v>2</v>
      </c>
      <c r="L32" s="2709"/>
      <c r="M32" s="2703"/>
      <c r="N32" s="2703"/>
      <c r="O32" s="2703"/>
      <c r="P32" s="3672" t="s">
        <v>1696</v>
      </c>
      <c r="Q32" s="1351" t="str">
        <f t="shared" si="11"/>
        <v>建筑类型</v>
      </c>
      <c r="R32" s="705" t="s">
        <v>18</v>
      </c>
      <c r="S32" s="706">
        <f t="shared" si="12"/>
        <v>100</v>
      </c>
      <c r="T32" s="705" t="s">
        <v>18</v>
      </c>
      <c r="U32" s="706">
        <f t="shared" si="13"/>
        <v>100</v>
      </c>
      <c r="V32" s="705" t="s">
        <v>18</v>
      </c>
      <c r="W32" s="706">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55.9</v>
      </c>
      <c r="D33" s="127">
        <v>100</v>
      </c>
      <c r="E33" s="3448">
        <v>87.6</v>
      </c>
      <c r="F33" s="412">
        <f>LOOKUP(E33,103:103,104:104)-LOOKUP(C33,103:103,104:104)+100</f>
        <v>98</v>
      </c>
      <c r="G33" s="3449">
        <v>67.400000000000006</v>
      </c>
      <c r="H33" s="127">
        <f>LOOKUP(G33,103:103,104:104)-LOOKUP(C33,103:103,104:104)+100</f>
        <v>98</v>
      </c>
      <c r="I33" s="381">
        <v>56.1</v>
      </c>
      <c r="J33" s="127">
        <f>LOOKUP(I33,103:103,104:104)-LOOKUP(C33,103:103,104:104)+100</f>
        <v>100</v>
      </c>
      <c r="K33" s="1893"/>
      <c r="L33" s="2708"/>
      <c r="M33" s="2710"/>
      <c r="N33" s="2710"/>
      <c r="O33" s="2710"/>
      <c r="P33" s="3673"/>
      <c r="Q33" s="707" t="str">
        <f t="shared" si="11"/>
        <v>项目建筑规模</v>
      </c>
      <c r="R33" s="708" t="s">
        <v>18</v>
      </c>
      <c r="S33" s="709">
        <f t="shared" si="12"/>
        <v>98</v>
      </c>
      <c r="T33" s="708" t="s">
        <v>18</v>
      </c>
      <c r="U33" s="709">
        <f t="shared" si="13"/>
        <v>98</v>
      </c>
      <c r="V33" s="708" t="s">
        <v>18</v>
      </c>
      <c r="W33" s="709">
        <f t="shared" si="14"/>
        <v>100</v>
      </c>
      <c r="X33" s="710"/>
      <c r="Y33" s="3675"/>
      <c r="Z33" s="711" t="str">
        <f t="shared" si="18"/>
        <v>项目建筑规模</v>
      </c>
      <c r="AA33" s="1352">
        <f t="shared" si="15"/>
        <v>1.0204081632653061</v>
      </c>
      <c r="AB33" s="1352">
        <f t="shared" si="16"/>
        <v>1.0204081632653061</v>
      </c>
      <c r="AC33" s="1352">
        <f t="shared" si="17"/>
        <v>1</v>
      </c>
    </row>
    <row r="34" spans="1:29" ht="15">
      <c r="A34" s="423"/>
      <c r="B34" s="375" t="s">
        <v>1698</v>
      </c>
      <c r="C34" s="1911" t="s">
        <v>3422</v>
      </c>
      <c r="D34" s="386">
        <v>100</v>
      </c>
      <c r="E34" s="1912" t="s">
        <v>3422</v>
      </c>
      <c r="F34" s="412">
        <f>SUMIF(105:105,E34,106:106)-SUMIF(105:105,C34,106:106)+100</f>
        <v>100</v>
      </c>
      <c r="G34" s="1911" t="s">
        <v>3422</v>
      </c>
      <c r="H34" s="386">
        <f>SUMIF(105:105,G34,106:106)-SUMIF(105:105,C34,106:106)+100</f>
        <v>100</v>
      </c>
      <c r="I34" s="1912" t="s">
        <v>3422</v>
      </c>
      <c r="J34" s="386">
        <f>SUMIF(105:105,I34,106:106)-SUMIF(105:105,C34,106:106)+100</f>
        <v>100</v>
      </c>
      <c r="K34" s="377">
        <v>5</v>
      </c>
      <c r="L34" s="2709"/>
      <c r="M34" s="2703"/>
      <c r="N34" s="2703"/>
      <c r="O34" s="2703"/>
      <c r="P34" s="3673"/>
      <c r="Q34" s="1351" t="str">
        <f t="shared" si="11"/>
        <v>建筑结构</v>
      </c>
      <c r="R34" s="705" t="s">
        <v>18</v>
      </c>
      <c r="S34" s="706">
        <f t="shared" si="12"/>
        <v>100</v>
      </c>
      <c r="T34" s="705" t="s">
        <v>18</v>
      </c>
      <c r="U34" s="706">
        <f t="shared" si="13"/>
        <v>100</v>
      </c>
      <c r="V34" s="705" t="s">
        <v>18</v>
      </c>
      <c r="W34" s="706">
        <f t="shared" si="14"/>
        <v>100</v>
      </c>
      <c r="X34" s="1354"/>
      <c r="Y34" s="3675"/>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9"/>
      <c r="M35" s="2703"/>
      <c r="N35" s="2703"/>
      <c r="O35" s="2703"/>
      <c r="P35" s="3673"/>
      <c r="Q35" s="1351" t="str">
        <f t="shared" si="11"/>
        <v>建筑品质</v>
      </c>
      <c r="R35" s="705" t="s">
        <v>18</v>
      </c>
      <c r="S35" s="706">
        <f t="shared" si="12"/>
        <v>100</v>
      </c>
      <c r="T35" s="705" t="s">
        <v>18</v>
      </c>
      <c r="U35" s="706">
        <f t="shared" si="13"/>
        <v>100</v>
      </c>
      <c r="V35" s="705" t="s">
        <v>18</v>
      </c>
      <c r="W35" s="706">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t="s">
        <v>3397</v>
      </c>
      <c r="D36" s="386">
        <v>100</v>
      </c>
      <c r="E36" s="1906" t="s">
        <v>3397</v>
      </c>
      <c r="F36" s="412">
        <f>SUMIF(109:109,E36,110:110)-SUMIF(109:109,C36,110:110)+100</f>
        <v>100</v>
      </c>
      <c r="G36" s="1905" t="s">
        <v>3397</v>
      </c>
      <c r="H36" s="386">
        <f>SUMIF(109:109,G36,110:110)-SUMIF(109:109,C36,110:110)+100</f>
        <v>100</v>
      </c>
      <c r="I36" s="1906" t="s">
        <v>3397</v>
      </c>
      <c r="J36" s="386">
        <f>SUMIF(109:109,I36,110:110)-SUMIF(109:109,C36,110:110)+100</f>
        <v>100</v>
      </c>
      <c r="K36" s="377"/>
      <c r="L36" s="2709"/>
      <c r="M36" s="2703"/>
      <c r="N36" s="2703"/>
      <c r="O36" s="2703"/>
      <c r="P36" s="3673"/>
      <c r="Q36" s="1351" t="str">
        <f t="shared" si="11"/>
        <v>公共部分装修</v>
      </c>
      <c r="R36" s="705" t="s">
        <v>18</v>
      </c>
      <c r="S36" s="706">
        <f t="shared" si="12"/>
        <v>100</v>
      </c>
      <c r="T36" s="705" t="s">
        <v>18</v>
      </c>
      <c r="U36" s="706">
        <f t="shared" si="13"/>
        <v>100</v>
      </c>
      <c r="V36" s="705" t="s">
        <v>18</v>
      </c>
      <c r="W36" s="706">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f>'数据-取费表'!Y6</f>
        <v>0.6</v>
      </c>
      <c r="D37" s="127">
        <v>100</v>
      </c>
      <c r="E37" s="425">
        <v>0.7</v>
      </c>
      <c r="F37" s="376">
        <f>LOOKUP(E37,112:112,113:113)-LOOKUP(C37,112:112,113:113)+100</f>
        <v>101</v>
      </c>
      <c r="G37" s="427">
        <v>0.7</v>
      </c>
      <c r="H37" s="127">
        <f>LOOKUP(G37,112:112,113:113)-LOOKUP(C37,112:112,113:113)+100</f>
        <v>101</v>
      </c>
      <c r="I37" s="426">
        <v>0.6</v>
      </c>
      <c r="J37" s="127">
        <f>LOOKUP(I37,112:112,113:113)-LOOKUP(C37,112:112,113:113)+100</f>
        <v>100</v>
      </c>
      <c r="K37" s="377">
        <v>1</v>
      </c>
      <c r="L37" s="2704"/>
      <c r="M37" s="2705"/>
      <c r="N37" s="2705"/>
      <c r="O37" s="2705"/>
      <c r="P37" s="3673"/>
      <c r="Q37" s="1342" t="str">
        <f t="shared" si="11"/>
        <v>成新度</v>
      </c>
      <c r="R37" s="701" t="s">
        <v>18</v>
      </c>
      <c r="S37" s="702">
        <f t="shared" si="12"/>
        <v>101</v>
      </c>
      <c r="T37" s="701" t="s">
        <v>18</v>
      </c>
      <c r="U37" s="702">
        <f t="shared" si="13"/>
        <v>101</v>
      </c>
      <c r="V37" s="701" t="s">
        <v>18</v>
      </c>
      <c r="W37" s="702">
        <f t="shared" si="14"/>
        <v>100</v>
      </c>
      <c r="X37" s="703"/>
      <c r="Y37" s="3675"/>
      <c r="Z37" s="52" t="str">
        <f t="shared" si="18"/>
        <v>成新度</v>
      </c>
      <c r="AA37" s="704">
        <f t="shared" si="15"/>
        <v>0.99009900990099009</v>
      </c>
      <c r="AB37" s="704">
        <f t="shared" si="16"/>
        <v>0.99009900990099009</v>
      </c>
      <c r="AC37" s="704">
        <f t="shared" si="17"/>
        <v>1</v>
      </c>
    </row>
    <row r="38" spans="1:29" ht="15">
      <c r="A38" s="423"/>
      <c r="B38" s="375" t="s">
        <v>1702</v>
      </c>
      <c r="C38" s="1905" t="s">
        <v>3399</v>
      </c>
      <c r="D38" s="386">
        <v>100</v>
      </c>
      <c r="E38" s="1906" t="s">
        <v>3399</v>
      </c>
      <c r="F38" s="412">
        <f>SUMIF(114:114,E38,115:115)-SUMIF(114:114,C38,115:115)+100</f>
        <v>100</v>
      </c>
      <c r="G38" s="1905" t="s">
        <v>3399</v>
      </c>
      <c r="H38" s="386">
        <f>SUMIF(114:114,G38,115:115)-SUMIF(114:114,C38,115:115)+100</f>
        <v>100</v>
      </c>
      <c r="I38" s="1906" t="s">
        <v>3399</v>
      </c>
      <c r="J38" s="386">
        <f>SUMIF(114:114,I38,115:115)-SUMIF(114:114,C38,115:115)+100</f>
        <v>100</v>
      </c>
      <c r="K38" s="377"/>
      <c r="L38" s="2709"/>
      <c r="M38" s="2703"/>
      <c r="N38" s="2703"/>
      <c r="O38" s="2703"/>
      <c r="P38" s="3673" t="s">
        <v>1696</v>
      </c>
      <c r="Q38" s="1351" t="str">
        <f t="shared" si="11"/>
        <v>物业管理</v>
      </c>
      <c r="R38" s="705" t="s">
        <v>18</v>
      </c>
      <c r="S38" s="706">
        <f t="shared" si="12"/>
        <v>100</v>
      </c>
      <c r="T38" s="705" t="s">
        <v>18</v>
      </c>
      <c r="U38" s="706">
        <f t="shared" si="13"/>
        <v>100</v>
      </c>
      <c r="V38" s="705" t="s">
        <v>18</v>
      </c>
      <c r="W38" s="706">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t="s">
        <v>3401</v>
      </c>
      <c r="D39" s="386">
        <v>100</v>
      </c>
      <c r="E39" s="1906" t="s">
        <v>3401</v>
      </c>
      <c r="F39" s="412">
        <f>SUMIF(116:116,E39,117:117)-SUMIF(116:116,C39,117:117)+100</f>
        <v>100</v>
      </c>
      <c r="G39" s="1905" t="s">
        <v>3401</v>
      </c>
      <c r="H39" s="386">
        <f>SUMIF(116:116,G39,117:117)-SUMIF(116:116,C39,117:117)+100</f>
        <v>100</v>
      </c>
      <c r="I39" s="1906" t="s">
        <v>3401</v>
      </c>
      <c r="J39" s="386">
        <f>SUMIF(116:116,I39,117:117)-SUMIF(116:116,C39,117:117)+100</f>
        <v>100</v>
      </c>
      <c r="K39" s="377"/>
      <c r="L39" s="2709"/>
      <c r="M39" s="2703"/>
      <c r="N39" s="2703"/>
      <c r="O39" s="2703"/>
      <c r="P39" s="3673"/>
      <c r="Q39" s="1351" t="str">
        <f t="shared" si="11"/>
        <v>市政基础设施</v>
      </c>
      <c r="R39" s="705" t="s">
        <v>18</v>
      </c>
      <c r="S39" s="706">
        <f t="shared" si="12"/>
        <v>100</v>
      </c>
      <c r="T39" s="705" t="s">
        <v>18</v>
      </c>
      <c r="U39" s="706">
        <f t="shared" si="13"/>
        <v>100</v>
      </c>
      <c r="V39" s="705" t="s">
        <v>18</v>
      </c>
      <c r="W39" s="706">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t="s">
        <v>3403</v>
      </c>
      <c r="D40" s="386">
        <v>100</v>
      </c>
      <c r="E40" s="1906" t="s">
        <v>3403</v>
      </c>
      <c r="F40" s="412">
        <f>SUMIF(118:118,E40,119:119)-SUMIF(118:118,C40,119:119)+100</f>
        <v>100</v>
      </c>
      <c r="G40" s="1905" t="s">
        <v>3403</v>
      </c>
      <c r="H40" s="386">
        <f>SUMIF(118:118,G40,119:119)-SUMIF(118:118,C40,119:119)+100</f>
        <v>100</v>
      </c>
      <c r="I40" s="1906" t="s">
        <v>3403</v>
      </c>
      <c r="J40" s="386">
        <f>SUMIF(118:118,I40,119:119)-SUMIF(118:118,C40,119:119)+100</f>
        <v>100</v>
      </c>
      <c r="K40" s="377"/>
      <c r="L40" s="2709"/>
      <c r="M40" s="2703"/>
      <c r="N40" s="2703"/>
      <c r="O40" s="2703"/>
      <c r="P40" s="3673"/>
      <c r="Q40" s="1351" t="str">
        <f t="shared" si="11"/>
        <v>房型</v>
      </c>
      <c r="R40" s="705" t="s">
        <v>18</v>
      </c>
      <c r="S40" s="706">
        <f t="shared" si="12"/>
        <v>100</v>
      </c>
      <c r="T40" s="705" t="s">
        <v>18</v>
      </c>
      <c r="U40" s="706">
        <f t="shared" si="13"/>
        <v>100</v>
      </c>
      <c r="V40" s="705" t="s">
        <v>18</v>
      </c>
      <c r="W40" s="706">
        <f t="shared" si="14"/>
        <v>100</v>
      </c>
      <c r="X40" s="1354"/>
      <c r="Y40" s="3675"/>
      <c r="Z40" s="1355" t="str">
        <f t="shared" si="18"/>
        <v>房型</v>
      </c>
      <c r="AA40" s="1352">
        <f t="shared" si="15"/>
        <v>1</v>
      </c>
      <c r="AB40" s="1352">
        <f t="shared" si="16"/>
        <v>1</v>
      </c>
      <c r="AC40" s="1352">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8"/>
      <c r="M41" s="2710"/>
      <c r="N41" s="2710"/>
      <c r="O41" s="2710"/>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2">
        <f t="shared" si="15"/>
        <v>1</v>
      </c>
      <c r="AB41" s="1352">
        <f t="shared" si="16"/>
        <v>1</v>
      </c>
      <c r="AC41" s="1352">
        <f t="shared" si="17"/>
        <v>1</v>
      </c>
    </row>
    <row r="42" spans="1:29" ht="15">
      <c r="A42" s="423"/>
      <c r="B42" s="375" t="s">
        <v>1706</v>
      </c>
      <c r="C42" s="1905" t="s">
        <v>3405</v>
      </c>
      <c r="D42" s="386">
        <v>100</v>
      </c>
      <c r="E42" s="1906" t="s">
        <v>3405</v>
      </c>
      <c r="F42" s="412">
        <f>SUMIF(122:122,E42,123:123)-SUMIF(122:122,C42,123:123)+100</f>
        <v>100</v>
      </c>
      <c r="G42" s="1905" t="s">
        <v>3405</v>
      </c>
      <c r="H42" s="386">
        <f>SUMIF(122:122,G42,123:123)-SUMIF(122:122,C42,123:123)+100</f>
        <v>100</v>
      </c>
      <c r="I42" s="1906" t="s">
        <v>3405</v>
      </c>
      <c r="J42" s="386">
        <f>SUMIF(122:122,I42,123:123)-SUMIF(122:122,C42,123:123)+100</f>
        <v>100</v>
      </c>
      <c r="K42" s="377"/>
      <c r="L42" s="2709"/>
      <c r="M42" s="2703"/>
      <c r="N42" s="2703"/>
      <c r="O42" s="2703"/>
      <c r="P42" s="3673"/>
      <c r="Q42" s="1351" t="str">
        <f t="shared" si="11"/>
        <v>内部装修</v>
      </c>
      <c r="R42" s="705" t="s">
        <v>18</v>
      </c>
      <c r="S42" s="706">
        <f t="shared" si="12"/>
        <v>100</v>
      </c>
      <c r="T42" s="705" t="s">
        <v>18</v>
      </c>
      <c r="U42" s="706">
        <f t="shared" si="13"/>
        <v>100</v>
      </c>
      <c r="V42" s="705" t="s">
        <v>18</v>
      </c>
      <c r="W42" s="706">
        <f t="shared" si="14"/>
        <v>100</v>
      </c>
      <c r="X42" s="1354"/>
      <c r="Y42" s="3675"/>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9"/>
      <c r="M43" s="2703"/>
      <c r="N43" s="2703"/>
      <c r="O43" s="2703"/>
      <c r="P43" s="3673"/>
      <c r="Q43" s="1351" t="str">
        <f t="shared" si="11"/>
        <v>内部装修维护情况</v>
      </c>
      <c r="R43" s="705" t="s">
        <v>18</v>
      </c>
      <c r="S43" s="706">
        <f t="shared" si="12"/>
        <v>100</v>
      </c>
      <c r="T43" s="705" t="s">
        <v>18</v>
      </c>
      <c r="U43" s="706">
        <f t="shared" si="13"/>
        <v>100</v>
      </c>
      <c r="V43" s="705" t="s">
        <v>18</v>
      </c>
      <c r="W43" s="706">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3">
        <v>111</v>
      </c>
      <c r="C44" s="420">
        <v>1980</v>
      </c>
      <c r="D44" s="127">
        <v>100</v>
      </c>
      <c r="E44" s="420">
        <v>1997</v>
      </c>
      <c r="F44" s="376">
        <f>SUMIF(126:126,E44,127:127)-SUMIF(126:126,C44,127:127)+100</f>
        <v>100</v>
      </c>
      <c r="G44" s="420">
        <v>1996</v>
      </c>
      <c r="H44" s="127">
        <f>SUMIF(126:126,G44,127:127)-SUMIF(126:126,C44,127:127)+100</f>
        <v>100</v>
      </c>
      <c r="I44" s="420">
        <v>1981</v>
      </c>
      <c r="J44" s="127">
        <f>SUMIF(126:126,I44,127:127)-SUMIF(126:126,C44,127:127)+100</f>
        <v>100</v>
      </c>
      <c r="K44" s="1893"/>
      <c r="L44" s="2704"/>
      <c r="M44" s="2705"/>
      <c r="N44" s="2705"/>
      <c r="O44" s="2705"/>
      <c r="P44" s="3673"/>
      <c r="Q44" s="1342">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3440" t="s">
        <v>3446</v>
      </c>
      <c r="C45" s="3451" t="s">
        <v>3447</v>
      </c>
      <c r="D45" s="386">
        <v>100</v>
      </c>
      <c r="E45" s="3451" t="s">
        <v>3447</v>
      </c>
      <c r="F45" s="412">
        <f>SUMIF(128:128,E45,129:129)-SUMIF(128:128,C45,129:129)+100</f>
        <v>100</v>
      </c>
      <c r="G45" s="3451" t="s">
        <v>3447</v>
      </c>
      <c r="H45" s="386">
        <f>SUMIF(128:128,G45,129:129)-SUMIF(128:128,C45,129:129)+100</f>
        <v>100</v>
      </c>
      <c r="I45" s="3451" t="s">
        <v>3451</v>
      </c>
      <c r="J45" s="386">
        <f>SUMIF(128:128,I45,129:129)-SUMIF(128:128,C45,129:129)+100</f>
        <v>100</v>
      </c>
      <c r="K45" s="1893"/>
      <c r="L45" s="2709"/>
      <c r="M45" s="2703"/>
      <c r="N45" s="2703"/>
      <c r="O45" s="2703"/>
      <c r="P45" s="3673"/>
      <c r="Q45" s="1351" t="str">
        <f t="shared" si="11"/>
        <v>电梯</v>
      </c>
      <c r="R45" s="705" t="s">
        <v>18</v>
      </c>
      <c r="S45" s="706">
        <f t="shared" si="12"/>
        <v>100</v>
      </c>
      <c r="T45" s="705" t="s">
        <v>18</v>
      </c>
      <c r="U45" s="706">
        <f t="shared" si="13"/>
        <v>100</v>
      </c>
      <c r="V45" s="705" t="s">
        <v>18</v>
      </c>
      <c r="W45" s="706">
        <f t="shared" si="14"/>
        <v>100</v>
      </c>
      <c r="X45" s="1354"/>
      <c r="Y45" s="3675"/>
      <c r="Z45" s="1355" t="str">
        <f t="shared" si="18"/>
        <v>电梯</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9"/>
      <c r="M46" s="2703"/>
      <c r="N46" s="2703"/>
      <c r="O46" s="2703"/>
      <c r="P46" s="3674"/>
      <c r="Q46" s="1351">
        <f t="shared" si="11"/>
        <v>111</v>
      </c>
      <c r="R46" s="705" t="s">
        <v>17</v>
      </c>
      <c r="S46" s="706">
        <f t="shared" si="12"/>
        <v>100</v>
      </c>
      <c r="T46" s="705" t="s">
        <v>17</v>
      </c>
      <c r="U46" s="706">
        <f t="shared" si="13"/>
        <v>100</v>
      </c>
      <c r="V46" s="705" t="s">
        <v>17</v>
      </c>
      <c r="W46" s="706">
        <f t="shared" si="14"/>
        <v>100</v>
      </c>
      <c r="X46" s="1354"/>
      <c r="Y46" s="3676"/>
      <c r="Z46" s="1355">
        <f t="shared" si="18"/>
        <v>111</v>
      </c>
      <c r="AA46" s="1352">
        <f t="shared" si="15"/>
        <v>1</v>
      </c>
      <c r="AB46" s="1352">
        <f t="shared" si="16"/>
        <v>1</v>
      </c>
      <c r="AC46" s="1352">
        <f t="shared" si="17"/>
        <v>1</v>
      </c>
    </row>
    <row r="47" spans="1:29" ht="14.4">
      <c r="A47" s="430" t="s">
        <v>1708</v>
      </c>
      <c r="B47" s="431"/>
      <c r="C47" s="1154" t="s">
        <v>16</v>
      </c>
      <c r="D47" s="1155"/>
      <c r="E47" s="1156">
        <v>82420</v>
      </c>
      <c r="F47" s="1157"/>
      <c r="G47" s="1158">
        <v>68546</v>
      </c>
      <c r="H47" s="1159"/>
      <c r="I47" s="1156">
        <v>65597</v>
      </c>
      <c r="J47" s="1159"/>
      <c r="K47" s="1913"/>
      <c r="L47" s="2711"/>
      <c r="M47" s="2712"/>
      <c r="N47" s="2703"/>
      <c r="O47" s="2712"/>
      <c r="P47" s="3668" t="str">
        <f>A47</f>
        <v>成交单价（元/平方米）</v>
      </c>
      <c r="Q47" s="3668"/>
      <c r="R47" s="3669">
        <f>E47</f>
        <v>82420</v>
      </c>
      <c r="S47" s="3669"/>
      <c r="T47" s="3669">
        <f>G47</f>
        <v>68546</v>
      </c>
      <c r="U47" s="3669"/>
      <c r="V47" s="3669">
        <f>I47</f>
        <v>65597</v>
      </c>
      <c r="W47" s="3669"/>
      <c r="X47" s="690"/>
      <c r="Y47" s="712"/>
      <c r="Z47" s="690"/>
      <c r="AA47" s="690"/>
      <c r="AB47" s="690"/>
      <c r="AC47" s="690"/>
    </row>
    <row r="48" spans="1:29" ht="15" thickBot="1">
      <c r="A48" s="437" t="s">
        <v>1709</v>
      </c>
      <c r="B48" s="438"/>
      <c r="C48" s="1160">
        <f>R49</f>
        <v>73591</v>
      </c>
      <c r="D48" s="2316" t="s">
        <v>2138</v>
      </c>
      <c r="E48" s="1161">
        <f>R48</f>
        <v>80876</v>
      </c>
      <c r="F48" s="2317"/>
      <c r="G48" s="1160">
        <f>T48</f>
        <v>72145</v>
      </c>
      <c r="H48" s="2317"/>
      <c r="I48" s="1161">
        <f>V48</f>
        <v>67751</v>
      </c>
      <c r="J48" s="2317"/>
      <c r="K48" s="2318">
        <f>F48+H48+J48</f>
        <v>0</v>
      </c>
      <c r="L48" s="2711"/>
      <c r="M48" s="2712"/>
      <c r="N48" s="2712"/>
      <c r="O48" s="2712"/>
      <c r="P48" s="3668" t="str">
        <f>A48</f>
        <v>比较价值（元/平方米）</v>
      </c>
      <c r="Q48" s="3668"/>
      <c r="R48" s="3669">
        <f>IF(F1="售价",ROUND(PRODUCT(R47,AA7:AA46),0),ROUND(PRODUCT(R47,AA7:AA46),1))</f>
        <v>80876</v>
      </c>
      <c r="S48" s="3669"/>
      <c r="T48" s="3669">
        <f>IF(F1="售价",ROUND(PRODUCT(T47,AB7:AB46),0),ROUND(PRODUCT(T47,AB7:AB46),1))</f>
        <v>72145</v>
      </c>
      <c r="U48" s="3669"/>
      <c r="V48" s="3669">
        <f>IF(F1="售价",ROUND(PRODUCT(V47,AC7:AC46),0),ROUND(PRODUCT(V47,AC7:AC46),1))</f>
        <v>67751</v>
      </c>
      <c r="W48" s="3669"/>
      <c r="X48" s="690"/>
      <c r="Y48" s="690"/>
      <c r="Z48" s="690"/>
      <c r="AA48" s="690"/>
      <c r="AB48" s="690"/>
      <c r="AC48" s="690"/>
    </row>
    <row r="49" spans="1:29" ht="15" thickBot="1">
      <c r="A49" s="441" t="s">
        <v>1710</v>
      </c>
      <c r="B49" s="442"/>
      <c r="C49" s="1162">
        <f>R49</f>
        <v>73591</v>
      </c>
      <c r="D49" s="1163"/>
      <c r="E49" s="1163"/>
      <c r="F49" s="1163"/>
      <c r="G49" s="1163"/>
      <c r="H49" s="1163"/>
      <c r="I49" s="1163"/>
      <c r="J49" s="1163"/>
      <c r="K49" s="1914"/>
      <c r="L49" s="2711"/>
      <c r="M49" s="2712"/>
      <c r="N49" s="2712"/>
      <c r="O49" s="2712"/>
      <c r="P49" s="3665" t="str">
        <f>A49</f>
        <v>估价对象XX用房的比较价值（楼面单价，元/平方米）</v>
      </c>
      <c r="Q49" s="3666"/>
      <c r="R49" s="3667">
        <f>IF(F1="售价",ROUND(IF(D48="简单平均",AVERAGE(R48:V48),R48*F48+T48*H48+V48*J48),0),ROUND(IF(D48="简单平均",AVERAGE(R48:V48),R48*F48+T48*H48+V48*J48),1))</f>
        <v>73591</v>
      </c>
      <c r="S49" s="3667"/>
      <c r="T49" s="3667"/>
      <c r="U49" s="3667"/>
      <c r="V49" s="3667"/>
      <c r="W49" s="3667"/>
      <c r="X49" s="690"/>
      <c r="Y49" s="690"/>
      <c r="Z49" s="690"/>
      <c r="AA49" s="690"/>
      <c r="AB49" s="690"/>
      <c r="AC49" s="690"/>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6" t="s">
        <v>1711</v>
      </c>
      <c r="D52" s="447"/>
      <c r="E52" s="448">
        <f>IF(E47&lt;E48,E48/E47-1,E47/E48-1)</f>
        <v>1.9090954053118336E-2</v>
      </c>
      <c r="F52" s="449" t="str">
        <f>IF(OR(E52&gt;=0.3,E52&lt;=-0.3),"超过30%","")</f>
        <v/>
      </c>
      <c r="G52" s="448">
        <f>IF(G47&lt;G48,G48/G47-1,G47/G48-1)</f>
        <v>5.2504887229014141E-2</v>
      </c>
      <c r="H52" s="449" t="str">
        <f>IF(OR(G52&gt;=0.3,G52&lt;=-0.3),"超过30%","")</f>
        <v/>
      </c>
      <c r="I52" s="448">
        <f>IF(I47&lt;I48,I48/I47-1,I47/I48-1)</f>
        <v>3.2836867539673964E-2</v>
      </c>
      <c r="J52" s="449" t="str">
        <f>IF(OR(I52&gt;=0.3,I52&lt;=-0.3),"超过30%","")</f>
        <v/>
      </c>
      <c r="K52" s="2717"/>
      <c r="L52" s="2713"/>
      <c r="M52" s="2712"/>
      <c r="N52" s="2712"/>
      <c r="O52" s="2712"/>
    </row>
    <row r="53" spans="1:29" ht="13.5" customHeight="1">
      <c r="A53" s="2712"/>
      <c r="B53" s="2712"/>
      <c r="C53" s="446" t="s">
        <v>1712</v>
      </c>
      <c r="D53" s="450"/>
      <c r="E53" s="448">
        <f>IF(E48&lt;G48,G48/E48-1,E48/G48-1)</f>
        <v>0.12102016771779045</v>
      </c>
      <c r="F53" s="449" t="str">
        <f>IF(OR(E53&gt;=0.2,E53&lt;=-0.2),"超过20%","")</f>
        <v/>
      </c>
      <c r="G53" s="448">
        <f>IF(G48&lt;I48,I48/G48-1,G48/I48-1)</f>
        <v>6.4855131289575096E-2</v>
      </c>
      <c r="H53" s="449" t="str">
        <f>IF(OR(G53&gt;=0.2,G53&lt;=-0.2),"超过20%","")</f>
        <v/>
      </c>
      <c r="I53" s="448">
        <f>IF(I48&lt;E48,E48/I48-1,I48/E48-1)</f>
        <v>0.1937240778733893</v>
      </c>
      <c r="J53" s="449" t="str">
        <f>IF(OR(I53&gt;=0.2,I53&lt;=-0.2),"超过20%","")</f>
        <v/>
      </c>
      <c r="K53" s="2717"/>
      <c r="L53" s="2713"/>
      <c r="M53" s="2712"/>
      <c r="N53" s="2712"/>
      <c r="O53" s="2712"/>
    </row>
    <row r="54" spans="1:29" s="451" customFormat="1" ht="13.5" customHeight="1">
      <c r="A54" s="2715"/>
      <c r="B54" s="2715"/>
      <c r="C54" s="446" t="s">
        <v>1713</v>
      </c>
      <c r="D54" s="450"/>
      <c r="E54" s="448">
        <f>IF(E47&lt;G47,G47/E47-1,E47/G47-1)</f>
        <v>0.20240422490006704</v>
      </c>
      <c r="F54" s="449" t="str">
        <f>IF(OR(E54&gt;=0.3,E54&lt;=-0.3),"超过30%","")</f>
        <v/>
      </c>
      <c r="G54" s="448">
        <f>IF(G47&lt;I47,I47/G47-1,G47/I47-1)</f>
        <v>4.4956324222144239E-2</v>
      </c>
      <c r="H54" s="449" t="str">
        <f>IF(OR(G54&gt;=0.3,G54&lt;=-0.3),"超过30%","")</f>
        <v/>
      </c>
      <c r="I54" s="448">
        <f>IF(I47&lt;E47,E47/I47-1,I47/E47-1)</f>
        <v>0.25645989908075073</v>
      </c>
      <c r="J54" s="449" t="str">
        <f>IF(OR(I54&gt;=0.3,I54&lt;=-0.3),"超过30%","")</f>
        <v/>
      </c>
      <c r="K54" s="2720"/>
      <c r="L54" s="2714"/>
      <c r="M54" s="2715"/>
      <c r="N54" s="2715"/>
      <c r="O54" s="2715"/>
      <c r="P54" s="1916"/>
    </row>
    <row r="55" spans="1:29" s="451" customFormat="1">
      <c r="A55" s="2715"/>
      <c r="B55" s="2718"/>
      <c r="C55" s="2719"/>
      <c r="D55" s="2715"/>
      <c r="E55" s="2715"/>
      <c r="F55" s="2715"/>
      <c r="G55" s="2715"/>
      <c r="H55" s="2715"/>
      <c r="I55" s="2715"/>
      <c r="J55" s="2715"/>
      <c r="K55" s="2720"/>
      <c r="L55" s="2714"/>
      <c r="M55" s="2715"/>
      <c r="N55" s="2715"/>
      <c r="O55" s="2715"/>
      <c r="P55" s="1916"/>
    </row>
    <row r="56" spans="1:29">
      <c r="A56" s="2712"/>
      <c r="B56" s="2718"/>
      <c r="C56" s="2719"/>
      <c r="D56" s="2712"/>
      <c r="E56" s="2712"/>
      <c r="F56" s="2712"/>
      <c r="G56" s="2712"/>
      <c r="H56" s="2712"/>
      <c r="I56" s="2712"/>
      <c r="J56" s="2712"/>
      <c r="K56" s="2717"/>
      <c r="L56" s="2713"/>
      <c r="M56" s="2712"/>
      <c r="N56" s="2712"/>
      <c r="O56" s="2712"/>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8"/>
      <c r="C59" s="1183">
        <v>100</v>
      </c>
      <c r="D59" s="460">
        <v>100</v>
      </c>
      <c r="E59" s="461">
        <v>101</v>
      </c>
      <c r="F59" s="461">
        <v>101</v>
      </c>
      <c r="G59" s="461">
        <f>E59</f>
        <v>101</v>
      </c>
      <c r="H59" s="461">
        <v>102</v>
      </c>
      <c r="I59" s="461">
        <f>H59</f>
        <v>102</v>
      </c>
      <c r="J59" s="461">
        <f>H59</f>
        <v>102</v>
      </c>
      <c r="K59" s="461">
        <v>101.5</v>
      </c>
      <c r="L59" s="461">
        <f>K59</f>
        <v>101.5</v>
      </c>
      <c r="M59" s="462">
        <f>K59</f>
        <v>101.5</v>
      </c>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3434" t="s">
        <v>3412</v>
      </c>
      <c r="D88" s="3434" t="s">
        <v>3414</v>
      </c>
      <c r="E88" s="3434" t="s">
        <v>3413</v>
      </c>
      <c r="F88" s="3434" t="s">
        <v>3456</v>
      </c>
      <c r="G88" s="3434" t="s">
        <v>3455</v>
      </c>
      <c r="H88" s="3434" t="s">
        <v>3415</v>
      </c>
      <c r="I88" s="3434" t="s">
        <v>3416</v>
      </c>
      <c r="J88" s="3434" t="s">
        <v>3417</v>
      </c>
      <c r="K88" s="503"/>
      <c r="L88" s="503"/>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4.4" thickTop="1">
      <c r="A90" s="502"/>
      <c r="B90" s="487" t="str">
        <f>B27</f>
        <v>楼层</v>
      </c>
      <c r="C90" s="503" t="str">
        <f>C27</f>
        <v>3/5（中楼层）</v>
      </c>
      <c r="D90" s="3442" t="str">
        <f>E27</f>
        <v>2/6（低层）</v>
      </c>
      <c r="E90" s="3442" t="str">
        <f>G27</f>
        <v>6/7（高楼层）</v>
      </c>
      <c r="F90" s="3442" t="str">
        <f>I27</f>
        <v>5/5（顶层）</v>
      </c>
      <c r="G90" s="503"/>
      <c r="H90" s="504"/>
      <c r="I90" s="504"/>
      <c r="J90" s="504"/>
      <c r="K90" s="504"/>
      <c r="L90" s="505"/>
      <c r="M90" s="506"/>
      <c r="N90" s="935"/>
      <c r="O90" s="935"/>
      <c r="P90" s="1922"/>
      <c r="Q90" s="508"/>
    </row>
    <row r="91" spans="1:17" s="422" customFormat="1" ht="14.4" thickBot="1">
      <c r="A91" s="502"/>
      <c r="B91" s="492"/>
      <c r="C91" s="509">
        <v>100</v>
      </c>
      <c r="D91" s="509">
        <v>98</v>
      </c>
      <c r="E91" s="509">
        <v>96</v>
      </c>
      <c r="F91" s="509">
        <v>94</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41" t="s">
        <v>3435</v>
      </c>
      <c r="D100" s="3441" t="s">
        <v>3444</v>
      </c>
      <c r="E100" s="3441" t="s">
        <v>3418</v>
      </c>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120(含)-150</v>
      </c>
      <c r="G102" s="527" t="str">
        <f t="shared" si="26"/>
        <v>150(含)-180</v>
      </c>
      <c r="H102" s="527" t="str">
        <f t="shared" si="26"/>
        <v>180(含)-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v>150</v>
      </c>
      <c r="H103" s="544">
        <v>180</v>
      </c>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v>90</v>
      </c>
      <c r="I104" s="485"/>
      <c r="J104" s="485"/>
      <c r="K104" s="485"/>
      <c r="L104" s="485">
        <v>96.5</v>
      </c>
      <c r="M104" s="485"/>
      <c r="N104" s="934"/>
      <c r="O104" s="934"/>
      <c r="P104" s="1922"/>
      <c r="Q104" s="508"/>
    </row>
    <row r="105" spans="1:17" ht="15" thickTop="1">
      <c r="A105" s="548"/>
      <c r="B105" s="487" t="s">
        <v>1738</v>
      </c>
      <c r="C105" s="3434" t="s">
        <v>3396</v>
      </c>
      <c r="D105" s="3434" t="s">
        <v>3445</v>
      </c>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3434" t="s">
        <v>3398</v>
      </c>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2"/>
      <c r="Q113" s="508"/>
    </row>
    <row r="114" spans="1:17" ht="15" thickTop="1">
      <c r="A114" s="548"/>
      <c r="B114" s="487" t="s">
        <v>1741</v>
      </c>
      <c r="C114" s="3434" t="s">
        <v>3400</v>
      </c>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3434" t="s">
        <v>3402</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35" t="s">
        <v>3404</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34" t="s">
        <v>3406</v>
      </c>
      <c r="D122" s="3434" t="s">
        <v>3407</v>
      </c>
      <c r="E122" s="3434" t="s">
        <v>3408</v>
      </c>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t="str">
        <f>B45</f>
        <v>电梯</v>
      </c>
      <c r="C128" s="3434" t="s">
        <v>3448</v>
      </c>
      <c r="D128" s="3434" t="s">
        <v>3449</v>
      </c>
      <c r="E128" s="503"/>
      <c r="F128" s="503"/>
      <c r="G128" s="532"/>
      <c r="H128" s="532"/>
      <c r="I128" s="532"/>
      <c r="J128" s="532"/>
      <c r="K128" s="533"/>
      <c r="L128" s="534"/>
      <c r="M128" s="535"/>
      <c r="N128" s="933"/>
      <c r="O128" s="933"/>
      <c r="P128" s="1921"/>
      <c r="Q128" s="453"/>
    </row>
    <row r="129" spans="1:17" ht="14.4" thickBot="1">
      <c r="A129" s="483"/>
      <c r="B129" s="492"/>
      <c r="C129" s="509">
        <v>100</v>
      </c>
      <c r="D129" s="509">
        <v>107</v>
      </c>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H7:H46 J7:J46 F7:F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6:AF179"/>
  <sheetViews>
    <sheetView topLeftCell="A208" zoomScale="85" zoomScaleNormal="85" workbookViewId="0">
      <selection activeCell="R230" sqref="R230"/>
    </sheetView>
  </sheetViews>
  <sheetFormatPr defaultRowHeight="14.4"/>
  <sheetData>
    <row r="16" spans="32:32">
      <c r="AF16" s="3450"/>
    </row>
    <row r="27" spans="1:1">
      <c r="A27" s="3445"/>
    </row>
    <row r="28" spans="1:1">
      <c r="A28" s="3446" t="s">
        <v>3437</v>
      </c>
    </row>
    <row r="31" spans="1:1">
      <c r="A31" s="3446" t="s">
        <v>3439</v>
      </c>
    </row>
    <row r="82" spans="1:1">
      <c r="A82" s="3446" t="s">
        <v>3438</v>
      </c>
    </row>
    <row r="113" spans="16:16">
      <c r="P113" s="3447" t="s">
        <v>3439</v>
      </c>
    </row>
    <row r="144" spans="16:16">
      <c r="P144" s="3447" t="s">
        <v>3440</v>
      </c>
    </row>
    <row r="179" spans="16:16">
      <c r="P179" s="3447" t="s">
        <v>3438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1766</v>
      </c>
      <c r="C1" s="1238" t="s">
        <v>1662</v>
      </c>
      <c r="D1" s="1225"/>
      <c r="E1" s="3413"/>
      <c r="F1" s="1878"/>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1"/>
      <c r="M2" s="2722"/>
      <c r="N2" s="2722"/>
      <c r="O2" s="272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55.9</v>
      </c>
      <c r="E3" s="1953"/>
      <c r="F3" s="909"/>
      <c r="G3" s="908"/>
      <c r="H3" s="908"/>
      <c r="I3" s="908"/>
      <c r="J3" s="908"/>
      <c r="K3" s="910"/>
      <c r="L3" s="2721"/>
      <c r="M3" s="2722"/>
      <c r="N3" s="2722"/>
      <c r="O3" s="2722"/>
      <c r="P3" s="1951"/>
      <c r="Q3" s="912"/>
      <c r="R3" s="912"/>
      <c r="S3" s="912"/>
      <c r="T3" s="912"/>
      <c r="U3" s="912"/>
      <c r="V3" s="912"/>
      <c r="W3" s="912"/>
      <c r="X3" s="912"/>
      <c r="Y3" s="912"/>
      <c r="Z3" s="912"/>
      <c r="AA3" s="912"/>
      <c r="AB3" s="912"/>
      <c r="AC3" s="1953"/>
    </row>
    <row r="4" spans="1:29" ht="14.4">
      <c r="A4" s="355" t="s">
        <v>1769</v>
      </c>
      <c r="B4" s="356"/>
      <c r="C4" s="3683" t="s">
        <v>1770</v>
      </c>
      <c r="D4" s="3684"/>
      <c r="E4" s="3685" t="s">
        <v>1771</v>
      </c>
      <c r="F4" s="3686"/>
      <c r="G4" s="3683" t="s">
        <v>1772</v>
      </c>
      <c r="H4" s="3684"/>
      <c r="I4" s="3683" t="s">
        <v>1773</v>
      </c>
      <c r="J4" s="3684"/>
      <c r="K4" s="559" t="s">
        <v>1774</v>
      </c>
      <c r="L4" s="2702"/>
      <c r="M4" s="2703"/>
      <c r="N4" s="2703"/>
      <c r="O4" s="2703"/>
      <c r="P4" s="3687" t="s">
        <v>1775</v>
      </c>
      <c r="Q4" s="3688"/>
      <c r="R4" s="3693" t="s">
        <v>1771</v>
      </c>
      <c r="S4" s="3694"/>
      <c r="T4" s="3693" t="s">
        <v>1772</v>
      </c>
      <c r="U4" s="3694"/>
      <c r="V4" s="3699" t="s">
        <v>1773</v>
      </c>
      <c r="W4" s="3699"/>
      <c r="X4" s="1354"/>
      <c r="Y4" s="3693" t="s">
        <v>1775</v>
      </c>
      <c r="Z4" s="3694"/>
      <c r="AA4" s="3680" t="s">
        <v>1771</v>
      </c>
      <c r="AB4" s="3699" t="s">
        <v>1772</v>
      </c>
      <c r="AC4" s="3680" t="s">
        <v>1773</v>
      </c>
    </row>
    <row r="5" spans="1:29">
      <c r="A5" s="358"/>
      <c r="B5" s="359"/>
      <c r="C5" s="3702" t="s">
        <v>1673</v>
      </c>
      <c r="D5" s="3703"/>
      <c r="E5" s="3712" t="s">
        <v>1674</v>
      </c>
      <c r="F5" s="3711"/>
      <c r="G5" s="3702" t="s">
        <v>1675</v>
      </c>
      <c r="H5" s="3703"/>
      <c r="I5" s="3702" t="s">
        <v>1676</v>
      </c>
      <c r="J5" s="3703"/>
      <c r="K5" s="559"/>
      <c r="L5" s="2702"/>
      <c r="M5" s="2703"/>
      <c r="N5" s="2703"/>
      <c r="O5" s="2703"/>
      <c r="P5" s="3689"/>
      <c r="Q5" s="3690"/>
      <c r="R5" s="3695"/>
      <c r="S5" s="3696"/>
      <c r="T5" s="3695"/>
      <c r="U5" s="3696"/>
      <c r="V5" s="3699"/>
      <c r="W5" s="3699"/>
      <c r="X5" s="1354"/>
      <c r="Y5" s="3695"/>
      <c r="Z5" s="3696"/>
      <c r="AA5" s="3681"/>
      <c r="AB5" s="3699"/>
      <c r="AC5" s="3681"/>
    </row>
    <row r="6" spans="1:29" ht="15" thickBot="1">
      <c r="A6" s="360"/>
      <c r="B6" s="361"/>
      <c r="C6" s="3700" t="s">
        <v>1677</v>
      </c>
      <c r="D6" s="3701"/>
      <c r="E6" s="3708" t="s">
        <v>1677</v>
      </c>
      <c r="F6" s="3709"/>
      <c r="G6" s="3700" t="s">
        <v>1677</v>
      </c>
      <c r="H6" s="3701"/>
      <c r="I6" s="3700" t="s">
        <v>1677</v>
      </c>
      <c r="J6" s="3701"/>
      <c r="K6" s="559" t="s">
        <v>1678</v>
      </c>
      <c r="L6" s="2702"/>
      <c r="M6" s="2703"/>
      <c r="N6" s="2703"/>
      <c r="O6" s="2703"/>
      <c r="P6" s="3691"/>
      <c r="Q6" s="3692"/>
      <c r="R6" s="3695"/>
      <c r="S6" s="3696"/>
      <c r="T6" s="3697"/>
      <c r="U6" s="3698"/>
      <c r="V6" s="3699"/>
      <c r="W6" s="3699"/>
      <c r="X6" s="1354"/>
      <c r="Y6" s="3697"/>
      <c r="Z6" s="3698"/>
      <c r="AA6" s="3682"/>
      <c r="AB6" s="3699"/>
      <c r="AC6" s="3682"/>
    </row>
    <row r="7" spans="1:29" s="108" customFormat="1" ht="15" thickBot="1">
      <c r="A7" s="362" t="s">
        <v>1679</v>
      </c>
      <c r="B7" s="363"/>
      <c r="C7" s="364">
        <f>'数据-取费表'!B2</f>
        <v>45517</v>
      </c>
      <c r="D7" s="365">
        <v>100</v>
      </c>
      <c r="E7" s="366"/>
      <c r="F7" s="367">
        <f>SUMIF(58:58,YEAR(E7)&amp;"-"&amp;MONTH(E7),59:59)</f>
        <v>0</v>
      </c>
      <c r="G7" s="366"/>
      <c r="H7" s="365">
        <f>SUMIF(58:58,YEAR(G7)&amp;"-"&amp;MONTH(G7),59:59)</f>
        <v>0</v>
      </c>
      <c r="I7" s="366"/>
      <c r="J7" s="365">
        <f>SUMIF(58:58,YEAR(I7)&amp;"-"&amp;MONTH(I7),59:59)</f>
        <v>0</v>
      </c>
      <c r="K7" s="560"/>
      <c r="L7" s="2704"/>
      <c r="M7" s="2705"/>
      <c r="N7" s="2705"/>
      <c r="O7" s="2705"/>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4"/>
      <c r="M8" s="2705"/>
      <c r="N8" s="2705"/>
      <c r="O8" s="2705"/>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4"/>
      <c r="M9" s="2705"/>
      <c r="N9" s="2705"/>
      <c r="O9" s="2705"/>
      <c r="P9" s="3679"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8.8">
      <c r="A10" s="374"/>
      <c r="B10" s="375" t="s">
        <v>1688</v>
      </c>
      <c r="C10" s="3421"/>
      <c r="D10" s="127">
        <v>100</v>
      </c>
      <c r="E10" s="3422"/>
      <c r="F10" s="376">
        <f>SUMIF(65:65,E10,66:66)-SUMIF(65:65,C10,66:66)+100</f>
        <v>100</v>
      </c>
      <c r="G10" s="3421"/>
      <c r="H10" s="127">
        <f>SUMIF(65:65,G10,66:66)-SUMIF(65:65,C10,66:66)+100</f>
        <v>100</v>
      </c>
      <c r="I10" s="3421"/>
      <c r="J10" s="127">
        <f>SUMIF(65:65,I10,66:66)-SUMIF(65:65,C10,66:66)+100</f>
        <v>100</v>
      </c>
      <c r="K10" s="560"/>
      <c r="L10" s="2706"/>
      <c r="M10" s="2707"/>
      <c r="N10" s="2707"/>
      <c r="O10" s="2707"/>
      <c r="P10" s="3679"/>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8"/>
      <c r="M11" s="2703"/>
      <c r="N11" s="2703"/>
      <c r="O11" s="2703"/>
      <c r="P11" s="3679"/>
      <c r="Q11" s="1342"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4"/>
      <c r="M12" s="2705"/>
      <c r="N12" s="2705"/>
      <c r="O12" s="2705"/>
      <c r="P12" s="3679"/>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9"/>
      <c r="M13" s="2703"/>
      <c r="N13" s="2703"/>
      <c r="O13" s="2703"/>
      <c r="P13" s="3679"/>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9"/>
      <c r="M14" s="2703"/>
      <c r="N14" s="2703"/>
      <c r="O14" s="2703"/>
      <c r="P14" s="3679"/>
      <c r="Q14" s="1342">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9"/>
      <c r="M15" s="2703"/>
      <c r="N15" s="2703"/>
      <c r="O15" s="2703"/>
      <c r="P15" s="3677" t="s">
        <v>1691</v>
      </c>
      <c r="Q15" s="1351" t="str">
        <f t="shared" si="6"/>
        <v>商业繁华度</v>
      </c>
      <c r="R15" s="705" t="s">
        <v>14</v>
      </c>
      <c r="S15" s="706">
        <f t="shared" si="0"/>
        <v>100</v>
      </c>
      <c r="T15" s="705" t="s">
        <v>14</v>
      </c>
      <c r="U15" s="706">
        <f t="shared" si="1"/>
        <v>100</v>
      </c>
      <c r="V15" s="705" t="s">
        <v>14</v>
      </c>
      <c r="W15" s="706">
        <f t="shared" si="2"/>
        <v>100</v>
      </c>
      <c r="X15" s="1354"/>
      <c r="Y15" s="367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09"/>
      <c r="M16" s="2703"/>
      <c r="N16" s="2703"/>
      <c r="O16" s="2703"/>
      <c r="P16" s="3678"/>
      <c r="Q16" s="1351"/>
      <c r="R16" s="705"/>
      <c r="S16" s="706"/>
      <c r="T16" s="705"/>
      <c r="U16" s="706"/>
      <c r="V16" s="705"/>
      <c r="W16" s="706"/>
      <c r="X16" s="1354"/>
      <c r="Y16" s="3671"/>
      <c r="Z16" s="1355"/>
      <c r="AA16" s="1352">
        <v>1</v>
      </c>
      <c r="AB16" s="1352">
        <v>1</v>
      </c>
      <c r="AC16" s="1352">
        <v>1</v>
      </c>
    </row>
    <row r="17" spans="1:29" ht="124.2">
      <c r="A17" s="379"/>
      <c r="B17" s="402" t="s">
        <v>1259</v>
      </c>
      <c r="C17" s="1899" t="str">
        <f>估价对象房地状况!C6</f>
        <v>估价对象周边有392路、466路、577路、专12路等多条公交线路，距地铁15号线（清华东路西口站）约700米，综合评价交通便捷度较好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9"/>
      <c r="M17" s="2703"/>
      <c r="N17" s="2703"/>
      <c r="O17" s="2703"/>
      <c r="P17" s="3678"/>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09"/>
      <c r="M18" s="2703"/>
      <c r="N18" s="2703"/>
      <c r="O18" s="2703"/>
      <c r="P18" s="3678"/>
      <c r="Q18" s="1351"/>
      <c r="R18" s="705"/>
      <c r="S18" s="706"/>
      <c r="T18" s="705"/>
      <c r="U18" s="706"/>
      <c r="V18" s="705"/>
      <c r="W18" s="706"/>
      <c r="X18" s="1354"/>
      <c r="Y18" s="3671"/>
      <c r="Z18" s="1355"/>
      <c r="AA18" s="1352">
        <v>1</v>
      </c>
      <c r="AB18" s="1352">
        <v>1</v>
      </c>
      <c r="AC18" s="1352">
        <v>1</v>
      </c>
    </row>
    <row r="19" spans="1:29" ht="41.4">
      <c r="A19" s="379"/>
      <c r="B19" s="402" t="s">
        <v>1778</v>
      </c>
      <c r="C19" s="1899"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09"/>
      <c r="M19" s="2703"/>
      <c r="N19" s="2703"/>
      <c r="O19" s="2703"/>
      <c r="P19" s="3678"/>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09"/>
      <c r="M20" s="2703"/>
      <c r="N20" s="2703"/>
      <c r="O20" s="2703"/>
      <c r="P20" s="3678"/>
      <c r="Q20" s="1351"/>
      <c r="R20" s="705"/>
      <c r="S20" s="706"/>
      <c r="T20" s="705"/>
      <c r="U20" s="706"/>
      <c r="V20" s="705"/>
      <c r="W20" s="706"/>
      <c r="X20" s="1354"/>
      <c r="Y20" s="3671"/>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9"/>
      <c r="M21" s="2703"/>
      <c r="N21" s="2703"/>
      <c r="O21" s="2703"/>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09"/>
      <c r="M22" s="2703"/>
      <c r="N22" s="2703"/>
      <c r="O22" s="2703"/>
      <c r="P22" s="3678"/>
      <c r="Q22" s="1351"/>
      <c r="R22" s="705"/>
      <c r="S22" s="706"/>
      <c r="T22" s="705"/>
      <c r="U22" s="706"/>
      <c r="V22" s="705"/>
      <c r="W22" s="706"/>
      <c r="X22" s="1354"/>
      <c r="Y22" s="3671"/>
      <c r="Z22" s="1355"/>
      <c r="AA22" s="1352">
        <v>1</v>
      </c>
      <c r="AB22" s="1352">
        <v>1</v>
      </c>
      <c r="AC22" s="1352">
        <v>1</v>
      </c>
    </row>
    <row r="23" spans="1:29" ht="124.2">
      <c r="A23" s="379"/>
      <c r="B23" s="402" t="s">
        <v>1261</v>
      </c>
      <c r="C23" s="1954" t="str">
        <f>估价对象房地状况!C9</f>
        <v>区域自然环境：北京东升花园中心、东升八家郊野公园；人文环境：北京林业大学、北京农业大学、清华大学；综合评价环境状况较好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09"/>
      <c r="M23" s="2703"/>
      <c r="N23" s="2703"/>
      <c r="O23" s="2703"/>
      <c r="P23" s="3678"/>
      <c r="Q23" s="1351" t="str">
        <f>B23</f>
        <v>自然及人文环境</v>
      </c>
      <c r="R23" s="705" t="s">
        <v>14</v>
      </c>
      <c r="S23" s="706">
        <f>F23</f>
        <v>100</v>
      </c>
      <c r="T23" s="705" t="s">
        <v>14</v>
      </c>
      <c r="U23" s="706">
        <f>H23</f>
        <v>100</v>
      </c>
      <c r="V23" s="705" t="s">
        <v>14</v>
      </c>
      <c r="W23" s="706">
        <f>J23</f>
        <v>100</v>
      </c>
      <c r="X23" s="1354"/>
      <c r="Y23" s="36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9"/>
      <c r="M24" s="2703"/>
      <c r="N24" s="2703"/>
      <c r="O24" s="2703"/>
      <c r="P24" s="3678"/>
      <c r="Q24" s="1351"/>
      <c r="R24" s="705"/>
      <c r="S24" s="706"/>
      <c r="T24" s="705"/>
      <c r="U24" s="706"/>
      <c r="V24" s="705"/>
      <c r="W24" s="706"/>
      <c r="X24" s="1354"/>
      <c r="Y24" s="367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9"/>
      <c r="M25" s="2703"/>
      <c r="N25" s="2703"/>
      <c r="O25" s="2703"/>
      <c r="P25" s="3678"/>
      <c r="Q25" s="1351" t="str">
        <f t="shared" ref="Q25:Q46" si="11">B25</f>
        <v>临街状况</v>
      </c>
      <c r="R25" s="705" t="s">
        <v>14</v>
      </c>
      <c r="S25" s="706">
        <f>F25</f>
        <v>100</v>
      </c>
      <c r="T25" s="705" t="s">
        <v>14</v>
      </c>
      <c r="U25" s="706">
        <f>H25</f>
        <v>100</v>
      </c>
      <c r="V25" s="705" t="s">
        <v>14</v>
      </c>
      <c r="W25" s="706">
        <f>J25</f>
        <v>100</v>
      </c>
      <c r="X25" s="1354"/>
      <c r="Y25" s="367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09"/>
      <c r="M26" s="2703"/>
      <c r="N26" s="2703"/>
      <c r="O26" s="2703"/>
      <c r="P26" s="3678"/>
      <c r="Q26" s="1351" t="str">
        <f t="shared" si="11"/>
        <v>平面位置/可视性</v>
      </c>
      <c r="R26" s="705" t="s">
        <v>14</v>
      </c>
      <c r="S26" s="706">
        <f>F26</f>
        <v>100</v>
      </c>
      <c r="T26" s="705" t="s">
        <v>14</v>
      </c>
      <c r="U26" s="706">
        <f>H26</f>
        <v>100</v>
      </c>
      <c r="V26" s="705" t="s">
        <v>14</v>
      </c>
      <c r="W26" s="706">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04"/>
      <c r="M27" s="2705"/>
      <c r="N27" s="2705"/>
      <c r="O27" s="2705"/>
      <c r="P27" s="3678"/>
      <c r="Q27" s="1342" t="str">
        <f t="shared" si="11"/>
        <v>人流量</v>
      </c>
      <c r="R27" s="701" t="s">
        <v>14</v>
      </c>
      <c r="S27" s="702">
        <f>F27</f>
        <v>100</v>
      </c>
      <c r="T27" s="701" t="s">
        <v>14</v>
      </c>
      <c r="U27" s="702">
        <f>H27</f>
        <v>100</v>
      </c>
      <c r="V27" s="701" t="s">
        <v>14</v>
      </c>
      <c r="W27" s="702">
        <f>J27</f>
        <v>100</v>
      </c>
      <c r="X27" s="703"/>
      <c r="Y27" s="367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9"/>
      <c r="M28" s="2703"/>
      <c r="N28" s="2703"/>
      <c r="O28" s="2703"/>
      <c r="P28" s="367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9"/>
      <c r="M29" s="2703"/>
      <c r="N29" s="2703"/>
      <c r="O29" s="2703"/>
      <c r="P29" s="3678"/>
      <c r="Q29" s="1351">
        <f t="shared" si="11"/>
        <v>111</v>
      </c>
      <c r="R29" s="705" t="s">
        <v>14</v>
      </c>
      <c r="S29" s="706">
        <f t="shared" si="12"/>
        <v>100</v>
      </c>
      <c r="T29" s="705" t="s">
        <v>14</v>
      </c>
      <c r="U29" s="706">
        <f t="shared" si="13"/>
        <v>100</v>
      </c>
      <c r="V29" s="705" t="s">
        <v>14</v>
      </c>
      <c r="W29" s="706">
        <f t="shared" si="14"/>
        <v>100</v>
      </c>
      <c r="X29" s="1354"/>
      <c r="Y29" s="367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9"/>
      <c r="M30" s="2703"/>
      <c r="N30" s="2703"/>
      <c r="O30" s="2703"/>
      <c r="P30" s="3678"/>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9"/>
      <c r="M31" s="2703"/>
      <c r="N31" s="2703"/>
      <c r="O31" s="2703"/>
      <c r="P31" s="3678"/>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9"/>
      <c r="M32" s="2703"/>
      <c r="N32" s="2703"/>
      <c r="O32" s="2703"/>
      <c r="P32" s="3672" t="s">
        <v>1696</v>
      </c>
      <c r="Q32" s="1351" t="str">
        <f t="shared" si="11"/>
        <v>商业类型</v>
      </c>
      <c r="R32" s="705" t="s">
        <v>14</v>
      </c>
      <c r="S32" s="706">
        <f t="shared" si="12"/>
        <v>100</v>
      </c>
      <c r="T32" s="705" t="s">
        <v>14</v>
      </c>
      <c r="U32" s="706">
        <f t="shared" si="13"/>
        <v>100</v>
      </c>
      <c r="V32" s="705" t="s">
        <v>14</v>
      </c>
      <c r="W32" s="706">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8"/>
      <c r="M33" s="2710"/>
      <c r="N33" s="2710"/>
      <c r="O33" s="2710"/>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9"/>
      <c r="M34" s="2703"/>
      <c r="N34" s="2703"/>
      <c r="O34" s="2703"/>
      <c r="P34" s="3673"/>
      <c r="Q34" s="1351" t="str">
        <f t="shared" si="11"/>
        <v>建筑结构</v>
      </c>
      <c r="R34" s="705" t="s">
        <v>14</v>
      </c>
      <c r="S34" s="706">
        <f t="shared" si="12"/>
        <v>100</v>
      </c>
      <c r="T34" s="705" t="s">
        <v>14</v>
      </c>
      <c r="U34" s="706">
        <f t="shared" si="13"/>
        <v>100</v>
      </c>
      <c r="V34" s="705" t="s">
        <v>14</v>
      </c>
      <c r="W34" s="706">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9"/>
      <c r="M35" s="2703"/>
      <c r="N35" s="2703"/>
      <c r="O35" s="2703"/>
      <c r="P35" s="3673"/>
      <c r="Q35" s="1351" t="str">
        <f t="shared" si="11"/>
        <v>公共部分装修</v>
      </c>
      <c r="R35" s="705" t="s">
        <v>14</v>
      </c>
      <c r="S35" s="706">
        <f t="shared" si="12"/>
        <v>100</v>
      </c>
      <c r="T35" s="705" t="s">
        <v>14</v>
      </c>
      <c r="U35" s="706">
        <f t="shared" si="13"/>
        <v>100</v>
      </c>
      <c r="V35" s="705" t="s">
        <v>14</v>
      </c>
      <c r="W35" s="706">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9"/>
      <c r="M36" s="2703"/>
      <c r="N36" s="2703"/>
      <c r="O36" s="2703"/>
      <c r="P36" s="3673"/>
      <c r="Q36" s="1351" t="str">
        <f t="shared" si="11"/>
        <v>成新度</v>
      </c>
      <c r="R36" s="705" t="s">
        <v>14</v>
      </c>
      <c r="S36" s="706" t="e">
        <f t="shared" si="12"/>
        <v>#N/A</v>
      </c>
      <c r="T36" s="705" t="s">
        <v>14</v>
      </c>
      <c r="U36" s="706" t="e">
        <f t="shared" si="13"/>
        <v>#N/A</v>
      </c>
      <c r="V36" s="705" t="s">
        <v>14</v>
      </c>
      <c r="W36" s="706" t="e">
        <f t="shared" si="14"/>
        <v>#N/A</v>
      </c>
      <c r="X36" s="1354"/>
      <c r="Y36" s="367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4"/>
      <c r="M37" s="2705"/>
      <c r="N37" s="2705"/>
      <c r="O37" s="2705"/>
      <c r="P37" s="3673"/>
      <c r="Q37" s="1342"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9"/>
      <c r="M38" s="2703"/>
      <c r="N38" s="2703"/>
      <c r="O38" s="2703"/>
      <c r="P38" s="3673" t="s">
        <v>1696</v>
      </c>
      <c r="Q38" s="1351" t="str">
        <f t="shared" si="11"/>
        <v>业态</v>
      </c>
      <c r="R38" s="705" t="s">
        <v>14</v>
      </c>
      <c r="S38" s="706">
        <f t="shared" si="12"/>
        <v>100</v>
      </c>
      <c r="T38" s="705" t="s">
        <v>14</v>
      </c>
      <c r="U38" s="706">
        <f t="shared" si="13"/>
        <v>100</v>
      </c>
      <c r="V38" s="705" t="s">
        <v>14</v>
      </c>
      <c r="W38" s="706">
        <f t="shared" si="14"/>
        <v>100</v>
      </c>
      <c r="X38" s="1354"/>
      <c r="Y38" s="367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9"/>
      <c r="M39" s="2703"/>
      <c r="N39" s="2703"/>
      <c r="O39" s="2703"/>
      <c r="P39" s="3673"/>
      <c r="Q39" s="1351" t="str">
        <f t="shared" si="11"/>
        <v>层高</v>
      </c>
      <c r="R39" s="705" t="s">
        <v>14</v>
      </c>
      <c r="S39" s="706">
        <f t="shared" si="12"/>
        <v>100</v>
      </c>
      <c r="T39" s="705" t="s">
        <v>14</v>
      </c>
      <c r="U39" s="706">
        <f t="shared" si="13"/>
        <v>100</v>
      </c>
      <c r="V39" s="705" t="s">
        <v>14</v>
      </c>
      <c r="W39" s="706">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9"/>
      <c r="M40" s="2703"/>
      <c r="N40" s="2703"/>
      <c r="O40" s="2703"/>
      <c r="P40" s="3673"/>
      <c r="Q40" s="1351" t="str">
        <f t="shared" si="11"/>
        <v>单套建筑面积</v>
      </c>
      <c r="R40" s="705" t="s">
        <v>14</v>
      </c>
      <c r="S40" s="706">
        <f t="shared" si="12"/>
        <v>100</v>
      </c>
      <c r="T40" s="705" t="s">
        <v>14</v>
      </c>
      <c r="U40" s="706">
        <f t="shared" si="13"/>
        <v>100</v>
      </c>
      <c r="V40" s="705" t="s">
        <v>14</v>
      </c>
      <c r="W40" s="706">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8"/>
      <c r="M41" s="2710"/>
      <c r="N41" s="2710"/>
      <c r="O41" s="2710"/>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9"/>
      <c r="M42" s="2703"/>
      <c r="N42" s="2703"/>
      <c r="O42" s="2703"/>
      <c r="P42" s="3673"/>
      <c r="Q42" s="1351" t="str">
        <f t="shared" si="11"/>
        <v>内部装修</v>
      </c>
      <c r="R42" s="705" t="s">
        <v>14</v>
      </c>
      <c r="S42" s="706">
        <f t="shared" si="12"/>
        <v>100</v>
      </c>
      <c r="T42" s="705" t="s">
        <v>14</v>
      </c>
      <c r="U42" s="706">
        <f t="shared" si="13"/>
        <v>100</v>
      </c>
      <c r="V42" s="705" t="s">
        <v>14</v>
      </c>
      <c r="W42" s="706">
        <f t="shared" si="14"/>
        <v>100</v>
      </c>
      <c r="X42" s="1354"/>
      <c r="Y42" s="3675"/>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9"/>
      <c r="M43" s="2703"/>
      <c r="N43" s="2703"/>
      <c r="O43" s="2703"/>
      <c r="P43" s="3673"/>
      <c r="Q43" s="1351" t="str">
        <f t="shared" si="11"/>
        <v>内部装修维护情况</v>
      </c>
      <c r="R43" s="705" t="s">
        <v>14</v>
      </c>
      <c r="S43" s="706">
        <f t="shared" si="12"/>
        <v>100</v>
      </c>
      <c r="T43" s="705" t="s">
        <v>14</v>
      </c>
      <c r="U43" s="706">
        <f t="shared" si="13"/>
        <v>100</v>
      </c>
      <c r="V43" s="705" t="s">
        <v>14</v>
      </c>
      <c r="W43" s="706">
        <f t="shared" si="14"/>
        <v>100</v>
      </c>
      <c r="X43" s="1354"/>
      <c r="Y43" s="367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4"/>
      <c r="M44" s="2705"/>
      <c r="N44" s="2705"/>
      <c r="O44" s="2705"/>
      <c r="P44" s="3673"/>
      <c r="Q44" s="1342">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9"/>
      <c r="M45" s="2703"/>
      <c r="N45" s="2703"/>
      <c r="O45" s="2703"/>
      <c r="P45" s="3673"/>
      <c r="Q45" s="1351">
        <f t="shared" si="11"/>
        <v>111</v>
      </c>
      <c r="R45" s="705" t="s">
        <v>14</v>
      </c>
      <c r="S45" s="706">
        <f t="shared" si="12"/>
        <v>100</v>
      </c>
      <c r="T45" s="705" t="s">
        <v>14</v>
      </c>
      <c r="U45" s="706">
        <f t="shared" si="13"/>
        <v>100</v>
      </c>
      <c r="V45" s="705" t="s">
        <v>14</v>
      </c>
      <c r="W45" s="706">
        <f t="shared" si="14"/>
        <v>100</v>
      </c>
      <c r="X45" s="1354"/>
      <c r="Y45" s="3675"/>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9"/>
      <c r="M46" s="2703"/>
      <c r="N46" s="2703"/>
      <c r="O46" s="2703"/>
      <c r="P46" s="3674"/>
      <c r="Q46" s="1351">
        <f t="shared" si="11"/>
        <v>111</v>
      </c>
      <c r="R46" s="705" t="s">
        <v>14</v>
      </c>
      <c r="S46" s="706">
        <f t="shared" si="12"/>
        <v>100</v>
      </c>
      <c r="T46" s="705" t="s">
        <v>14</v>
      </c>
      <c r="U46" s="706">
        <f t="shared" si="13"/>
        <v>100</v>
      </c>
      <c r="V46" s="705" t="s">
        <v>14</v>
      </c>
      <c r="W46" s="706">
        <f t="shared" si="14"/>
        <v>100</v>
      </c>
      <c r="X46" s="1354"/>
      <c r="Y46" s="3676"/>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11"/>
      <c r="M47" s="2712"/>
      <c r="N47" s="2703"/>
      <c r="O47" s="2712"/>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11"/>
      <c r="M48" s="2712"/>
      <c r="N48" s="2703"/>
      <c r="O48" s="2712"/>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11"/>
      <c r="M49" s="2712"/>
      <c r="N49" s="2703"/>
      <c r="O49" s="2712"/>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51" customFormat="1" ht="13.5" customHeight="1">
      <c r="A54" s="2715"/>
      <c r="B54" s="271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51"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2.2" thickBot="1">
      <c r="A57" s="694" t="s">
        <v>1798</v>
      </c>
      <c r="B57" s="690"/>
      <c r="C57" s="695"/>
      <c r="D57" s="695"/>
      <c r="E57" s="695"/>
      <c r="F57" s="696"/>
      <c r="G57" s="696"/>
      <c r="H57" s="695"/>
      <c r="I57" s="695"/>
      <c r="J57" s="695"/>
      <c r="K57" s="697"/>
      <c r="L57" s="942"/>
      <c r="M57" s="940"/>
      <c r="N57" s="940"/>
      <c r="O57" s="940"/>
      <c r="P57" s="2725"/>
      <c r="Q57" s="2726"/>
      <c r="R57" s="2712"/>
      <c r="S57" s="2712"/>
      <c r="T57" s="2712"/>
      <c r="U57" s="2712"/>
      <c r="V57" s="2712"/>
      <c r="W57" s="2712"/>
      <c r="X57" s="2712"/>
      <c r="Y57" s="2712"/>
      <c r="Z57" s="2712"/>
      <c r="AA57" s="2712"/>
      <c r="AB57" s="2712"/>
      <c r="AC57" s="2712"/>
    </row>
    <row r="58" spans="1:29" s="457" customFormat="1" ht="14.4">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27"/>
      <c r="Q58" s="2728"/>
      <c r="R58" s="2728"/>
      <c r="S58" s="2728"/>
      <c r="T58" s="2728"/>
      <c r="U58" s="2728"/>
      <c r="V58" s="2728"/>
      <c r="W58" s="2728"/>
      <c r="X58" s="2728"/>
      <c r="Y58" s="2728"/>
      <c r="Z58" s="2728"/>
      <c r="AA58" s="2728"/>
      <c r="AB58" s="2728"/>
      <c r="AC58" s="2728"/>
    </row>
    <row r="59" spans="1:29" s="108" customFormat="1">
      <c r="A59" s="458"/>
      <c r="B59" s="459"/>
      <c r="C59" s="1183">
        <v>100</v>
      </c>
      <c r="D59" s="461"/>
      <c r="E59" s="461"/>
      <c r="F59" s="461"/>
      <c r="G59" s="461"/>
      <c r="H59" s="461"/>
      <c r="I59" s="461"/>
      <c r="J59" s="461"/>
      <c r="K59" s="461"/>
      <c r="L59" s="461"/>
      <c r="M59" s="462"/>
      <c r="N59" s="461"/>
      <c r="O59" s="462"/>
      <c r="P59" s="2729"/>
      <c r="Q59" s="2650"/>
      <c r="R59" s="2650"/>
      <c r="S59" s="2650"/>
      <c r="T59" s="2650"/>
      <c r="U59" s="2650"/>
      <c r="V59" s="2650"/>
      <c r="W59" s="2650"/>
      <c r="X59" s="2650"/>
      <c r="Y59" s="2650"/>
      <c r="Z59" s="2650"/>
      <c r="AA59" s="2650"/>
      <c r="AB59" s="2650"/>
      <c r="AC59" s="2650"/>
    </row>
    <row r="60" spans="1:29" s="108" customFormat="1" ht="15" thickBot="1">
      <c r="A60" s="464" t="s">
        <v>1716</v>
      </c>
      <c r="B60" s="465"/>
      <c r="C60" s="466"/>
      <c r="D60" s="467"/>
      <c r="E60" s="467"/>
      <c r="F60" s="467"/>
      <c r="G60" s="467"/>
      <c r="H60" s="467"/>
      <c r="I60" s="467"/>
      <c r="J60" s="467"/>
      <c r="K60" s="467"/>
      <c r="L60" s="467"/>
      <c r="M60" s="468"/>
      <c r="N60" s="467"/>
      <c r="O60" s="468"/>
      <c r="P60" s="2729"/>
      <c r="Q60" s="2726"/>
      <c r="R60" s="2650"/>
      <c r="S60" s="2650"/>
      <c r="T60" s="2650"/>
      <c r="U60" s="2650"/>
      <c r="V60" s="2650"/>
      <c r="W60" s="2650"/>
      <c r="X60" s="2650"/>
      <c r="Y60" s="2650"/>
      <c r="Z60" s="2650"/>
      <c r="AA60" s="2650"/>
      <c r="AB60" s="2650"/>
      <c r="AC60" s="2650"/>
    </row>
    <row r="61" spans="1:29" s="108" customFormat="1" ht="14.4">
      <c r="A61" s="470" t="s">
        <v>1681</v>
      </c>
      <c r="B61" s="459"/>
      <c r="C61" s="471" t="s">
        <v>1776</v>
      </c>
      <c r="D61" s="472"/>
      <c r="E61" s="472"/>
      <c r="F61" s="472"/>
      <c r="G61" s="472"/>
      <c r="H61" s="472"/>
      <c r="I61" s="472"/>
      <c r="J61" s="472"/>
      <c r="K61" s="472"/>
      <c r="L61" s="473"/>
      <c r="M61" s="474"/>
      <c r="N61" s="2739"/>
      <c r="O61" s="2739"/>
      <c r="P61" s="2730"/>
      <c r="Q61" s="2726"/>
      <c r="R61" s="2650"/>
      <c r="S61" s="2650"/>
      <c r="T61" s="2650"/>
      <c r="U61" s="2650"/>
      <c r="V61" s="2650"/>
      <c r="W61" s="2650"/>
      <c r="X61" s="2650"/>
      <c r="Y61" s="2650"/>
      <c r="Z61" s="2650"/>
      <c r="AA61" s="2650"/>
      <c r="AB61" s="2650"/>
      <c r="AC61" s="2650"/>
    </row>
    <row r="62" spans="1:29" s="108" customFormat="1" ht="14.4" thickBot="1">
      <c r="A62" s="470"/>
      <c r="B62" s="459"/>
      <c r="C62" s="460">
        <v>100</v>
      </c>
      <c r="D62" s="461"/>
      <c r="E62" s="461"/>
      <c r="F62" s="461"/>
      <c r="G62" s="461"/>
      <c r="H62" s="461"/>
      <c r="I62" s="461"/>
      <c r="J62" s="461"/>
      <c r="K62" s="461"/>
      <c r="L62" s="461"/>
      <c r="M62" s="463"/>
      <c r="N62" s="2739"/>
      <c r="O62" s="2739"/>
      <c r="P62" s="2729"/>
      <c r="Q62" s="2726"/>
      <c r="R62" s="2650"/>
      <c r="S62" s="2650"/>
      <c r="T62" s="2650"/>
      <c r="U62" s="2650"/>
      <c r="V62" s="2650"/>
      <c r="W62" s="2650"/>
      <c r="X62" s="2650"/>
      <c r="Y62" s="2650"/>
      <c r="Z62" s="2650"/>
      <c r="AA62" s="2650"/>
      <c r="AB62" s="2650"/>
      <c r="AC62" s="2650"/>
    </row>
    <row r="63" spans="1:29" ht="14.4">
      <c r="A63" s="476" t="s">
        <v>1719</v>
      </c>
      <c r="B63" s="477" t="s">
        <v>1685</v>
      </c>
      <c r="C63" s="478">
        <f>C9</f>
        <v>0</v>
      </c>
      <c r="D63" s="479"/>
      <c r="E63" s="479"/>
      <c r="F63" s="479"/>
      <c r="G63" s="479"/>
      <c r="H63" s="479"/>
      <c r="I63" s="479"/>
      <c r="J63" s="479"/>
      <c r="K63" s="480"/>
      <c r="L63" s="481"/>
      <c r="M63" s="482"/>
      <c r="N63" s="2740"/>
      <c r="O63" s="2740"/>
      <c r="P63" s="2731"/>
      <c r="Q63" s="2726"/>
      <c r="R63" s="2712"/>
      <c r="S63" s="2712"/>
      <c r="T63" s="2712"/>
      <c r="U63" s="2712"/>
      <c r="V63" s="2712"/>
      <c r="W63" s="2712"/>
      <c r="X63" s="2712"/>
      <c r="Y63" s="2712"/>
      <c r="Z63" s="2712"/>
      <c r="AA63" s="2712"/>
      <c r="AB63" s="2712"/>
      <c r="AC63" s="2712"/>
    </row>
    <row r="64" spans="1:29" ht="14.4" thickBot="1">
      <c r="A64" s="483"/>
      <c r="B64" s="484"/>
      <c r="C64" s="485">
        <v>100</v>
      </c>
      <c r="D64" s="485"/>
      <c r="E64" s="485"/>
      <c r="F64" s="485"/>
      <c r="G64" s="485"/>
      <c r="H64" s="485"/>
      <c r="I64" s="485"/>
      <c r="J64" s="485"/>
      <c r="K64" s="485"/>
      <c r="L64" s="485"/>
      <c r="M64" s="486"/>
      <c r="N64" s="2741"/>
      <c r="O64" s="2741"/>
      <c r="P64" s="2731"/>
      <c r="Q64" s="2726"/>
      <c r="R64" s="2712"/>
      <c r="S64" s="2712"/>
      <c r="T64" s="2712"/>
      <c r="U64" s="2712"/>
      <c r="V64" s="2712"/>
      <c r="W64" s="2712"/>
      <c r="X64" s="2712"/>
      <c r="Y64" s="2712"/>
      <c r="Z64" s="2712"/>
      <c r="AA64" s="2712"/>
      <c r="AB64" s="2712"/>
      <c r="AC64" s="2712"/>
    </row>
    <row r="65" spans="1:29" ht="29.4" thickTop="1">
      <c r="A65" s="483"/>
      <c r="B65" s="487" t="s">
        <v>1688</v>
      </c>
      <c r="C65" s="532"/>
      <c r="D65" s="532"/>
      <c r="E65" s="532"/>
      <c r="F65" s="532"/>
      <c r="G65" s="532"/>
      <c r="H65" s="532"/>
      <c r="I65" s="532"/>
      <c r="J65" s="532"/>
      <c r="K65" s="533"/>
      <c r="L65" s="534"/>
      <c r="M65" s="535"/>
      <c r="N65" s="2740"/>
      <c r="O65" s="2740"/>
      <c r="P65" s="2731"/>
      <c r="Q65" s="2726"/>
      <c r="R65" s="2712"/>
      <c r="S65" s="2712"/>
      <c r="T65" s="2712"/>
      <c r="U65" s="2712"/>
      <c r="V65" s="2712"/>
      <c r="W65" s="2712"/>
      <c r="X65" s="2712"/>
      <c r="Y65" s="2712"/>
      <c r="Z65" s="2712"/>
      <c r="AA65" s="2712"/>
      <c r="AB65" s="2712"/>
      <c r="AC65" s="2712"/>
    </row>
    <row r="66" spans="1:29" ht="14.4" thickBot="1">
      <c r="A66" s="483"/>
      <c r="B66" s="492"/>
      <c r="C66" s="485"/>
      <c r="D66" s="485"/>
      <c r="E66" s="485"/>
      <c r="F66" s="485"/>
      <c r="G66" s="485"/>
      <c r="H66" s="485"/>
      <c r="I66" s="485"/>
      <c r="J66" s="485"/>
      <c r="K66" s="485"/>
      <c r="L66" s="485"/>
      <c r="M66" s="486"/>
      <c r="N66" s="2741"/>
      <c r="O66" s="2741"/>
      <c r="P66" s="2731"/>
      <c r="Q66" s="2726"/>
      <c r="R66" s="2712"/>
      <c r="S66" s="2712"/>
      <c r="T66" s="2712"/>
      <c r="U66" s="2712"/>
      <c r="V66" s="2712"/>
      <c r="W66" s="2712"/>
      <c r="X66" s="2712"/>
      <c r="Y66" s="2712"/>
      <c r="Z66" s="2712"/>
      <c r="AA66" s="2712"/>
      <c r="AB66" s="2712"/>
      <c r="AC66" s="271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1"/>
      <c r="O67" s="2741"/>
      <c r="P67" s="2731"/>
      <c r="Q67" s="2726"/>
      <c r="R67" s="2712"/>
      <c r="S67" s="2712"/>
      <c r="T67" s="2712"/>
      <c r="U67" s="2712"/>
      <c r="V67" s="2712"/>
      <c r="W67" s="2712"/>
      <c r="X67" s="2712"/>
      <c r="Y67" s="2712"/>
      <c r="Z67" s="2712"/>
      <c r="AA67" s="2712"/>
      <c r="AB67" s="2712"/>
      <c r="AC67" s="2712"/>
    </row>
    <row r="68" spans="1:29">
      <c r="A68" s="483"/>
      <c r="B68" s="497"/>
      <c r="C68" s="498"/>
      <c r="D68" s="498"/>
      <c r="E68" s="498"/>
      <c r="F68" s="498"/>
      <c r="G68" s="498"/>
      <c r="H68" s="498"/>
      <c r="I68" s="498"/>
      <c r="J68" s="498"/>
      <c r="K68" s="499"/>
      <c r="L68" s="500"/>
      <c r="M68" s="501"/>
      <c r="N68" s="2740"/>
      <c r="O68" s="2740"/>
      <c r="P68" s="2731"/>
      <c r="Q68" s="2726"/>
      <c r="R68" s="2712"/>
      <c r="S68" s="2712"/>
      <c r="T68" s="2712"/>
      <c r="U68" s="2712"/>
      <c r="V68" s="2712"/>
      <c r="W68" s="2712"/>
      <c r="X68" s="2712"/>
      <c r="Y68" s="2712"/>
      <c r="Z68" s="2712"/>
      <c r="AA68" s="2712"/>
      <c r="AB68" s="2712"/>
      <c r="AC68" s="271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1"/>
      <c r="O69" s="2741"/>
      <c r="P69" s="2731"/>
      <c r="Q69" s="2726"/>
      <c r="R69" s="2712"/>
      <c r="S69" s="2712"/>
      <c r="T69" s="2712"/>
      <c r="U69" s="2712"/>
      <c r="V69" s="2712"/>
      <c r="W69" s="2712"/>
      <c r="X69" s="2712"/>
      <c r="Y69" s="2712"/>
      <c r="Z69" s="2712"/>
      <c r="AA69" s="2712"/>
      <c r="AB69" s="2712"/>
      <c r="AC69" s="2712"/>
    </row>
    <row r="70" spans="1:29" s="422" customFormat="1" ht="14.4" thickTop="1">
      <c r="A70" s="502"/>
      <c r="B70" s="487">
        <f>B12</f>
        <v>111</v>
      </c>
      <c r="C70" s="503"/>
      <c r="D70" s="503"/>
      <c r="E70" s="503"/>
      <c r="F70" s="503"/>
      <c r="G70" s="503"/>
      <c r="H70" s="504"/>
      <c r="I70" s="504"/>
      <c r="J70" s="504"/>
      <c r="K70" s="504"/>
      <c r="L70" s="505"/>
      <c r="M70" s="506"/>
      <c r="N70" s="2742"/>
      <c r="O70" s="2742"/>
      <c r="P70" s="2732"/>
      <c r="Q70" s="2733"/>
      <c r="R70" s="2734"/>
      <c r="S70" s="2734"/>
      <c r="T70" s="2734"/>
      <c r="U70" s="2734"/>
      <c r="V70" s="2734"/>
      <c r="W70" s="2734"/>
      <c r="X70" s="2734"/>
      <c r="Y70" s="2734"/>
      <c r="Z70" s="2734"/>
      <c r="AA70" s="2734"/>
      <c r="AB70" s="2734"/>
      <c r="AC70" s="2734"/>
    </row>
    <row r="71" spans="1:29" s="422" customFormat="1" ht="14.4" thickBot="1">
      <c r="A71" s="502"/>
      <c r="B71" s="492"/>
      <c r="C71" s="509"/>
      <c r="D71" s="485"/>
      <c r="E71" s="485"/>
      <c r="F71" s="485"/>
      <c r="G71" s="485"/>
      <c r="H71" s="485"/>
      <c r="I71" s="485"/>
      <c r="J71" s="485"/>
      <c r="K71" s="485"/>
      <c r="L71" s="485"/>
      <c r="M71" s="486"/>
      <c r="N71" s="2741"/>
      <c r="O71" s="2741"/>
      <c r="P71" s="2732"/>
      <c r="Q71" s="2733"/>
      <c r="R71" s="2734"/>
      <c r="S71" s="2734"/>
      <c r="T71" s="2734"/>
      <c r="U71" s="2734"/>
      <c r="V71" s="2734"/>
      <c r="W71" s="2734"/>
      <c r="X71" s="2734"/>
      <c r="Y71" s="2734"/>
      <c r="Z71" s="2734"/>
      <c r="AA71" s="2734"/>
      <c r="AB71" s="2734"/>
      <c r="AC71" s="2734"/>
    </row>
    <row r="72" spans="1:29" s="422" customFormat="1" ht="14.4" thickTop="1">
      <c r="A72" s="502"/>
      <c r="B72" s="487">
        <f>B13</f>
        <v>111</v>
      </c>
      <c r="C72" s="503"/>
      <c r="D72" s="503"/>
      <c r="E72" s="503"/>
      <c r="F72" s="503"/>
      <c r="G72" s="503"/>
      <c r="H72" s="504"/>
      <c r="I72" s="504"/>
      <c r="J72" s="504"/>
      <c r="K72" s="504"/>
      <c r="L72" s="505"/>
      <c r="M72" s="506"/>
      <c r="N72" s="2742"/>
      <c r="O72" s="2742"/>
      <c r="P72" s="2735"/>
      <c r="Q72" s="2736"/>
      <c r="R72" s="2734"/>
      <c r="S72" s="2734"/>
      <c r="T72" s="2734"/>
      <c r="U72" s="2734"/>
      <c r="V72" s="2734"/>
      <c r="W72" s="2734"/>
      <c r="X72" s="2734"/>
      <c r="Y72" s="2734"/>
      <c r="Z72" s="2734"/>
      <c r="AA72" s="2734"/>
      <c r="AB72" s="2734"/>
      <c r="AC72" s="2734"/>
    </row>
    <row r="73" spans="1:29" s="422" customFormat="1" ht="14.4" thickBot="1">
      <c r="A73" s="502"/>
      <c r="B73" s="492"/>
      <c r="C73" s="509"/>
      <c r="D73" s="485"/>
      <c r="E73" s="485"/>
      <c r="F73" s="485"/>
      <c r="G73" s="509"/>
      <c r="H73" s="511"/>
      <c r="I73" s="511"/>
      <c r="J73" s="511"/>
      <c r="K73" s="511"/>
      <c r="L73" s="511"/>
      <c r="M73" s="512"/>
      <c r="N73" s="2742"/>
      <c r="O73" s="2742"/>
      <c r="P73" s="2732"/>
      <c r="Q73" s="2733"/>
      <c r="R73" s="2734"/>
      <c r="S73" s="2734"/>
      <c r="T73" s="2734"/>
      <c r="U73" s="2734"/>
      <c r="V73" s="2734"/>
      <c r="W73" s="2734"/>
      <c r="X73" s="2734"/>
      <c r="Y73" s="2734"/>
      <c r="Z73" s="2734"/>
      <c r="AA73" s="2734"/>
      <c r="AB73" s="2734"/>
      <c r="AC73" s="2734"/>
    </row>
    <row r="74" spans="1:29" s="422" customFormat="1" ht="14.4" thickTop="1">
      <c r="A74" s="502"/>
      <c r="B74" s="495">
        <f>B14</f>
        <v>111</v>
      </c>
      <c r="C74" s="503"/>
      <c r="D74" s="503"/>
      <c r="E74" s="503"/>
      <c r="F74" s="503"/>
      <c r="G74" s="472"/>
      <c r="H74" s="513"/>
      <c r="I74" s="513"/>
      <c r="J74" s="513"/>
      <c r="K74" s="513"/>
      <c r="L74" s="514"/>
      <c r="M74" s="515"/>
      <c r="N74" s="2742"/>
      <c r="O74" s="2742"/>
      <c r="P74" s="2737"/>
      <c r="Q74" s="2733"/>
      <c r="R74" s="2734"/>
      <c r="S74" s="2734"/>
      <c r="T74" s="2734"/>
      <c r="U74" s="2734"/>
      <c r="V74" s="2734"/>
      <c r="W74" s="2734"/>
      <c r="X74" s="2734"/>
      <c r="Y74" s="2734"/>
      <c r="Z74" s="2734"/>
      <c r="AA74" s="2734"/>
      <c r="AB74" s="2734"/>
      <c r="AC74" s="2734"/>
    </row>
    <row r="75" spans="1:29" s="422" customFormat="1" ht="14.4" thickBot="1">
      <c r="A75" s="517"/>
      <c r="B75" s="518"/>
      <c r="C75" s="519"/>
      <c r="D75" s="519"/>
      <c r="E75" s="519"/>
      <c r="F75" s="519"/>
      <c r="G75" s="519"/>
      <c r="H75" s="520"/>
      <c r="I75" s="520"/>
      <c r="J75" s="520"/>
      <c r="K75" s="520"/>
      <c r="L75" s="520"/>
      <c r="M75" s="521"/>
      <c r="N75" s="2742"/>
      <c r="O75" s="2742"/>
      <c r="P75" s="2732"/>
      <c r="Q75" s="2733"/>
      <c r="R75" s="2734"/>
      <c r="S75" s="2734"/>
      <c r="T75" s="2734"/>
      <c r="U75" s="2734"/>
      <c r="V75" s="2734"/>
      <c r="W75" s="2734"/>
      <c r="X75" s="2734"/>
      <c r="Y75" s="2734"/>
      <c r="Z75" s="2734"/>
      <c r="AA75" s="2734"/>
      <c r="AB75" s="2734"/>
      <c r="AC75" s="2734"/>
    </row>
    <row r="76" spans="1:29" ht="14.4">
      <c r="A76" s="476" t="s">
        <v>1690</v>
      </c>
      <c r="B76" s="477" t="s">
        <v>1720</v>
      </c>
      <c r="C76" s="522" t="s">
        <v>1721</v>
      </c>
      <c r="D76" s="522" t="s">
        <v>1722</v>
      </c>
      <c r="E76" s="522" t="s">
        <v>1723</v>
      </c>
      <c r="F76" s="522" t="s">
        <v>1724</v>
      </c>
      <c r="G76" s="522" t="s">
        <v>1725</v>
      </c>
      <c r="H76" s="478"/>
      <c r="I76" s="478"/>
      <c r="J76" s="478"/>
      <c r="K76" s="523"/>
      <c r="L76" s="524"/>
      <c r="M76" s="525"/>
      <c r="N76" s="2740"/>
      <c r="O76" s="2740"/>
      <c r="P76" s="2738"/>
      <c r="Q76" s="2726"/>
      <c r="R76" s="2712"/>
      <c r="S76" s="2712"/>
      <c r="T76" s="2712"/>
      <c r="U76" s="2712"/>
      <c r="V76" s="2712"/>
      <c r="W76" s="2712"/>
      <c r="X76" s="2712"/>
      <c r="Y76" s="2712"/>
      <c r="Z76" s="2712"/>
      <c r="AA76" s="2712"/>
      <c r="AB76" s="2712"/>
      <c r="AC76" s="271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1"/>
      <c r="O77" s="2741"/>
      <c r="P77" s="2731"/>
      <c r="Q77" s="2726"/>
      <c r="R77" s="2712"/>
      <c r="S77" s="2712"/>
      <c r="T77" s="2712"/>
      <c r="U77" s="2712"/>
      <c r="V77" s="2712"/>
      <c r="W77" s="2712"/>
      <c r="X77" s="2712"/>
      <c r="Y77" s="2712"/>
      <c r="Z77" s="2712"/>
      <c r="AA77" s="2712"/>
      <c r="AB77" s="2712"/>
      <c r="AC77" s="2712"/>
    </row>
    <row r="78" spans="1:29" ht="15" thickTop="1">
      <c r="A78" s="483"/>
      <c r="B78" s="487" t="s">
        <v>1726</v>
      </c>
      <c r="C78" s="527" t="s">
        <v>1721</v>
      </c>
      <c r="D78" s="527" t="s">
        <v>1722</v>
      </c>
      <c r="E78" s="527" t="s">
        <v>1723</v>
      </c>
      <c r="F78" s="527" t="s">
        <v>1724</v>
      </c>
      <c r="G78" s="527" t="s">
        <v>1725</v>
      </c>
      <c r="H78" s="488"/>
      <c r="I78" s="488"/>
      <c r="J78" s="488"/>
      <c r="K78" s="489"/>
      <c r="L78" s="490"/>
      <c r="M78" s="491"/>
      <c r="N78" s="2740"/>
      <c r="O78" s="2740"/>
      <c r="P78" s="2731"/>
      <c r="Q78" s="2726"/>
      <c r="R78" s="2712"/>
      <c r="S78" s="2712"/>
      <c r="T78" s="2712"/>
      <c r="U78" s="2712"/>
      <c r="V78" s="2712"/>
      <c r="W78" s="2712"/>
      <c r="X78" s="2712"/>
      <c r="Y78" s="2712"/>
      <c r="Z78" s="2712"/>
      <c r="AA78" s="2712"/>
      <c r="AB78" s="2712"/>
      <c r="AC78" s="271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1"/>
      <c r="O79" s="2741"/>
      <c r="P79" s="2731"/>
      <c r="Q79" s="2726"/>
      <c r="R79" s="2712"/>
      <c r="S79" s="2712"/>
      <c r="T79" s="2712"/>
      <c r="U79" s="2712"/>
      <c r="V79" s="2712"/>
      <c r="W79" s="2712"/>
      <c r="X79" s="2712"/>
      <c r="Y79" s="2712"/>
      <c r="Z79" s="2712"/>
      <c r="AA79" s="2712"/>
      <c r="AB79" s="2712"/>
      <c r="AC79" s="2712"/>
    </row>
    <row r="80" spans="1:29" ht="15" thickTop="1">
      <c r="A80" s="483"/>
      <c r="B80" s="487" t="s">
        <v>1727</v>
      </c>
      <c r="C80" s="527" t="s">
        <v>1721</v>
      </c>
      <c r="D80" s="527" t="s">
        <v>1722</v>
      </c>
      <c r="E80" s="527" t="s">
        <v>1723</v>
      </c>
      <c r="F80" s="527" t="s">
        <v>1724</v>
      </c>
      <c r="G80" s="527" t="s">
        <v>1725</v>
      </c>
      <c r="H80" s="488"/>
      <c r="I80" s="488"/>
      <c r="J80" s="488"/>
      <c r="K80" s="489"/>
      <c r="L80" s="490"/>
      <c r="M80" s="491"/>
      <c r="N80" s="2740"/>
      <c r="O80" s="2740"/>
      <c r="P80" s="2731"/>
      <c r="Q80" s="2726"/>
      <c r="R80" s="2712"/>
      <c r="S80" s="2712"/>
      <c r="T80" s="2712"/>
      <c r="U80" s="2712"/>
      <c r="V80" s="2712"/>
      <c r="W80" s="2712"/>
      <c r="X80" s="2712"/>
      <c r="Y80" s="2712"/>
      <c r="Z80" s="2712"/>
      <c r="AA80" s="2712"/>
      <c r="AB80" s="2712"/>
      <c r="AC80" s="271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1"/>
      <c r="O81" s="2741"/>
      <c r="P81" s="2731"/>
      <c r="Q81" s="2726"/>
      <c r="R81" s="2712"/>
      <c r="S81" s="2712"/>
      <c r="T81" s="2712"/>
      <c r="U81" s="2712"/>
      <c r="V81" s="2712"/>
      <c r="W81" s="2712"/>
      <c r="X81" s="2712"/>
      <c r="Y81" s="2712"/>
      <c r="Z81" s="2712"/>
      <c r="AA81" s="2712"/>
      <c r="AB81" s="2712"/>
      <c r="AC81" s="2712"/>
    </row>
    <row r="82" spans="1:29" ht="15" thickTop="1">
      <c r="A82" s="483"/>
      <c r="B82" s="495" t="s">
        <v>1779</v>
      </c>
      <c r="C82" s="608" t="s">
        <v>1799</v>
      </c>
      <c r="D82" s="608" t="s">
        <v>1800</v>
      </c>
      <c r="E82" s="608" t="s">
        <v>1801</v>
      </c>
      <c r="F82" s="608" t="s">
        <v>1802</v>
      </c>
      <c r="G82" s="608" t="s">
        <v>1803</v>
      </c>
      <c r="H82" s="488"/>
      <c r="I82" s="488"/>
      <c r="J82" s="488"/>
      <c r="K82" s="488"/>
      <c r="L82" s="488"/>
      <c r="M82" s="1129"/>
      <c r="N82" s="2741"/>
      <c r="O82" s="2741"/>
      <c r="P82" s="2731"/>
      <c r="Q82" s="2726"/>
      <c r="R82" s="2712"/>
      <c r="S82" s="2712"/>
      <c r="T82" s="2712"/>
      <c r="U82" s="2712"/>
      <c r="V82" s="2712"/>
      <c r="W82" s="2712"/>
      <c r="X82" s="2712"/>
      <c r="Y82" s="2712"/>
      <c r="Z82" s="2712"/>
      <c r="AA82" s="2712"/>
      <c r="AB82" s="2712"/>
      <c r="AC82" s="271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1"/>
      <c r="O83" s="2741"/>
      <c r="P83" s="2731"/>
      <c r="Q83" s="2726"/>
      <c r="R83" s="2712"/>
      <c r="S83" s="2712"/>
      <c r="T83" s="2712"/>
      <c r="U83" s="2712"/>
      <c r="V83" s="2712"/>
      <c r="W83" s="2712"/>
      <c r="X83" s="2712"/>
      <c r="Y83" s="2712"/>
      <c r="Z83" s="2712"/>
      <c r="AA83" s="2712"/>
      <c r="AB83" s="2712"/>
      <c r="AC83" s="2712"/>
    </row>
    <row r="84" spans="1:29" ht="15" thickTop="1">
      <c r="A84" s="483"/>
      <c r="B84" s="487" t="s">
        <v>1733</v>
      </c>
      <c r="C84" s="527" t="s">
        <v>1721</v>
      </c>
      <c r="D84" s="527" t="s">
        <v>1722</v>
      </c>
      <c r="E84" s="527" t="s">
        <v>1723</v>
      </c>
      <c r="F84" s="527" t="s">
        <v>1724</v>
      </c>
      <c r="G84" s="527" t="s">
        <v>1725</v>
      </c>
      <c r="H84" s="488"/>
      <c r="I84" s="488"/>
      <c r="J84" s="488"/>
      <c r="K84" s="489"/>
      <c r="L84" s="490"/>
      <c r="M84" s="491"/>
      <c r="N84" s="2740"/>
      <c r="O84" s="2740"/>
      <c r="P84" s="2731"/>
      <c r="Q84" s="2726"/>
      <c r="R84" s="2712"/>
      <c r="S84" s="2712"/>
      <c r="T84" s="2712"/>
      <c r="U84" s="2712"/>
      <c r="V84" s="2712"/>
      <c r="W84" s="2712"/>
      <c r="X84" s="2712"/>
      <c r="Y84" s="2712"/>
      <c r="Z84" s="2712"/>
      <c r="AA84" s="2712"/>
      <c r="AB84" s="2712"/>
      <c r="AC84" s="271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1"/>
      <c r="O85" s="2741"/>
      <c r="P85" s="2731"/>
      <c r="Q85" s="2726"/>
      <c r="R85" s="2712"/>
      <c r="S85" s="2712"/>
      <c r="T85" s="2712"/>
      <c r="U85" s="2712"/>
      <c r="V85" s="2712"/>
      <c r="W85" s="2712"/>
      <c r="X85" s="2712"/>
      <c r="Y85" s="2712"/>
      <c r="Z85" s="2712"/>
      <c r="AA85" s="2712"/>
      <c r="AB85" s="2712"/>
      <c r="AC85" s="2712"/>
    </row>
    <row r="86" spans="1:29" s="108" customFormat="1" ht="15" thickTop="1">
      <c r="A86" s="528"/>
      <c r="B86" s="487" t="s">
        <v>1804</v>
      </c>
      <c r="C86" s="503"/>
      <c r="D86" s="503"/>
      <c r="E86" s="503"/>
      <c r="F86" s="503"/>
      <c r="G86" s="503"/>
      <c r="H86" s="503"/>
      <c r="I86" s="503"/>
      <c r="J86" s="503"/>
      <c r="K86" s="503"/>
      <c r="L86" s="529"/>
      <c r="M86" s="530"/>
      <c r="N86" s="2739"/>
      <c r="O86" s="2739"/>
      <c r="P86" s="2731"/>
      <c r="Q86" s="2726"/>
      <c r="R86" s="2650"/>
      <c r="S86" s="2650"/>
      <c r="T86" s="2650"/>
      <c r="U86" s="2650"/>
      <c r="V86" s="2650"/>
      <c r="W86" s="2650"/>
      <c r="X86" s="2650"/>
      <c r="Y86" s="2650"/>
      <c r="Z86" s="2650"/>
      <c r="AA86" s="2650"/>
      <c r="AB86" s="2650"/>
      <c r="AC86" s="265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1"/>
      <c r="O87" s="2741"/>
      <c r="P87" s="2731"/>
      <c r="Q87" s="2726"/>
      <c r="R87" s="2650"/>
      <c r="S87" s="2650"/>
      <c r="T87" s="2650"/>
      <c r="U87" s="2650"/>
      <c r="V87" s="2650"/>
      <c r="W87" s="2650"/>
      <c r="X87" s="2650"/>
      <c r="Y87" s="2650"/>
      <c r="Z87" s="2650"/>
      <c r="AA87" s="2650"/>
      <c r="AB87" s="2650"/>
      <c r="AC87" s="2650"/>
    </row>
    <row r="88" spans="1:29" s="108" customFormat="1" ht="14.4" thickTop="1">
      <c r="A88" s="528"/>
      <c r="B88" s="487" t="str">
        <f>B26</f>
        <v>平面位置/可视性</v>
      </c>
      <c r="C88" s="503"/>
      <c r="D88" s="503"/>
      <c r="E88" s="503"/>
      <c r="F88" s="1926"/>
      <c r="G88" s="503"/>
      <c r="H88" s="503"/>
      <c r="I88" s="503"/>
      <c r="J88" s="503"/>
      <c r="K88" s="503"/>
      <c r="L88" s="503"/>
      <c r="M88" s="530"/>
      <c r="N88" s="2739"/>
      <c r="O88" s="2739"/>
      <c r="P88" s="2731"/>
      <c r="Q88" s="2726"/>
      <c r="R88" s="2650"/>
      <c r="S88" s="2650"/>
      <c r="T88" s="2650"/>
      <c r="U88" s="2650"/>
      <c r="V88" s="2650"/>
      <c r="W88" s="2650"/>
      <c r="X88" s="2650"/>
      <c r="Y88" s="2650"/>
      <c r="Z88" s="2650"/>
      <c r="AA88" s="2650"/>
      <c r="AB88" s="2650"/>
      <c r="AC88" s="2650"/>
    </row>
    <row r="89" spans="1:29" s="108" customFormat="1" ht="14.4" thickBot="1">
      <c r="A89" s="528"/>
      <c r="B89" s="492"/>
      <c r="C89" s="509"/>
      <c r="D89" s="485"/>
      <c r="E89" s="485"/>
      <c r="F89" s="485"/>
      <c r="G89" s="485"/>
      <c r="H89" s="485"/>
      <c r="I89" s="485"/>
      <c r="J89" s="485"/>
      <c r="K89" s="485"/>
      <c r="L89" s="485"/>
      <c r="M89" s="485"/>
      <c r="N89" s="2741"/>
      <c r="O89" s="2741"/>
      <c r="P89" s="2731"/>
      <c r="Q89" s="2726"/>
      <c r="R89" s="2650"/>
      <c r="S89" s="2650"/>
      <c r="T89" s="2650"/>
      <c r="U89" s="2650"/>
      <c r="V89" s="2650"/>
      <c r="W89" s="2650"/>
      <c r="X89" s="2650"/>
      <c r="Y89" s="2650"/>
      <c r="Z89" s="2650"/>
      <c r="AA89" s="2650"/>
      <c r="AB89" s="2650"/>
      <c r="AC89" s="2650"/>
    </row>
    <row r="90" spans="1:29" s="422" customFormat="1" ht="14.4" thickTop="1">
      <c r="A90" s="502"/>
      <c r="B90" s="487" t="str">
        <f>B27</f>
        <v>人流量</v>
      </c>
      <c r="C90" s="503"/>
      <c r="D90" s="503"/>
      <c r="E90" s="503"/>
      <c r="F90" s="503"/>
      <c r="G90" s="503"/>
      <c r="H90" s="504"/>
      <c r="I90" s="504"/>
      <c r="J90" s="504"/>
      <c r="K90" s="504"/>
      <c r="L90" s="505"/>
      <c r="M90" s="506"/>
      <c r="N90" s="2742"/>
      <c r="O90" s="2742"/>
      <c r="P90" s="2732"/>
      <c r="Q90" s="2733"/>
      <c r="R90" s="2734"/>
      <c r="S90" s="2734"/>
      <c r="T90" s="2734"/>
      <c r="U90" s="2734"/>
      <c r="V90" s="2734"/>
      <c r="W90" s="2734"/>
      <c r="X90" s="2734"/>
      <c r="Y90" s="2734"/>
      <c r="Z90" s="2734"/>
      <c r="AA90" s="2734"/>
      <c r="AB90" s="2734"/>
      <c r="AC90" s="273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2"/>
      <c r="O91" s="2742"/>
      <c r="P91" s="2732"/>
      <c r="Q91" s="2733"/>
      <c r="R91" s="2734"/>
      <c r="S91" s="2734"/>
      <c r="T91" s="2734"/>
      <c r="U91" s="2734"/>
      <c r="V91" s="2734"/>
      <c r="W91" s="2734"/>
      <c r="X91" s="2734"/>
      <c r="Y91" s="2734"/>
      <c r="Z91" s="2734"/>
      <c r="AA91" s="2734"/>
      <c r="AB91" s="2734"/>
      <c r="AC91" s="2734"/>
    </row>
    <row r="92" spans="1:29" ht="14.4" thickTop="1">
      <c r="A92" s="483"/>
      <c r="B92" s="487" t="str">
        <f>B28</f>
        <v>楼层</v>
      </c>
      <c r="C92" s="503"/>
      <c r="D92" s="503"/>
      <c r="E92" s="503"/>
      <c r="F92" s="503"/>
      <c r="G92" s="503"/>
      <c r="H92" s="503"/>
      <c r="I92" s="503"/>
      <c r="J92" s="503"/>
      <c r="K92" s="503"/>
      <c r="L92" s="529"/>
      <c r="M92" s="530"/>
      <c r="N92" s="2740"/>
      <c r="O92" s="2740"/>
      <c r="P92" s="2731"/>
      <c r="Q92" s="2726"/>
      <c r="R92" s="2712"/>
      <c r="S92" s="2712"/>
      <c r="T92" s="2712"/>
      <c r="U92" s="2712"/>
      <c r="V92" s="2712"/>
      <c r="W92" s="2712"/>
      <c r="X92" s="2712"/>
      <c r="Y92" s="2712"/>
      <c r="Z92" s="2712"/>
      <c r="AA92" s="2712"/>
      <c r="AB92" s="2712"/>
      <c r="AC92" s="2712"/>
    </row>
    <row r="93" spans="1:29" ht="14.4" thickBot="1">
      <c r="A93" s="483"/>
      <c r="B93" s="492"/>
      <c r="C93" s="485"/>
      <c r="D93" s="485"/>
      <c r="E93" s="485"/>
      <c r="F93" s="485"/>
      <c r="G93" s="485"/>
      <c r="H93" s="485"/>
      <c r="I93" s="485"/>
      <c r="J93" s="485"/>
      <c r="K93" s="485"/>
      <c r="L93" s="485"/>
      <c r="M93" s="486"/>
      <c r="N93" s="2741"/>
      <c r="O93" s="2741"/>
      <c r="P93" s="2731"/>
      <c r="Q93" s="2726"/>
      <c r="R93" s="2712"/>
      <c r="S93" s="2712"/>
      <c r="T93" s="2712"/>
      <c r="U93" s="2712"/>
      <c r="V93" s="2712"/>
      <c r="W93" s="2712"/>
      <c r="X93" s="2712"/>
      <c r="Y93" s="2712"/>
      <c r="Z93" s="2712"/>
      <c r="AA93" s="2712"/>
      <c r="AB93" s="2712"/>
      <c r="AC93" s="2712"/>
    </row>
    <row r="94" spans="1:29" ht="14.4" thickTop="1">
      <c r="A94" s="483"/>
      <c r="B94" s="487">
        <f>B29</f>
        <v>111</v>
      </c>
      <c r="C94" s="503"/>
      <c r="D94" s="503"/>
      <c r="E94" s="503"/>
      <c r="F94" s="503"/>
      <c r="G94" s="532"/>
      <c r="H94" s="532"/>
      <c r="I94" s="532"/>
      <c r="J94" s="532"/>
      <c r="K94" s="533"/>
      <c r="L94" s="534"/>
      <c r="M94" s="535"/>
      <c r="N94" s="2740"/>
      <c r="O94" s="2740"/>
      <c r="P94" s="2731"/>
      <c r="Q94" s="2726"/>
      <c r="R94" s="2712"/>
      <c r="S94" s="2712"/>
      <c r="T94" s="2712"/>
      <c r="U94" s="2712"/>
      <c r="V94" s="2712"/>
      <c r="W94" s="2712"/>
      <c r="X94" s="2712"/>
      <c r="Y94" s="2712"/>
      <c r="Z94" s="2712"/>
      <c r="AA94" s="2712"/>
      <c r="AB94" s="2712"/>
      <c r="AC94" s="2712"/>
    </row>
    <row r="95" spans="1:29" ht="14.4" thickBot="1">
      <c r="A95" s="483"/>
      <c r="B95" s="492"/>
      <c r="C95" s="509"/>
      <c r="D95" s="485"/>
      <c r="E95" s="485"/>
      <c r="F95" s="485"/>
      <c r="G95" s="485"/>
      <c r="H95" s="485"/>
      <c r="I95" s="485"/>
      <c r="J95" s="485"/>
      <c r="K95" s="485"/>
      <c r="L95" s="485"/>
      <c r="M95" s="486"/>
      <c r="N95" s="2741"/>
      <c r="O95" s="2741"/>
      <c r="P95" s="2731"/>
      <c r="Q95" s="2726"/>
      <c r="R95" s="2712"/>
      <c r="S95" s="2712"/>
      <c r="T95" s="2712"/>
      <c r="U95" s="2712"/>
      <c r="V95" s="2712"/>
      <c r="W95" s="2712"/>
      <c r="X95" s="2712"/>
      <c r="Y95" s="2712"/>
      <c r="Z95" s="2712"/>
      <c r="AA95" s="2712"/>
      <c r="AB95" s="2712"/>
      <c r="AC95" s="2712"/>
    </row>
    <row r="96" spans="1:29" ht="14.4" thickTop="1">
      <c r="A96" s="483"/>
      <c r="B96" s="487">
        <f>B30</f>
        <v>111</v>
      </c>
      <c r="C96" s="503"/>
      <c r="D96" s="503"/>
      <c r="E96" s="503"/>
      <c r="F96" s="503"/>
      <c r="G96" s="532"/>
      <c r="H96" s="532"/>
      <c r="I96" s="532"/>
      <c r="J96" s="532"/>
      <c r="K96" s="533"/>
      <c r="L96" s="534"/>
      <c r="M96" s="535"/>
      <c r="N96" s="2740"/>
      <c r="O96" s="2740"/>
      <c r="P96" s="2731"/>
      <c r="Q96" s="2726"/>
      <c r="R96" s="2712"/>
      <c r="S96" s="2712"/>
      <c r="T96" s="2712"/>
      <c r="U96" s="2712"/>
      <c r="V96" s="2712"/>
      <c r="W96" s="2712"/>
      <c r="X96" s="2712"/>
      <c r="Y96" s="2712"/>
      <c r="Z96" s="2712"/>
      <c r="AA96" s="2712"/>
      <c r="AB96" s="2712"/>
      <c r="AC96" s="2712"/>
    </row>
    <row r="97" spans="1:29" ht="14.4" thickBot="1">
      <c r="A97" s="483"/>
      <c r="B97" s="492"/>
      <c r="C97" s="509"/>
      <c r="D97" s="485"/>
      <c r="E97" s="485"/>
      <c r="F97" s="485"/>
      <c r="G97" s="485"/>
      <c r="H97" s="485"/>
      <c r="I97" s="485"/>
      <c r="J97" s="485"/>
      <c r="K97" s="485"/>
      <c r="L97" s="485"/>
      <c r="M97" s="486"/>
      <c r="N97" s="2741"/>
      <c r="O97" s="2741"/>
      <c r="P97" s="2731"/>
      <c r="Q97" s="2726"/>
      <c r="R97" s="2712"/>
      <c r="S97" s="2712"/>
      <c r="T97" s="2712"/>
      <c r="U97" s="2712"/>
      <c r="V97" s="2712"/>
      <c r="W97" s="2712"/>
      <c r="X97" s="2712"/>
      <c r="Y97" s="2712"/>
      <c r="Z97" s="2712"/>
      <c r="AA97" s="2712"/>
      <c r="AB97" s="2712"/>
      <c r="AC97" s="2712"/>
    </row>
    <row r="98" spans="1:29" ht="14.4" thickTop="1">
      <c r="A98" s="483"/>
      <c r="B98" s="495">
        <f>B31</f>
        <v>111</v>
      </c>
      <c r="C98" s="503"/>
      <c r="D98" s="503"/>
      <c r="E98" s="503"/>
      <c r="F98" s="503"/>
      <c r="G98" s="536"/>
      <c r="H98" s="536"/>
      <c r="I98" s="536"/>
      <c r="J98" s="536"/>
      <c r="K98" s="537"/>
      <c r="L98" s="538"/>
      <c r="M98" s="539"/>
      <c r="N98" s="2740"/>
      <c r="O98" s="2740"/>
      <c r="P98" s="2731"/>
      <c r="Q98" s="2726"/>
      <c r="R98" s="2712"/>
      <c r="S98" s="2712"/>
      <c r="T98" s="2712"/>
      <c r="U98" s="2712"/>
      <c r="V98" s="2712"/>
      <c r="W98" s="2712"/>
      <c r="X98" s="2712"/>
      <c r="Y98" s="2712"/>
      <c r="Z98" s="2712"/>
      <c r="AA98" s="2712"/>
      <c r="AB98" s="2712"/>
      <c r="AC98" s="2712"/>
    </row>
    <row r="99" spans="1:29" ht="14.4" thickBot="1">
      <c r="A99" s="1927"/>
      <c r="B99" s="518"/>
      <c r="C99" s="519"/>
      <c r="D99" s="519"/>
      <c r="E99" s="519"/>
      <c r="F99" s="519"/>
      <c r="G99" s="540"/>
      <c r="H99" s="540"/>
      <c r="I99" s="540"/>
      <c r="J99" s="540"/>
      <c r="K99" s="540"/>
      <c r="L99" s="540"/>
      <c r="M99" s="541"/>
      <c r="N99" s="2741"/>
      <c r="O99" s="2741"/>
      <c r="P99" s="2731"/>
      <c r="Q99" s="2726"/>
      <c r="R99" s="2712"/>
      <c r="S99" s="2712"/>
      <c r="T99" s="2712"/>
      <c r="U99" s="2712"/>
      <c r="V99" s="2712"/>
      <c r="W99" s="2712"/>
      <c r="X99" s="2712"/>
      <c r="Y99" s="2712"/>
      <c r="Z99" s="2712"/>
      <c r="AA99" s="2712"/>
      <c r="AB99" s="2712"/>
      <c r="AC99" s="2712"/>
    </row>
    <row r="100" spans="1:29" ht="14.4">
      <c r="A100" s="476" t="s">
        <v>1694</v>
      </c>
      <c r="B100" s="477" t="s">
        <v>1805</v>
      </c>
      <c r="C100" s="479"/>
      <c r="D100" s="479"/>
      <c r="E100" s="479"/>
      <c r="F100" s="479"/>
      <c r="G100" s="479"/>
      <c r="H100" s="479"/>
      <c r="I100" s="479"/>
      <c r="J100" s="479"/>
      <c r="K100" s="480"/>
      <c r="L100" s="481"/>
      <c r="M100" s="482"/>
      <c r="N100" s="2740"/>
      <c r="O100" s="2740"/>
      <c r="P100" s="2731"/>
      <c r="Q100" s="2726"/>
      <c r="R100" s="2712"/>
      <c r="S100" s="2712"/>
      <c r="T100" s="2712"/>
      <c r="U100" s="2712"/>
      <c r="V100" s="2712"/>
      <c r="W100" s="2712"/>
      <c r="X100" s="2712"/>
      <c r="Y100" s="2712"/>
      <c r="Z100" s="2712"/>
      <c r="AA100" s="2712"/>
      <c r="AB100" s="2712"/>
      <c r="AC100" s="271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1"/>
      <c r="O101" s="2741"/>
      <c r="P101" s="2731"/>
      <c r="Q101" s="2726"/>
      <c r="R101" s="2712"/>
      <c r="S101" s="2712"/>
      <c r="T101" s="2712"/>
      <c r="U101" s="2712"/>
      <c r="V101" s="2712"/>
      <c r="W101" s="2712"/>
      <c r="X101" s="2712"/>
      <c r="Y101" s="2712"/>
      <c r="Z101" s="2712"/>
      <c r="AA101" s="2712"/>
      <c r="AB101" s="2712"/>
      <c r="AC101" s="271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2"/>
      <c r="B103" s="543"/>
      <c r="C103" s="544"/>
      <c r="D103" s="544"/>
      <c r="E103" s="544"/>
      <c r="F103" s="544"/>
      <c r="G103" s="544"/>
      <c r="H103" s="544"/>
      <c r="I103" s="544"/>
      <c r="J103" s="545"/>
      <c r="K103" s="545"/>
      <c r="L103" s="546"/>
      <c r="M103" s="547"/>
      <c r="N103" s="2742"/>
      <c r="O103" s="2742"/>
      <c r="P103" s="2732"/>
      <c r="Q103" s="2733"/>
      <c r="R103" s="2734"/>
      <c r="S103" s="2734"/>
      <c r="T103" s="2734"/>
      <c r="U103" s="2734"/>
      <c r="V103" s="2734"/>
      <c r="W103" s="2734"/>
      <c r="X103" s="2734"/>
      <c r="Y103" s="2734"/>
      <c r="Z103" s="2734"/>
      <c r="AA103" s="2734"/>
      <c r="AB103" s="2734"/>
      <c r="AC103" s="2734"/>
    </row>
    <row r="104" spans="1:29" s="422" customFormat="1" ht="14.4" thickBot="1">
      <c r="A104" s="502"/>
      <c r="B104" s="492"/>
      <c r="C104" s="509"/>
      <c r="D104" s="485"/>
      <c r="E104" s="485"/>
      <c r="F104" s="485"/>
      <c r="G104" s="485"/>
      <c r="H104" s="485"/>
      <c r="I104" s="485"/>
      <c r="J104" s="485"/>
      <c r="K104" s="485"/>
      <c r="L104" s="485"/>
      <c r="M104" s="486"/>
      <c r="N104" s="2741"/>
      <c r="O104" s="2741"/>
      <c r="P104" s="2732"/>
      <c r="Q104" s="2733"/>
      <c r="R104" s="2734"/>
      <c r="S104" s="2734"/>
      <c r="T104" s="2734"/>
      <c r="U104" s="2734"/>
      <c r="V104" s="2734"/>
      <c r="W104" s="2734"/>
      <c r="X104" s="2734"/>
      <c r="Y104" s="2734"/>
      <c r="Z104" s="2734"/>
      <c r="AA104" s="2734"/>
      <c r="AB104" s="2734"/>
      <c r="AC104" s="2734"/>
    </row>
    <row r="105" spans="1:29" ht="15" thickTop="1">
      <c r="A105" s="548"/>
      <c r="B105" s="487" t="s">
        <v>1738</v>
      </c>
      <c r="C105" s="503"/>
      <c r="D105" s="503"/>
      <c r="E105" s="532"/>
      <c r="F105" s="532"/>
      <c r="G105" s="532"/>
      <c r="H105" s="532"/>
      <c r="I105" s="532"/>
      <c r="J105" s="532"/>
      <c r="K105" s="533"/>
      <c r="L105" s="534"/>
      <c r="M105" s="535"/>
      <c r="N105" s="2740"/>
      <c r="O105" s="2740"/>
      <c r="P105" s="2731"/>
      <c r="Q105" s="2726"/>
      <c r="R105" s="2712"/>
      <c r="S105" s="2712"/>
      <c r="T105" s="2712"/>
      <c r="U105" s="2712"/>
      <c r="V105" s="2712"/>
      <c r="W105" s="2712"/>
      <c r="X105" s="2712"/>
      <c r="Y105" s="2712"/>
      <c r="Z105" s="2712"/>
      <c r="AA105" s="2712"/>
      <c r="AB105" s="2712"/>
      <c r="AC105" s="271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8"/>
      <c r="B107" s="487" t="s">
        <v>1740</v>
      </c>
      <c r="C107" s="503"/>
      <c r="D107" s="503"/>
      <c r="E107" s="503"/>
      <c r="F107" s="532"/>
      <c r="G107" s="532"/>
      <c r="H107" s="532"/>
      <c r="I107" s="532"/>
      <c r="J107" s="532"/>
      <c r="K107" s="533"/>
      <c r="L107" s="534"/>
      <c r="M107" s="535"/>
      <c r="N107" s="2740"/>
      <c r="O107" s="2740"/>
      <c r="P107" s="2731"/>
      <c r="Q107" s="2726"/>
      <c r="R107" s="2712"/>
      <c r="S107" s="2712"/>
      <c r="T107" s="2712"/>
      <c r="U107" s="2712"/>
      <c r="V107" s="2712"/>
      <c r="W107" s="2712"/>
      <c r="X107" s="2712"/>
      <c r="Y107" s="2712"/>
      <c r="Z107" s="2712"/>
      <c r="AA107" s="2712"/>
      <c r="AB107" s="2712"/>
      <c r="AC107" s="271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0"/>
      <c r="O109" s="2740"/>
      <c r="P109" s="2731"/>
      <c r="Q109" s="2726"/>
      <c r="R109" s="2712"/>
      <c r="S109" s="2712"/>
      <c r="T109" s="2712"/>
      <c r="U109" s="2712"/>
      <c r="V109" s="2712"/>
      <c r="W109" s="2712"/>
      <c r="X109" s="2712"/>
      <c r="Y109" s="2712"/>
      <c r="Z109" s="2712"/>
      <c r="AA109" s="2712"/>
      <c r="AB109" s="2712"/>
      <c r="AC109" s="2712"/>
    </row>
    <row r="110" spans="1:29">
      <c r="A110" s="548"/>
      <c r="B110" s="495"/>
      <c r="C110" s="552">
        <v>0.5</v>
      </c>
      <c r="D110" s="552">
        <v>0.6</v>
      </c>
      <c r="E110" s="552">
        <v>0.7</v>
      </c>
      <c r="F110" s="552">
        <v>0.8</v>
      </c>
      <c r="G110" s="552">
        <v>0.9</v>
      </c>
      <c r="H110" s="552">
        <v>1.0001</v>
      </c>
      <c r="I110" s="571"/>
      <c r="J110" s="571"/>
      <c r="K110" s="572"/>
      <c r="L110" s="573"/>
      <c r="M110" s="574"/>
      <c r="N110" s="2740"/>
      <c r="O110" s="2740"/>
      <c r="P110" s="2731"/>
      <c r="Q110" s="2726"/>
      <c r="R110" s="2712"/>
      <c r="S110" s="2712"/>
      <c r="T110" s="2712"/>
      <c r="U110" s="2712"/>
      <c r="V110" s="2712"/>
      <c r="W110" s="2712"/>
      <c r="X110" s="2712"/>
      <c r="Y110" s="2712"/>
      <c r="Z110" s="2712"/>
      <c r="AA110" s="2712"/>
      <c r="AB110" s="2712"/>
      <c r="AC110" s="271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2"/>
      <c r="B112" s="487" t="s">
        <v>1742</v>
      </c>
      <c r="C112" s="503"/>
      <c r="D112" s="503"/>
      <c r="E112" s="503"/>
      <c r="F112" s="503"/>
      <c r="G112" s="503"/>
      <c r="H112" s="532"/>
      <c r="I112" s="532"/>
      <c r="J112" s="532"/>
      <c r="K112" s="533"/>
      <c r="L112" s="534"/>
      <c r="M112" s="535"/>
      <c r="N112" s="2742"/>
      <c r="O112" s="2742"/>
      <c r="P112" s="2732"/>
      <c r="Q112" s="2733"/>
      <c r="R112" s="2734"/>
      <c r="S112" s="2734"/>
      <c r="T112" s="2734"/>
      <c r="U112" s="2734"/>
      <c r="V112" s="2734"/>
      <c r="W112" s="2734"/>
      <c r="X112" s="2734"/>
      <c r="Y112" s="2734"/>
      <c r="Z112" s="2734"/>
      <c r="AA112" s="2734"/>
      <c r="AB112" s="2734"/>
      <c r="AC112" s="273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8"/>
      <c r="B114" s="487" t="s">
        <v>1806</v>
      </c>
      <c r="C114" s="503"/>
      <c r="D114" s="503"/>
      <c r="E114" s="532"/>
      <c r="F114" s="532"/>
      <c r="G114" s="532"/>
      <c r="H114" s="532"/>
      <c r="I114" s="532"/>
      <c r="J114" s="532"/>
      <c r="K114" s="533"/>
      <c r="L114" s="534"/>
      <c r="M114" s="535"/>
      <c r="N114" s="2740"/>
      <c r="O114" s="2740"/>
      <c r="P114" s="2731"/>
      <c r="Q114" s="2726"/>
      <c r="R114" s="2712"/>
      <c r="S114" s="2712"/>
      <c r="T114" s="2712"/>
      <c r="U114" s="2712"/>
      <c r="V114" s="2712"/>
      <c r="W114" s="2712"/>
      <c r="X114" s="2712"/>
      <c r="Y114" s="2712"/>
      <c r="Z114" s="2712"/>
      <c r="AA114" s="2712"/>
      <c r="AB114" s="2712"/>
      <c r="AC114" s="271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8"/>
      <c r="B116" s="487" t="s">
        <v>1807</v>
      </c>
      <c r="C116" s="503"/>
      <c r="D116" s="503"/>
      <c r="E116" s="503"/>
      <c r="F116" s="503"/>
      <c r="G116" s="503"/>
      <c r="H116" s="532"/>
      <c r="I116" s="532"/>
      <c r="J116" s="532"/>
      <c r="K116" s="533"/>
      <c r="L116" s="534"/>
      <c r="M116" s="535"/>
      <c r="N116" s="2740"/>
      <c r="O116" s="2740"/>
      <c r="P116" s="2731"/>
      <c r="Q116" s="2726"/>
      <c r="R116" s="2712"/>
      <c r="S116" s="2712"/>
      <c r="T116" s="2712"/>
      <c r="U116" s="2712"/>
      <c r="V116" s="2712"/>
      <c r="W116" s="2712"/>
      <c r="X116" s="2712"/>
      <c r="Y116" s="2712"/>
      <c r="Z116" s="2712"/>
      <c r="AA116" s="2712"/>
      <c r="AB116" s="2712"/>
      <c r="AC116" s="271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1"/>
      <c r="O117" s="2741"/>
      <c r="P117" s="2731"/>
      <c r="Q117" s="2726"/>
      <c r="R117" s="2712"/>
      <c r="S117" s="2712"/>
      <c r="T117" s="2712"/>
      <c r="U117" s="2712"/>
      <c r="V117" s="2712"/>
      <c r="W117" s="2712"/>
      <c r="X117" s="2712"/>
      <c r="Y117" s="2712"/>
      <c r="Z117" s="2712"/>
      <c r="AA117" s="2712"/>
      <c r="AB117" s="2712"/>
      <c r="AC117" s="2712"/>
    </row>
    <row r="118" spans="1:29" ht="15" thickTop="1">
      <c r="A118" s="548"/>
      <c r="B118" s="487" t="s">
        <v>1808</v>
      </c>
      <c r="C118" s="575"/>
      <c r="D118" s="575"/>
      <c r="E118" s="575"/>
      <c r="F118" s="575"/>
      <c r="G118" s="575"/>
      <c r="H118" s="504"/>
      <c r="I118" s="504"/>
      <c r="J118" s="504"/>
      <c r="K118" s="504"/>
      <c r="L118" s="505"/>
      <c r="M118" s="506"/>
      <c r="N118" s="2740"/>
      <c r="O118" s="2740"/>
      <c r="P118" s="2731"/>
      <c r="Q118" s="2726"/>
      <c r="R118" s="2712"/>
      <c r="S118" s="2712"/>
      <c r="T118" s="2712"/>
      <c r="U118" s="2712"/>
      <c r="V118" s="2712"/>
      <c r="W118" s="2712"/>
      <c r="X118" s="2712"/>
      <c r="Y118" s="2712"/>
      <c r="Z118" s="2712"/>
      <c r="AA118" s="2712"/>
      <c r="AB118" s="2712"/>
      <c r="AC118" s="2712"/>
    </row>
    <row r="119" spans="1:29" ht="14.4" thickBot="1">
      <c r="A119" s="483"/>
      <c r="B119" s="492"/>
      <c r="C119" s="509"/>
      <c r="D119" s="485"/>
      <c r="E119" s="485"/>
      <c r="F119" s="485"/>
      <c r="G119" s="485"/>
      <c r="H119" s="485"/>
      <c r="I119" s="485"/>
      <c r="J119" s="485"/>
      <c r="K119" s="485"/>
      <c r="L119" s="485"/>
      <c r="M119" s="486"/>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2"/>
      <c r="B120" s="487" t="s">
        <v>1809</v>
      </c>
      <c r="C120" s="532"/>
      <c r="D120" s="532"/>
      <c r="E120" s="532"/>
      <c r="F120" s="532"/>
      <c r="G120" s="504"/>
      <c r="H120" s="504"/>
      <c r="I120" s="504"/>
      <c r="J120" s="504"/>
      <c r="K120" s="504"/>
      <c r="L120" s="505"/>
      <c r="M120" s="506"/>
      <c r="N120" s="2742"/>
      <c r="O120" s="2742"/>
      <c r="P120" s="2732"/>
      <c r="Q120" s="2733"/>
      <c r="R120" s="2734"/>
      <c r="S120" s="2734"/>
      <c r="T120" s="2734"/>
      <c r="U120" s="2734"/>
      <c r="V120" s="2734"/>
      <c r="W120" s="2734"/>
      <c r="X120" s="2734"/>
      <c r="Y120" s="2734"/>
      <c r="Z120" s="2734"/>
      <c r="AA120" s="2734"/>
      <c r="AB120" s="2734"/>
      <c r="AC120" s="273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8"/>
      <c r="B122" s="487" t="s">
        <v>1744</v>
      </c>
      <c r="C122" s="503"/>
      <c r="D122" s="503"/>
      <c r="E122" s="503"/>
      <c r="F122" s="532"/>
      <c r="G122" s="532"/>
      <c r="H122" s="532"/>
      <c r="I122" s="532"/>
      <c r="J122" s="532"/>
      <c r="K122" s="533"/>
      <c r="L122" s="534"/>
      <c r="M122" s="535"/>
      <c r="N122" s="2740"/>
      <c r="O122" s="2740"/>
      <c r="P122" s="2731"/>
      <c r="Q122" s="2726"/>
      <c r="R122" s="2712"/>
      <c r="S122" s="2712"/>
      <c r="T122" s="2712"/>
      <c r="U122" s="2712"/>
      <c r="V122" s="2712"/>
      <c r="W122" s="2712"/>
      <c r="X122" s="2712"/>
      <c r="Y122" s="2712"/>
      <c r="Z122" s="2712"/>
      <c r="AA122" s="2712"/>
      <c r="AB122" s="2712"/>
      <c r="AC122" s="271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1"/>
      <c r="O123" s="2741"/>
      <c r="P123" s="2731"/>
      <c r="Q123" s="2726"/>
      <c r="R123" s="2712"/>
      <c r="S123" s="2712"/>
      <c r="T123" s="2712"/>
      <c r="U123" s="2712"/>
      <c r="V123" s="2712"/>
      <c r="W123" s="2712"/>
      <c r="X123" s="2712"/>
      <c r="Y123" s="2712"/>
      <c r="Z123" s="2712"/>
      <c r="AA123" s="2712"/>
      <c r="AB123" s="2712"/>
      <c r="AC123" s="271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0"/>
      <c r="O124" s="2740"/>
      <c r="P124" s="2732"/>
      <c r="Q124" s="2726"/>
      <c r="R124" s="2712"/>
      <c r="S124" s="2712"/>
      <c r="T124" s="2712"/>
      <c r="U124" s="2712"/>
      <c r="V124" s="2712"/>
      <c r="W124" s="2712"/>
      <c r="X124" s="2712"/>
      <c r="Y124" s="2712"/>
      <c r="Z124" s="2712"/>
      <c r="AA124" s="2712"/>
      <c r="AB124" s="2712"/>
      <c r="AC124" s="271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1"/>
      <c r="O125" s="2741"/>
      <c r="P125" s="2731"/>
      <c r="Q125" s="2726"/>
      <c r="R125" s="2712"/>
      <c r="S125" s="2712"/>
      <c r="T125" s="2712"/>
      <c r="U125" s="2712"/>
      <c r="V125" s="2712"/>
      <c r="W125" s="2712"/>
      <c r="X125" s="2712"/>
      <c r="Y125" s="2712"/>
      <c r="Z125" s="2712"/>
      <c r="AA125" s="2712"/>
      <c r="AB125" s="2712"/>
      <c r="AC125" s="2712"/>
    </row>
    <row r="126" spans="1:29" s="422" customFormat="1" ht="14.4" thickTop="1">
      <c r="A126" s="542"/>
      <c r="B126" s="487">
        <f>B44</f>
        <v>111</v>
      </c>
      <c r="C126" s="503"/>
      <c r="D126" s="503"/>
      <c r="E126" s="503"/>
      <c r="F126" s="503"/>
      <c r="G126" s="503"/>
      <c r="H126" s="504"/>
      <c r="I126" s="504"/>
      <c r="J126" s="504"/>
      <c r="K126" s="504"/>
      <c r="L126" s="505"/>
      <c r="M126" s="506"/>
      <c r="N126" s="2742"/>
      <c r="O126" s="2742"/>
      <c r="P126" s="2732"/>
      <c r="Q126" s="2733"/>
      <c r="R126" s="2734"/>
      <c r="S126" s="2734"/>
      <c r="T126" s="2734"/>
      <c r="U126" s="2734"/>
      <c r="V126" s="2734"/>
      <c r="W126" s="2734"/>
      <c r="X126" s="2734"/>
      <c r="Y126" s="2734"/>
      <c r="Z126" s="2734"/>
      <c r="AA126" s="2734"/>
      <c r="AB126" s="2734"/>
      <c r="AC126" s="2734"/>
    </row>
    <row r="127" spans="1:29" s="422" customFormat="1" ht="14.4" thickBot="1">
      <c r="A127" s="502"/>
      <c r="B127" s="492"/>
      <c r="C127" s="509"/>
      <c r="D127" s="485"/>
      <c r="E127" s="485"/>
      <c r="F127" s="485"/>
      <c r="G127" s="509"/>
      <c r="H127" s="511"/>
      <c r="I127" s="511"/>
      <c r="J127" s="511"/>
      <c r="K127" s="511"/>
      <c r="L127" s="511"/>
      <c r="M127" s="512"/>
      <c r="N127" s="2742"/>
      <c r="O127" s="2742"/>
      <c r="P127" s="2732"/>
      <c r="Q127" s="2733"/>
      <c r="R127" s="2734"/>
      <c r="S127" s="2734"/>
      <c r="T127" s="2734"/>
      <c r="U127" s="2734"/>
      <c r="V127" s="2734"/>
      <c r="W127" s="2734"/>
      <c r="X127" s="2734"/>
      <c r="Y127" s="2734"/>
      <c r="Z127" s="2734"/>
      <c r="AA127" s="2734"/>
      <c r="AB127" s="2734"/>
      <c r="AC127" s="2734"/>
    </row>
    <row r="128" spans="1:29" ht="14.4" thickTop="1">
      <c r="A128" s="548"/>
      <c r="B128" s="487">
        <f>B45</f>
        <v>111</v>
      </c>
      <c r="C128" s="503"/>
      <c r="D128" s="503"/>
      <c r="E128" s="503"/>
      <c r="F128" s="503"/>
      <c r="G128" s="532"/>
      <c r="H128" s="532"/>
      <c r="I128" s="532"/>
      <c r="J128" s="532"/>
      <c r="K128" s="533"/>
      <c r="L128" s="534"/>
      <c r="M128" s="535"/>
      <c r="N128" s="2740"/>
      <c r="O128" s="2740"/>
      <c r="P128" s="2731"/>
      <c r="Q128" s="2726"/>
      <c r="R128" s="2712"/>
      <c r="S128" s="2712"/>
      <c r="T128" s="2712"/>
      <c r="U128" s="2712"/>
      <c r="V128" s="2712"/>
      <c r="W128" s="2712"/>
      <c r="X128" s="2712"/>
      <c r="Y128" s="2712"/>
      <c r="Z128" s="2712"/>
      <c r="AA128" s="2712"/>
      <c r="AB128" s="2712"/>
      <c r="AC128" s="2712"/>
    </row>
    <row r="129" spans="1:29" ht="14.4" thickBot="1">
      <c r="A129" s="483"/>
      <c r="B129" s="492"/>
      <c r="C129" s="509"/>
      <c r="D129" s="485"/>
      <c r="E129" s="485"/>
      <c r="F129" s="485"/>
      <c r="G129" s="485"/>
      <c r="H129" s="485"/>
      <c r="I129" s="485"/>
      <c r="J129" s="485"/>
      <c r="K129" s="485"/>
      <c r="L129" s="485"/>
      <c r="M129" s="486"/>
      <c r="N129" s="2741"/>
      <c r="O129" s="2741"/>
      <c r="P129" s="2731"/>
      <c r="Q129" s="2726"/>
      <c r="R129" s="2712"/>
      <c r="S129" s="2712"/>
      <c r="T129" s="2712"/>
      <c r="U129" s="2712"/>
      <c r="V129" s="2712"/>
      <c r="W129" s="2712"/>
      <c r="X129" s="2712"/>
      <c r="Y129" s="2712"/>
      <c r="Z129" s="2712"/>
      <c r="AA129" s="2712"/>
      <c r="AB129" s="2712"/>
      <c r="AC129" s="2712"/>
    </row>
    <row r="130" spans="1:29" ht="14.4" thickTop="1">
      <c r="A130" s="548"/>
      <c r="B130" s="495">
        <f>B46</f>
        <v>111</v>
      </c>
      <c r="C130" s="503"/>
      <c r="D130" s="503"/>
      <c r="E130" s="503"/>
      <c r="F130" s="503"/>
      <c r="G130" s="536"/>
      <c r="H130" s="536"/>
      <c r="I130" s="536"/>
      <c r="J130" s="536"/>
      <c r="K130" s="472"/>
      <c r="L130" s="473"/>
      <c r="M130" s="539"/>
      <c r="N130" s="2740"/>
      <c r="O130" s="2740"/>
      <c r="P130" s="2731"/>
      <c r="Q130" s="2726"/>
      <c r="R130" s="2712"/>
      <c r="S130" s="2712"/>
      <c r="T130" s="2712"/>
      <c r="U130" s="2712"/>
      <c r="V130" s="2712"/>
      <c r="W130" s="2712"/>
      <c r="X130" s="2712"/>
      <c r="Y130" s="2712"/>
      <c r="Z130" s="2712"/>
      <c r="AA130" s="2712"/>
      <c r="AB130" s="2712"/>
      <c r="AC130" s="2712"/>
    </row>
    <row r="131" spans="1:29" ht="14.4" thickBot="1">
      <c r="A131" s="1927"/>
      <c r="B131" s="518"/>
      <c r="C131" s="519"/>
      <c r="D131" s="519"/>
      <c r="E131" s="519"/>
      <c r="F131" s="519"/>
      <c r="G131" s="540"/>
      <c r="H131" s="540"/>
      <c r="I131" s="540"/>
      <c r="J131" s="540"/>
      <c r="K131" s="540"/>
      <c r="L131" s="540"/>
      <c r="M131" s="541"/>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估价对象为北京市房地产，为所有。根据《国有土地使用证》[]，估价对象（分摊）出让国有建设用地使用权面积为0平方米，建筑面积为55.9平方米。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估价对象为北京市房地产,属开发建设的，该项目尚在开发建设中。根据《国有土地使用证》[]，估价对象（分摊）出让国有建设用地使用权面积为0平方米，规划建筑面积为55.9平方米。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2024年8月13日（评估专业人员实地查勘之日）</v>
      </c>
    </row>
    <row r="16" spans="1:1" ht="17.399999999999999">
      <c r="A16" s="1484" t="s">
        <v>906</v>
      </c>
    </row>
    <row r="17" spans="1:1" ht="69.599999999999994">
      <c r="A17" s="1479" t="s">
        <v>907</v>
      </c>
    </row>
    <row r="18" spans="1:1" ht="52.2">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本次估价的“房地产价值”是指在正常市场情况下，在价值时点2024年8月13日，估价对象规划用途为，土地取得方式为划拨，假定未设立法定优先受偿款下的房地产市场价值。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20"/>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1"/>
      <c r="M2" s="2722"/>
      <c r="N2" s="2722"/>
      <c r="O2" s="272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55.9</v>
      </c>
      <c r="E3" s="1953"/>
      <c r="F3" s="909"/>
      <c r="G3" s="908"/>
      <c r="H3" s="908"/>
      <c r="I3" s="908"/>
      <c r="J3" s="908"/>
      <c r="K3" s="910"/>
      <c r="L3" s="2721"/>
      <c r="M3" s="2722"/>
      <c r="N3" s="2722"/>
      <c r="O3" s="2722"/>
      <c r="P3" s="699"/>
      <c r="Q3" s="699"/>
      <c r="R3" s="699"/>
      <c r="S3" s="699"/>
      <c r="T3" s="699"/>
      <c r="U3" s="699"/>
      <c r="V3" s="699"/>
      <c r="W3" s="699"/>
      <c r="X3" s="699"/>
      <c r="Y3" s="699"/>
      <c r="Z3" s="699"/>
      <c r="AA3" s="699"/>
      <c r="AB3" s="699"/>
      <c r="AC3" s="700"/>
    </row>
    <row r="4" spans="1:29" ht="14.4">
      <c r="A4" s="355" t="s">
        <v>1769</v>
      </c>
      <c r="B4" s="356"/>
      <c r="C4" s="3683" t="s">
        <v>1770</v>
      </c>
      <c r="D4" s="3684"/>
      <c r="E4" s="3685" t="s">
        <v>1771</v>
      </c>
      <c r="F4" s="3686"/>
      <c r="G4" s="3683" t="s">
        <v>1772</v>
      </c>
      <c r="H4" s="3684"/>
      <c r="I4" s="3683" t="s">
        <v>1773</v>
      </c>
      <c r="J4" s="3684"/>
      <c r="K4" s="559" t="s">
        <v>1774</v>
      </c>
      <c r="L4" s="2702"/>
      <c r="M4" s="2703"/>
      <c r="N4" s="2703"/>
      <c r="O4" s="2703"/>
      <c r="P4" s="3719" t="s">
        <v>1775</v>
      </c>
      <c r="Q4" s="3720"/>
      <c r="R4" s="3723" t="s">
        <v>1771</v>
      </c>
      <c r="S4" s="3724"/>
      <c r="T4" s="3723" t="s">
        <v>1772</v>
      </c>
      <c r="U4" s="3724"/>
      <c r="V4" s="3725" t="s">
        <v>1773</v>
      </c>
      <c r="W4" s="3725"/>
      <c r="X4" s="1957"/>
      <c r="Y4" s="3723" t="s">
        <v>1775</v>
      </c>
      <c r="Z4" s="3724"/>
      <c r="AA4" s="3727" t="s">
        <v>1771</v>
      </c>
      <c r="AB4" s="3727" t="s">
        <v>1772</v>
      </c>
      <c r="AC4" s="3716" t="s">
        <v>1773</v>
      </c>
    </row>
    <row r="5" spans="1:29">
      <c r="A5" s="358"/>
      <c r="B5" s="359"/>
      <c r="C5" s="3702" t="s">
        <v>1673</v>
      </c>
      <c r="D5" s="3703"/>
      <c r="E5" s="3712" t="s">
        <v>1674</v>
      </c>
      <c r="F5" s="3711"/>
      <c r="G5" s="3702" t="s">
        <v>1675</v>
      </c>
      <c r="H5" s="3703"/>
      <c r="I5" s="3702" t="s">
        <v>1676</v>
      </c>
      <c r="J5" s="3703"/>
      <c r="K5" s="559"/>
      <c r="L5" s="2702"/>
      <c r="M5" s="2703"/>
      <c r="N5" s="2703"/>
      <c r="O5" s="2703"/>
      <c r="P5" s="3721"/>
      <c r="Q5" s="3690"/>
      <c r="R5" s="3695"/>
      <c r="S5" s="3696"/>
      <c r="T5" s="3695"/>
      <c r="U5" s="3696"/>
      <c r="V5" s="3699"/>
      <c r="W5" s="3699"/>
      <c r="X5" s="1354"/>
      <c r="Y5" s="3695"/>
      <c r="Z5" s="3696"/>
      <c r="AA5" s="3681"/>
      <c r="AB5" s="3681"/>
      <c r="AC5" s="3717"/>
    </row>
    <row r="6" spans="1:29" ht="15" thickBot="1">
      <c r="A6" s="360"/>
      <c r="B6" s="361"/>
      <c r="C6" s="3700" t="s">
        <v>1677</v>
      </c>
      <c r="D6" s="3701"/>
      <c r="E6" s="3708" t="s">
        <v>1677</v>
      </c>
      <c r="F6" s="3709"/>
      <c r="G6" s="3700" t="s">
        <v>1677</v>
      </c>
      <c r="H6" s="3701"/>
      <c r="I6" s="3700" t="s">
        <v>1677</v>
      </c>
      <c r="J6" s="3701"/>
      <c r="K6" s="559" t="s">
        <v>1678</v>
      </c>
      <c r="L6" s="2702"/>
      <c r="M6" s="2703"/>
      <c r="N6" s="2703"/>
      <c r="O6" s="2703"/>
      <c r="P6" s="3722"/>
      <c r="Q6" s="3692"/>
      <c r="R6" s="3695"/>
      <c r="S6" s="3696"/>
      <c r="T6" s="3697"/>
      <c r="U6" s="3698"/>
      <c r="V6" s="3699"/>
      <c r="W6" s="3699"/>
      <c r="X6" s="1354"/>
      <c r="Y6" s="3697"/>
      <c r="Z6" s="3698"/>
      <c r="AA6" s="3682"/>
      <c r="AB6" s="3682"/>
      <c r="AC6" s="3718"/>
    </row>
    <row r="7" spans="1:29" s="108" customFormat="1" ht="15" thickBot="1">
      <c r="A7" s="362" t="s">
        <v>1679</v>
      </c>
      <c r="B7" s="363"/>
      <c r="C7" s="364">
        <f>'数据-取费表'!B2</f>
        <v>45517</v>
      </c>
      <c r="D7" s="365">
        <v>100</v>
      </c>
      <c r="E7" s="366"/>
      <c r="F7" s="367">
        <f>SUMIF(59:59,YEAR(E7)&amp;"-"&amp;MONTH(E7),60:60)</f>
        <v>0</v>
      </c>
      <c r="G7" s="366"/>
      <c r="H7" s="365">
        <f>SUMIF(59:59,YEAR(G7)&amp;"-"&amp;MONTH(G7),60:60)</f>
        <v>0</v>
      </c>
      <c r="I7" s="366"/>
      <c r="J7" s="365">
        <f>SUMIF(59:59,YEAR(I7)&amp;"-"&amp;MONTH(I7),60:60)</f>
        <v>0</v>
      </c>
      <c r="K7" s="560"/>
      <c r="L7" s="2704"/>
      <c r="M7" s="2705"/>
      <c r="N7" s="2705"/>
      <c r="O7" s="2705"/>
      <c r="P7" s="3726"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4"/>
      <c r="M8" s="2705"/>
      <c r="N8" s="2705"/>
      <c r="O8" s="2705"/>
      <c r="P8" s="3726"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4"/>
      <c r="M9" s="2705"/>
      <c r="N9" s="2705"/>
      <c r="O9" s="2705"/>
      <c r="P9" s="3679"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8">
        <f t="shared" si="5"/>
        <v>1</v>
      </c>
    </row>
    <row r="10" spans="1:29" s="378" customFormat="1" ht="28.8">
      <c r="A10" s="374"/>
      <c r="B10" s="375" t="s">
        <v>1688</v>
      </c>
      <c r="C10" s="3421"/>
      <c r="D10" s="127">
        <v>100</v>
      </c>
      <c r="E10" s="3421"/>
      <c r="F10" s="127">
        <f>SUMIF(66:66,E10,67:67)-SUMIF(66:66,C10,67:67)+100</f>
        <v>100</v>
      </c>
      <c r="G10" s="3422"/>
      <c r="H10" s="127">
        <f>SUMIF(66:66,G10,67:67)-SUMIF(66:66,C10,67:67)+100</f>
        <v>100</v>
      </c>
      <c r="I10" s="3421"/>
      <c r="J10" s="127">
        <f>SUMIF(66:66,I10,67:67)-SUMIF(66:66,C10,67:67)+100</f>
        <v>100</v>
      </c>
      <c r="K10" s="560"/>
      <c r="L10" s="2706"/>
      <c r="M10" s="2707"/>
      <c r="N10" s="2707"/>
      <c r="O10" s="2707"/>
      <c r="P10" s="3679"/>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8"/>
      <c r="M11" s="2703"/>
      <c r="N11" s="2703"/>
      <c r="O11" s="2703"/>
      <c r="P11" s="3679"/>
      <c r="Q11" s="1342"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4"/>
      <c r="M12" s="2705"/>
      <c r="N12" s="2705"/>
      <c r="O12" s="2705"/>
      <c r="P12" s="3679"/>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9"/>
      <c r="M13" s="2703"/>
      <c r="N13" s="2703"/>
      <c r="O13" s="2703"/>
      <c r="P13" s="3679"/>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9"/>
      <c r="M14" s="2703"/>
      <c r="N14" s="2703"/>
      <c r="O14" s="2703"/>
      <c r="P14" s="3679"/>
      <c r="Q14" s="1342">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9"/>
      <c r="M15" s="2703"/>
      <c r="N15" s="2703"/>
      <c r="O15" s="2703"/>
      <c r="P15" s="3677" t="s">
        <v>1691</v>
      </c>
      <c r="Q15" s="1351" t="str">
        <f t="shared" si="6"/>
        <v>办公集聚程度</v>
      </c>
      <c r="R15" s="705" t="s">
        <v>14</v>
      </c>
      <c r="S15" s="706">
        <f t="shared" si="0"/>
        <v>100</v>
      </c>
      <c r="T15" s="705" t="s">
        <v>14</v>
      </c>
      <c r="U15" s="706">
        <f t="shared" si="1"/>
        <v>100</v>
      </c>
      <c r="V15" s="705" t="s">
        <v>14</v>
      </c>
      <c r="W15" s="706">
        <f t="shared" si="2"/>
        <v>100</v>
      </c>
      <c r="X15" s="1354"/>
      <c r="Y15" s="367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9"/>
      <c r="M16" s="2703"/>
      <c r="N16" s="2703"/>
      <c r="O16" s="2703"/>
      <c r="P16" s="3678"/>
      <c r="Q16" s="1351"/>
      <c r="R16" s="705"/>
      <c r="S16" s="706"/>
      <c r="T16" s="705"/>
      <c r="U16" s="706"/>
      <c r="V16" s="705"/>
      <c r="W16" s="706"/>
      <c r="X16" s="1354"/>
      <c r="Y16" s="3671"/>
      <c r="Z16" s="1355"/>
      <c r="AA16" s="1352">
        <v>1</v>
      </c>
      <c r="AB16" s="1352">
        <v>1</v>
      </c>
      <c r="AC16" s="1961">
        <v>1</v>
      </c>
    </row>
    <row r="17" spans="1:29" ht="124.2">
      <c r="A17" s="379"/>
      <c r="B17" s="579" t="s">
        <v>1259</v>
      </c>
      <c r="C17" s="1962" t="str">
        <f>估价对象房地状况!C6</f>
        <v>估价对象周边有392路、466路、577路、专12路等多条公交线路，距地铁15号线（清华东路西口站）约700米，综合评价交通便捷度较好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9"/>
      <c r="M17" s="2703"/>
      <c r="N17" s="2703"/>
      <c r="O17" s="2703"/>
      <c r="P17" s="3678"/>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9"/>
      <c r="M18" s="2703"/>
      <c r="N18" s="2703"/>
      <c r="O18" s="2703"/>
      <c r="P18" s="3678"/>
      <c r="Q18" s="1351"/>
      <c r="R18" s="705"/>
      <c r="S18" s="706"/>
      <c r="T18" s="705"/>
      <c r="U18" s="706"/>
      <c r="V18" s="705"/>
      <c r="W18" s="706"/>
      <c r="X18" s="1354"/>
      <c r="Y18" s="3671"/>
      <c r="Z18" s="1355"/>
      <c r="AA18" s="1352">
        <v>1</v>
      </c>
      <c r="AB18" s="1352">
        <v>1</v>
      </c>
      <c r="AC18" s="1961">
        <v>1</v>
      </c>
    </row>
    <row r="19" spans="1:29" ht="41.4">
      <c r="A19" s="379"/>
      <c r="B19" s="579" t="s">
        <v>1812</v>
      </c>
      <c r="C19" s="1962"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09"/>
      <c r="M19" s="2703"/>
      <c r="N19" s="2703"/>
      <c r="O19" s="2703"/>
      <c r="P19" s="3678"/>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9"/>
      <c r="M20" s="2703"/>
      <c r="N20" s="2703"/>
      <c r="O20" s="2703"/>
      <c r="P20" s="3678"/>
      <c r="Q20" s="1351"/>
      <c r="R20" s="705"/>
      <c r="S20" s="706"/>
      <c r="T20" s="705"/>
      <c r="U20" s="706"/>
      <c r="V20" s="705"/>
      <c r="W20" s="706"/>
      <c r="X20" s="1354"/>
      <c r="Y20" s="3671"/>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9"/>
      <c r="M21" s="2703"/>
      <c r="N21" s="2703"/>
      <c r="O21" s="2703"/>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09"/>
      <c r="M22" s="2703"/>
      <c r="N22" s="2703"/>
      <c r="O22" s="2703"/>
      <c r="P22" s="3678"/>
      <c r="Q22" s="1351"/>
      <c r="R22" s="705"/>
      <c r="S22" s="706"/>
      <c r="T22" s="705"/>
      <c r="U22" s="706"/>
      <c r="V22" s="705"/>
      <c r="W22" s="706"/>
      <c r="X22" s="1354"/>
      <c r="Y22" s="3671"/>
      <c r="Z22" s="1355"/>
      <c r="AA22" s="1352">
        <v>1</v>
      </c>
      <c r="AB22" s="1352">
        <v>1</v>
      </c>
      <c r="AC22" s="1961">
        <v>1</v>
      </c>
    </row>
    <row r="23" spans="1:29" ht="124.2">
      <c r="A23" s="379"/>
      <c r="B23" s="579" t="s">
        <v>1814</v>
      </c>
      <c r="C23" s="1962" t="str">
        <f>估价对象房地状况!C9</f>
        <v>区域自然环境：北京东升花园中心、东升八家郊野公园；人文环境：北京林业大学、北京农业大学、清华大学；综合评价环境状况较好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09"/>
      <c r="M23" s="2703"/>
      <c r="N23" s="2703"/>
      <c r="O23" s="2703"/>
      <c r="P23" s="3678"/>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9"/>
      <c r="M24" s="2703"/>
      <c r="N24" s="2703"/>
      <c r="O24" s="2703"/>
      <c r="P24" s="3678"/>
      <c r="Q24" s="1351"/>
      <c r="R24" s="705"/>
      <c r="S24" s="706"/>
      <c r="T24" s="705"/>
      <c r="U24" s="706"/>
      <c r="V24" s="705"/>
      <c r="W24" s="706"/>
      <c r="X24" s="1354"/>
      <c r="Y24" s="3671"/>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09"/>
      <c r="M25" s="2703"/>
      <c r="N25" s="2703"/>
      <c r="O25" s="2703"/>
      <c r="P25" s="3678"/>
      <c r="Q25" s="1351" t="str">
        <f>B25</f>
        <v>毗邻道路的类型与等级</v>
      </c>
      <c r="R25" s="705" t="s">
        <v>14</v>
      </c>
      <c r="S25" s="706">
        <f>F25</f>
        <v>100</v>
      </c>
      <c r="T25" s="705" t="s">
        <v>14</v>
      </c>
      <c r="U25" s="706">
        <f>H25</f>
        <v>100</v>
      </c>
      <c r="V25" s="705" t="s">
        <v>14</v>
      </c>
      <c r="W25" s="706">
        <f>J25</f>
        <v>100</v>
      </c>
      <c r="X25" s="1354"/>
      <c r="Y25" s="367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9"/>
      <c r="M26" s="2703"/>
      <c r="N26" s="2703"/>
      <c r="O26" s="2703"/>
      <c r="P26" s="3678"/>
      <c r="Q26" s="1351"/>
      <c r="R26" s="705"/>
      <c r="S26" s="706"/>
      <c r="T26" s="705"/>
      <c r="U26" s="706"/>
      <c r="V26" s="705"/>
      <c r="W26" s="706"/>
      <c r="X26" s="1354"/>
      <c r="Y26" s="367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9"/>
      <c r="M27" s="2703"/>
      <c r="N27" s="2703"/>
      <c r="O27" s="2703"/>
      <c r="P27" s="3678"/>
      <c r="Q27" s="1351" t="str">
        <f t="shared" ref="Q27:Q47" si="11">B27</f>
        <v>楼层</v>
      </c>
      <c r="R27" s="705" t="s">
        <v>14</v>
      </c>
      <c r="S27" s="706">
        <f>F27</f>
        <v>100</v>
      </c>
      <c r="T27" s="705" t="s">
        <v>14</v>
      </c>
      <c r="U27" s="706">
        <f>H27</f>
        <v>100</v>
      </c>
      <c r="V27" s="705" t="s">
        <v>14</v>
      </c>
      <c r="W27" s="706">
        <f>J27</f>
        <v>100</v>
      </c>
      <c r="X27" s="1354"/>
      <c r="Y27" s="367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04"/>
      <c r="M28" s="2705"/>
      <c r="N28" s="2705"/>
      <c r="O28" s="2705"/>
      <c r="P28" s="3678"/>
      <c r="Q28" s="1342" t="str">
        <f t="shared" si="11"/>
        <v>朝向</v>
      </c>
      <c r="R28" s="701" t="s">
        <v>14</v>
      </c>
      <c r="S28" s="702">
        <f>F28</f>
        <v>100</v>
      </c>
      <c r="T28" s="701" t="s">
        <v>14</v>
      </c>
      <c r="U28" s="702">
        <f>H28</f>
        <v>100</v>
      </c>
      <c r="V28" s="701" t="s">
        <v>14</v>
      </c>
      <c r="W28" s="702">
        <f>J28</f>
        <v>100</v>
      </c>
      <c r="X28" s="703"/>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9"/>
      <c r="M29" s="2703"/>
      <c r="N29" s="2703"/>
      <c r="O29" s="2703"/>
      <c r="P29" s="3678"/>
      <c r="Q29" s="1351">
        <f t="shared" si="11"/>
        <v>111</v>
      </c>
      <c r="R29" s="705" t="s">
        <v>14</v>
      </c>
      <c r="S29" s="706">
        <f t="shared" ref="S29:S47" si="12">F29</f>
        <v>100</v>
      </c>
      <c r="T29" s="705" t="s">
        <v>14</v>
      </c>
      <c r="U29" s="706">
        <f t="shared" ref="U29:U47" si="13">H29</f>
        <v>100</v>
      </c>
      <c r="V29" s="705" t="s">
        <v>14</v>
      </c>
      <c r="W29" s="706">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9"/>
      <c r="M30" s="2703"/>
      <c r="N30" s="2703"/>
      <c r="O30" s="2703"/>
      <c r="P30" s="3678"/>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9"/>
      <c r="M31" s="2703"/>
      <c r="N31" s="2703"/>
      <c r="O31" s="2703"/>
      <c r="P31" s="3678"/>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9"/>
      <c r="M32" s="2703"/>
      <c r="N32" s="2703"/>
      <c r="O32" s="2703"/>
      <c r="P32" s="3678"/>
      <c r="Q32" s="1351">
        <f t="shared" si="11"/>
        <v>111</v>
      </c>
      <c r="R32" s="705" t="s">
        <v>14</v>
      </c>
      <c r="S32" s="706">
        <f t="shared" si="12"/>
        <v>100</v>
      </c>
      <c r="T32" s="705" t="s">
        <v>14</v>
      </c>
      <c r="U32" s="706">
        <f t="shared" si="13"/>
        <v>100</v>
      </c>
      <c r="V32" s="705" t="s">
        <v>14</v>
      </c>
      <c r="W32" s="706">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9"/>
      <c r="M33" s="2703"/>
      <c r="N33" s="2703"/>
      <c r="O33" s="2703"/>
      <c r="P33" s="3672" t="s">
        <v>1696</v>
      </c>
      <c r="Q33" s="1351" t="str">
        <f t="shared" si="11"/>
        <v>建筑类型</v>
      </c>
      <c r="R33" s="705" t="s">
        <v>14</v>
      </c>
      <c r="S33" s="706">
        <f t="shared" si="12"/>
        <v>100</v>
      </c>
      <c r="T33" s="705" t="s">
        <v>14</v>
      </c>
      <c r="U33" s="706">
        <f t="shared" si="13"/>
        <v>100</v>
      </c>
      <c r="V33" s="705" t="s">
        <v>14</v>
      </c>
      <c r="W33" s="706">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8"/>
      <c r="M34" s="2710"/>
      <c r="N34" s="2710"/>
      <c r="O34" s="2710"/>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9"/>
      <c r="M35" s="2703"/>
      <c r="N35" s="2703"/>
      <c r="O35" s="2703"/>
      <c r="P35" s="3673"/>
      <c r="Q35" s="1351" t="str">
        <f t="shared" si="11"/>
        <v>建筑结构</v>
      </c>
      <c r="R35" s="705" t="s">
        <v>14</v>
      </c>
      <c r="S35" s="706">
        <f t="shared" si="12"/>
        <v>100</v>
      </c>
      <c r="T35" s="705" t="s">
        <v>14</v>
      </c>
      <c r="U35" s="706">
        <f t="shared" si="13"/>
        <v>100</v>
      </c>
      <c r="V35" s="705" t="s">
        <v>14</v>
      </c>
      <c r="W35" s="706">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9"/>
      <c r="M36" s="2703"/>
      <c r="N36" s="2703"/>
      <c r="O36" s="2703"/>
      <c r="P36" s="3673"/>
      <c r="Q36" s="1351" t="str">
        <f t="shared" si="11"/>
        <v>公共部分装修</v>
      </c>
      <c r="R36" s="705" t="s">
        <v>14</v>
      </c>
      <c r="S36" s="706">
        <f t="shared" si="12"/>
        <v>100</v>
      </c>
      <c r="T36" s="705" t="s">
        <v>14</v>
      </c>
      <c r="U36" s="706">
        <f t="shared" si="13"/>
        <v>100</v>
      </c>
      <c r="V36" s="705" t="s">
        <v>14</v>
      </c>
      <c r="W36" s="706">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9"/>
      <c r="M37" s="2703"/>
      <c r="N37" s="2703"/>
      <c r="O37" s="2703"/>
      <c r="P37" s="3673"/>
      <c r="Q37" s="1351" t="str">
        <f t="shared" si="11"/>
        <v>成新度</v>
      </c>
      <c r="R37" s="705" t="s">
        <v>14</v>
      </c>
      <c r="S37" s="706" t="e">
        <f t="shared" si="12"/>
        <v>#N/A</v>
      </c>
      <c r="T37" s="705" t="s">
        <v>14</v>
      </c>
      <c r="U37" s="706" t="e">
        <f t="shared" si="13"/>
        <v>#N/A</v>
      </c>
      <c r="V37" s="705" t="s">
        <v>14</v>
      </c>
      <c r="W37" s="706" t="e">
        <f t="shared" si="14"/>
        <v>#N/A</v>
      </c>
      <c r="X37" s="1354"/>
      <c r="Y37" s="367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4"/>
      <c r="M38" s="2705"/>
      <c r="N38" s="2705"/>
      <c r="O38" s="2705"/>
      <c r="P38" s="3673"/>
      <c r="Q38" s="1342"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9"/>
      <c r="M39" s="2703"/>
      <c r="N39" s="2703"/>
      <c r="O39" s="2703"/>
      <c r="P39" s="3673" t="s">
        <v>1696</v>
      </c>
      <c r="Q39" s="1351" t="str">
        <f t="shared" si="11"/>
        <v>物业管理</v>
      </c>
      <c r="R39" s="705" t="s">
        <v>14</v>
      </c>
      <c r="S39" s="706">
        <f t="shared" si="12"/>
        <v>100</v>
      </c>
      <c r="T39" s="705" t="s">
        <v>14</v>
      </c>
      <c r="U39" s="706">
        <f t="shared" si="13"/>
        <v>100</v>
      </c>
      <c r="V39" s="705" t="s">
        <v>14</v>
      </c>
      <c r="W39" s="706">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9"/>
      <c r="M40" s="2703"/>
      <c r="N40" s="2703"/>
      <c r="O40" s="2703"/>
      <c r="P40" s="3673"/>
      <c r="Q40" s="1351" t="str">
        <f t="shared" si="11"/>
        <v>市政基础设施</v>
      </c>
      <c r="R40" s="705" t="s">
        <v>14</v>
      </c>
      <c r="S40" s="706">
        <f t="shared" si="12"/>
        <v>100</v>
      </c>
      <c r="T40" s="705" t="s">
        <v>14</v>
      </c>
      <c r="U40" s="706">
        <f t="shared" si="13"/>
        <v>100</v>
      </c>
      <c r="V40" s="705" t="s">
        <v>14</v>
      </c>
      <c r="W40" s="706">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9"/>
      <c r="M41" s="2703"/>
      <c r="N41" s="2703"/>
      <c r="O41" s="2703"/>
      <c r="P41" s="3673"/>
      <c r="Q41" s="1351" t="str">
        <f t="shared" si="11"/>
        <v>层高</v>
      </c>
      <c r="R41" s="705" t="s">
        <v>14</v>
      </c>
      <c r="S41" s="706">
        <f t="shared" si="12"/>
        <v>100</v>
      </c>
      <c r="T41" s="705" t="s">
        <v>14</v>
      </c>
      <c r="U41" s="706">
        <f t="shared" si="13"/>
        <v>100</v>
      </c>
      <c r="V41" s="705" t="s">
        <v>14</v>
      </c>
      <c r="W41" s="706">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8"/>
      <c r="M42" s="2710"/>
      <c r="N42" s="2710"/>
      <c r="O42" s="2710"/>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9"/>
      <c r="M43" s="2703"/>
      <c r="N43" s="2703"/>
      <c r="O43" s="2703"/>
      <c r="P43" s="3673"/>
      <c r="Q43" s="1351" t="str">
        <f t="shared" si="11"/>
        <v>内部装修</v>
      </c>
      <c r="R43" s="705" t="s">
        <v>14</v>
      </c>
      <c r="S43" s="706">
        <f t="shared" si="12"/>
        <v>100</v>
      </c>
      <c r="T43" s="705" t="s">
        <v>14</v>
      </c>
      <c r="U43" s="706">
        <f t="shared" si="13"/>
        <v>100</v>
      </c>
      <c r="V43" s="705" t="s">
        <v>14</v>
      </c>
      <c r="W43" s="706">
        <f t="shared" si="14"/>
        <v>100</v>
      </c>
      <c r="X43" s="1354"/>
      <c r="Y43" s="3675"/>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9"/>
      <c r="M44" s="2703"/>
      <c r="N44" s="2703"/>
      <c r="O44" s="2703"/>
      <c r="P44" s="3673"/>
      <c r="Q44" s="1351" t="str">
        <f t="shared" si="11"/>
        <v>内部装修维护情况</v>
      </c>
      <c r="R44" s="705" t="s">
        <v>14</v>
      </c>
      <c r="S44" s="706">
        <f t="shared" si="12"/>
        <v>100</v>
      </c>
      <c r="T44" s="705" t="s">
        <v>14</v>
      </c>
      <c r="U44" s="706">
        <f t="shared" si="13"/>
        <v>100</v>
      </c>
      <c r="V44" s="705" t="s">
        <v>14</v>
      </c>
      <c r="W44" s="706">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4"/>
      <c r="M45" s="2705"/>
      <c r="N45" s="2705"/>
      <c r="O45" s="2705"/>
      <c r="P45" s="3673"/>
      <c r="Q45" s="1342">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9"/>
      <c r="M46" s="2703"/>
      <c r="N46" s="2703"/>
      <c r="O46" s="2703"/>
      <c r="P46" s="3673"/>
      <c r="Q46" s="1351">
        <f t="shared" si="11"/>
        <v>111</v>
      </c>
      <c r="R46" s="705" t="s">
        <v>14</v>
      </c>
      <c r="S46" s="706">
        <f t="shared" si="12"/>
        <v>100</v>
      </c>
      <c r="T46" s="705" t="s">
        <v>14</v>
      </c>
      <c r="U46" s="706">
        <f t="shared" si="13"/>
        <v>100</v>
      </c>
      <c r="V46" s="705" t="s">
        <v>14</v>
      </c>
      <c r="W46" s="706">
        <f t="shared" si="14"/>
        <v>100</v>
      </c>
      <c r="X46" s="1354"/>
      <c r="Y46" s="3675"/>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9"/>
      <c r="M47" s="2703"/>
      <c r="N47" s="2703"/>
      <c r="O47" s="2703"/>
      <c r="P47" s="3674"/>
      <c r="Q47" s="1351">
        <f t="shared" si="11"/>
        <v>111</v>
      </c>
      <c r="R47" s="705" t="s">
        <v>14</v>
      </c>
      <c r="S47" s="706">
        <f t="shared" si="12"/>
        <v>100</v>
      </c>
      <c r="T47" s="705" t="s">
        <v>14</v>
      </c>
      <c r="U47" s="706">
        <f t="shared" si="13"/>
        <v>100</v>
      </c>
      <c r="V47" s="705" t="s">
        <v>14</v>
      </c>
      <c r="W47" s="706">
        <f t="shared" si="14"/>
        <v>100</v>
      </c>
      <c r="X47" s="1354"/>
      <c r="Y47" s="3676"/>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11"/>
      <c r="M48" s="2703"/>
      <c r="N48" s="2703"/>
      <c r="O48" s="2703"/>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11"/>
      <c r="M49" s="2703"/>
      <c r="N49" s="2703"/>
      <c r="O49" s="2703"/>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11"/>
      <c r="M50" s="2703"/>
      <c r="N50" s="2703"/>
      <c r="O50" s="2703"/>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5"/>
      <c r="Y50" s="1945"/>
      <c r="Z50" s="1945"/>
      <c r="AA50" s="1945"/>
      <c r="AB50" s="1945"/>
      <c r="AC50" s="1946"/>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51" customFormat="1" ht="13.5" customHeight="1">
      <c r="A55" s="2715"/>
      <c r="B55" s="271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51"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2.2" thickBot="1">
      <c r="A58" s="694" t="s">
        <v>1798</v>
      </c>
      <c r="B58" s="690"/>
      <c r="C58" s="695"/>
      <c r="D58" s="695"/>
      <c r="E58" s="695"/>
      <c r="F58" s="696"/>
      <c r="G58" s="696"/>
      <c r="H58" s="695"/>
      <c r="I58" s="695"/>
      <c r="J58" s="695"/>
      <c r="K58" s="697"/>
      <c r="L58" s="942"/>
      <c r="M58" s="940"/>
      <c r="N58" s="2756"/>
      <c r="O58" s="2756"/>
      <c r="P58" s="2745"/>
      <c r="Q58" s="2726"/>
      <c r="R58" s="2712"/>
      <c r="S58" s="2712"/>
      <c r="T58" s="2712"/>
      <c r="U58" s="2712"/>
      <c r="V58" s="2712"/>
      <c r="W58" s="2712"/>
      <c r="X58" s="2712"/>
      <c r="Y58" s="2712"/>
      <c r="Z58" s="2712"/>
      <c r="AA58" s="2712"/>
      <c r="AB58" s="2712"/>
      <c r="AC58" s="2712"/>
    </row>
    <row r="59" spans="1:29" s="457" customFormat="1" ht="14.4">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46"/>
      <c r="Q59" s="2728"/>
      <c r="R59" s="2728"/>
      <c r="S59" s="2728"/>
      <c r="T59" s="2728"/>
      <c r="U59" s="2728"/>
      <c r="V59" s="2728"/>
      <c r="W59" s="2728"/>
      <c r="X59" s="2728"/>
      <c r="Y59" s="2728"/>
      <c r="Z59" s="2728"/>
      <c r="AA59" s="2728"/>
      <c r="AB59" s="2728"/>
      <c r="AC59" s="2728"/>
    </row>
    <row r="60" spans="1:29" s="108" customFormat="1">
      <c r="A60" s="458"/>
      <c r="B60" s="459"/>
      <c r="C60" s="1183">
        <v>100</v>
      </c>
      <c r="D60" s="461"/>
      <c r="E60" s="461"/>
      <c r="F60" s="461"/>
      <c r="G60" s="461"/>
      <c r="H60" s="461"/>
      <c r="I60" s="461"/>
      <c r="J60" s="461"/>
      <c r="K60" s="461"/>
      <c r="L60" s="461"/>
      <c r="M60" s="462"/>
      <c r="N60" s="461"/>
      <c r="O60" s="462"/>
      <c r="P60" s="2747"/>
      <c r="Q60" s="2650"/>
      <c r="R60" s="2650"/>
      <c r="S60" s="2650"/>
      <c r="T60" s="2650"/>
      <c r="U60" s="2650"/>
      <c r="V60" s="2650"/>
      <c r="W60" s="2650"/>
      <c r="X60" s="2650"/>
      <c r="Y60" s="2650"/>
      <c r="Z60" s="2650"/>
      <c r="AA60" s="2650"/>
      <c r="AB60" s="2650"/>
      <c r="AC60" s="2650"/>
    </row>
    <row r="61" spans="1:29" s="108" customFormat="1" ht="15" thickBot="1">
      <c r="A61" s="464" t="s">
        <v>1716</v>
      </c>
      <c r="B61" s="465"/>
      <c r="C61" s="466"/>
      <c r="D61" s="467"/>
      <c r="E61" s="467"/>
      <c r="F61" s="467"/>
      <c r="G61" s="467"/>
      <c r="H61" s="467"/>
      <c r="I61" s="467"/>
      <c r="J61" s="467"/>
      <c r="K61" s="467"/>
      <c r="L61" s="467"/>
      <c r="M61" s="468"/>
      <c r="N61" s="467"/>
      <c r="O61" s="468"/>
      <c r="P61" s="2747"/>
      <c r="Q61" s="2726"/>
      <c r="R61" s="2650"/>
      <c r="S61" s="2650"/>
      <c r="T61" s="2650"/>
      <c r="U61" s="2650"/>
      <c r="V61" s="2650"/>
      <c r="W61" s="2650"/>
      <c r="X61" s="2650"/>
      <c r="Y61" s="2650"/>
      <c r="Z61" s="2650"/>
      <c r="AA61" s="2650"/>
      <c r="AB61" s="2650"/>
      <c r="AC61" s="2650"/>
    </row>
    <row r="62" spans="1:29" s="108" customFormat="1" ht="14.4">
      <c r="A62" s="470" t="s">
        <v>1681</v>
      </c>
      <c r="B62" s="459"/>
      <c r="C62" s="471" t="s">
        <v>1776</v>
      </c>
      <c r="D62" s="472"/>
      <c r="E62" s="472"/>
      <c r="F62" s="472"/>
      <c r="G62" s="472"/>
      <c r="H62" s="472"/>
      <c r="I62" s="472"/>
      <c r="J62" s="472"/>
      <c r="K62" s="472"/>
      <c r="L62" s="473"/>
      <c r="M62" s="474"/>
      <c r="N62" s="2739"/>
      <c r="O62" s="2739"/>
      <c r="P62" s="2748"/>
      <c r="Q62" s="2726"/>
      <c r="R62" s="2650"/>
      <c r="S62" s="2650"/>
      <c r="T62" s="2650"/>
      <c r="U62" s="2650"/>
      <c r="V62" s="2650"/>
      <c r="W62" s="2650"/>
      <c r="X62" s="2650"/>
      <c r="Y62" s="2650"/>
      <c r="Z62" s="2650"/>
      <c r="AA62" s="2650"/>
      <c r="AB62" s="2650"/>
      <c r="AC62" s="2650"/>
    </row>
    <row r="63" spans="1:29" s="108" customFormat="1" ht="14.4" thickBot="1">
      <c r="A63" s="470"/>
      <c r="B63" s="459"/>
      <c r="C63" s="460">
        <v>100</v>
      </c>
      <c r="D63" s="461"/>
      <c r="E63" s="461"/>
      <c r="F63" s="461"/>
      <c r="G63" s="461"/>
      <c r="H63" s="461"/>
      <c r="I63" s="461"/>
      <c r="J63" s="461"/>
      <c r="K63" s="461"/>
      <c r="L63" s="461"/>
      <c r="M63" s="463"/>
      <c r="N63" s="2739"/>
      <c r="O63" s="2739"/>
      <c r="P63" s="2747"/>
      <c r="Q63" s="2726"/>
      <c r="R63" s="2650"/>
      <c r="S63" s="2650"/>
      <c r="T63" s="2650"/>
      <c r="U63" s="2650"/>
      <c r="V63" s="2650"/>
      <c r="W63" s="2650"/>
      <c r="X63" s="2650"/>
      <c r="Y63" s="2650"/>
      <c r="Z63" s="2650"/>
      <c r="AA63" s="2650"/>
      <c r="AB63" s="2650"/>
      <c r="AC63" s="2650"/>
    </row>
    <row r="64" spans="1:29" ht="14.4">
      <c r="A64" s="476" t="s">
        <v>1719</v>
      </c>
      <c r="B64" s="477" t="s">
        <v>1685</v>
      </c>
      <c r="C64" s="478">
        <f>C9</f>
        <v>0</v>
      </c>
      <c r="D64" s="479"/>
      <c r="E64" s="479"/>
      <c r="F64" s="479"/>
      <c r="G64" s="479"/>
      <c r="H64" s="479"/>
      <c r="I64" s="479"/>
      <c r="J64" s="479"/>
      <c r="K64" s="480"/>
      <c r="L64" s="481"/>
      <c r="M64" s="482"/>
      <c r="N64" s="2740"/>
      <c r="O64" s="2740"/>
      <c r="P64" s="2749"/>
      <c r="Q64" s="2726"/>
      <c r="R64" s="2712"/>
      <c r="S64" s="2712"/>
      <c r="T64" s="2712"/>
      <c r="U64" s="2712"/>
      <c r="V64" s="2712"/>
      <c r="W64" s="2712"/>
      <c r="X64" s="2712"/>
      <c r="Y64" s="2712"/>
      <c r="Z64" s="2712"/>
      <c r="AA64" s="2712"/>
      <c r="AB64" s="2712"/>
      <c r="AC64" s="2712"/>
    </row>
    <row r="65" spans="1:29" ht="14.4" thickBot="1">
      <c r="A65" s="483"/>
      <c r="B65" s="484"/>
      <c r="C65" s="485">
        <v>100</v>
      </c>
      <c r="D65" s="485"/>
      <c r="E65" s="485"/>
      <c r="F65" s="485"/>
      <c r="G65" s="485"/>
      <c r="H65" s="485"/>
      <c r="I65" s="485"/>
      <c r="J65" s="485"/>
      <c r="K65" s="485"/>
      <c r="L65" s="485"/>
      <c r="M65" s="486"/>
      <c r="N65" s="2741"/>
      <c r="O65" s="2741"/>
      <c r="P65" s="2749"/>
      <c r="Q65" s="2726"/>
      <c r="R65" s="2712"/>
      <c r="S65" s="2712"/>
      <c r="T65" s="2712"/>
      <c r="U65" s="2712"/>
      <c r="V65" s="2712"/>
      <c r="W65" s="2712"/>
      <c r="X65" s="2712"/>
      <c r="Y65" s="2712"/>
      <c r="Z65" s="2712"/>
      <c r="AA65" s="2712"/>
      <c r="AB65" s="2712"/>
      <c r="AC65" s="2712"/>
    </row>
    <row r="66" spans="1:29" ht="29.4" thickTop="1">
      <c r="A66" s="483"/>
      <c r="B66" s="487" t="s">
        <v>1688</v>
      </c>
      <c r="C66" s="532"/>
      <c r="D66" s="532"/>
      <c r="E66" s="532"/>
      <c r="F66" s="532"/>
      <c r="G66" s="532"/>
      <c r="H66" s="532"/>
      <c r="I66" s="532"/>
      <c r="J66" s="532"/>
      <c r="K66" s="533"/>
      <c r="L66" s="534"/>
      <c r="M66" s="535"/>
      <c r="N66" s="2740"/>
      <c r="O66" s="2740"/>
      <c r="P66" s="2749"/>
      <c r="Q66" s="2726"/>
      <c r="R66" s="2712"/>
      <c r="S66" s="2712"/>
      <c r="T66" s="2712"/>
      <c r="U66" s="2712"/>
      <c r="V66" s="2712"/>
      <c r="W66" s="2712"/>
      <c r="X66" s="2712"/>
      <c r="Y66" s="2712"/>
      <c r="Z66" s="2712"/>
      <c r="AA66" s="2712"/>
      <c r="AB66" s="2712"/>
      <c r="AC66" s="2712"/>
    </row>
    <row r="67" spans="1:29" ht="14.4" thickBot="1">
      <c r="A67" s="483"/>
      <c r="B67" s="492"/>
      <c r="C67" s="485"/>
      <c r="D67" s="485"/>
      <c r="E67" s="485"/>
      <c r="F67" s="485"/>
      <c r="G67" s="485"/>
      <c r="H67" s="485"/>
      <c r="I67" s="485"/>
      <c r="J67" s="485"/>
      <c r="K67" s="485"/>
      <c r="L67" s="485"/>
      <c r="M67" s="486"/>
      <c r="N67" s="2741"/>
      <c r="O67" s="2741"/>
      <c r="P67" s="2749"/>
      <c r="Q67" s="2726"/>
      <c r="R67" s="2712"/>
      <c r="S67" s="2712"/>
      <c r="T67" s="2712"/>
      <c r="U67" s="2712"/>
      <c r="V67" s="2712"/>
      <c r="W67" s="2712"/>
      <c r="X67" s="2712"/>
      <c r="Y67" s="2712"/>
      <c r="Z67" s="2712"/>
      <c r="AA67" s="2712"/>
      <c r="AB67" s="2712"/>
      <c r="AC67" s="271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c r="A69" s="483"/>
      <c r="B69" s="497"/>
      <c r="C69" s="498">
        <v>0</v>
      </c>
      <c r="D69" s="498">
        <v>3</v>
      </c>
      <c r="E69" s="498"/>
      <c r="F69" s="498"/>
      <c r="G69" s="498"/>
      <c r="H69" s="498"/>
      <c r="I69" s="498"/>
      <c r="J69" s="498"/>
      <c r="K69" s="499"/>
      <c r="L69" s="500"/>
      <c r="M69" s="501"/>
      <c r="N69" s="2740"/>
      <c r="O69" s="2740"/>
      <c r="P69" s="2749"/>
      <c r="Q69" s="2726"/>
      <c r="R69" s="2712"/>
      <c r="S69" s="2712"/>
      <c r="T69" s="2712"/>
      <c r="U69" s="2712"/>
      <c r="V69" s="2712"/>
      <c r="W69" s="2712"/>
      <c r="X69" s="2712"/>
      <c r="Y69" s="2712"/>
      <c r="Z69" s="2712"/>
      <c r="AA69" s="2712"/>
      <c r="AB69" s="2712"/>
      <c r="AC69" s="271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1"/>
      <c r="O70" s="2741"/>
      <c r="P70" s="2749"/>
      <c r="Q70" s="2726"/>
      <c r="R70" s="2712"/>
      <c r="S70" s="2712"/>
      <c r="T70" s="2712"/>
      <c r="U70" s="2712"/>
      <c r="V70" s="2712"/>
      <c r="W70" s="2712"/>
      <c r="X70" s="2712"/>
      <c r="Y70" s="2712"/>
      <c r="Z70" s="2712"/>
      <c r="AA70" s="2712"/>
      <c r="AB70" s="2712"/>
      <c r="AC70" s="2712"/>
    </row>
    <row r="71" spans="1:29" s="422" customFormat="1" ht="14.4" thickTop="1">
      <c r="A71" s="502"/>
      <c r="B71" s="487">
        <f>B12</f>
        <v>111</v>
      </c>
      <c r="C71" s="503"/>
      <c r="D71" s="503"/>
      <c r="E71" s="503"/>
      <c r="F71" s="503"/>
      <c r="G71" s="503"/>
      <c r="H71" s="504"/>
      <c r="I71" s="504"/>
      <c r="J71" s="504"/>
      <c r="K71" s="504"/>
      <c r="L71" s="505"/>
      <c r="M71" s="506"/>
      <c r="N71" s="2742"/>
      <c r="O71" s="2742"/>
      <c r="P71" s="2750"/>
      <c r="Q71" s="2733"/>
      <c r="R71" s="2734"/>
      <c r="S71" s="2734"/>
      <c r="T71" s="2734"/>
      <c r="U71" s="2734"/>
      <c r="V71" s="2734"/>
      <c r="W71" s="2734"/>
      <c r="X71" s="2734"/>
      <c r="Y71" s="2734"/>
      <c r="Z71" s="2734"/>
      <c r="AA71" s="2734"/>
      <c r="AB71" s="2734"/>
      <c r="AC71" s="2734"/>
    </row>
    <row r="72" spans="1:29" s="422" customFormat="1" ht="14.4" thickBot="1">
      <c r="A72" s="502"/>
      <c r="B72" s="492"/>
      <c r="C72" s="509"/>
      <c r="D72" s="485"/>
      <c r="E72" s="485"/>
      <c r="F72" s="485"/>
      <c r="G72" s="485"/>
      <c r="H72" s="485"/>
      <c r="I72" s="485"/>
      <c r="J72" s="485"/>
      <c r="K72" s="485"/>
      <c r="L72" s="485"/>
      <c r="M72" s="486"/>
      <c r="N72" s="2741"/>
      <c r="O72" s="2741"/>
      <c r="P72" s="2750"/>
      <c r="Q72" s="2733"/>
      <c r="R72" s="2734"/>
      <c r="S72" s="2734"/>
      <c r="T72" s="2734"/>
      <c r="U72" s="2734"/>
      <c r="V72" s="2734"/>
      <c r="W72" s="2734"/>
      <c r="X72" s="2734"/>
      <c r="Y72" s="2734"/>
      <c r="Z72" s="2734"/>
      <c r="AA72" s="2734"/>
      <c r="AB72" s="2734"/>
      <c r="AC72" s="2734"/>
    </row>
    <row r="73" spans="1:29" s="422" customFormat="1" ht="14.4" thickTop="1">
      <c r="A73" s="502"/>
      <c r="B73" s="487">
        <f>B13</f>
        <v>111</v>
      </c>
      <c r="C73" s="503"/>
      <c r="D73" s="503"/>
      <c r="E73" s="503"/>
      <c r="F73" s="503"/>
      <c r="G73" s="503"/>
      <c r="H73" s="504"/>
      <c r="I73" s="504"/>
      <c r="J73" s="504"/>
      <c r="K73" s="504"/>
      <c r="L73" s="505"/>
      <c r="M73" s="506"/>
      <c r="N73" s="2742"/>
      <c r="O73" s="2742"/>
      <c r="P73" s="2751"/>
      <c r="Q73" s="2736"/>
      <c r="R73" s="2734"/>
      <c r="S73" s="2734"/>
      <c r="T73" s="2734"/>
      <c r="U73" s="2734"/>
      <c r="V73" s="2734"/>
      <c r="W73" s="2734"/>
      <c r="X73" s="2734"/>
      <c r="Y73" s="2734"/>
      <c r="Z73" s="2734"/>
      <c r="AA73" s="2734"/>
      <c r="AB73" s="2734"/>
      <c r="AC73" s="2734"/>
    </row>
    <row r="74" spans="1:29" s="422" customFormat="1" ht="14.4" thickBot="1">
      <c r="A74" s="502"/>
      <c r="B74" s="492"/>
      <c r="C74" s="509"/>
      <c r="D74" s="509"/>
      <c r="E74" s="509"/>
      <c r="F74" s="509"/>
      <c r="G74" s="509"/>
      <c r="H74" s="511"/>
      <c r="I74" s="511"/>
      <c r="J74" s="511"/>
      <c r="K74" s="511"/>
      <c r="L74" s="511"/>
      <c r="M74" s="512"/>
      <c r="N74" s="2742"/>
      <c r="O74" s="2742"/>
      <c r="P74" s="2750"/>
      <c r="Q74" s="2733"/>
      <c r="R74" s="2734"/>
      <c r="S74" s="2734"/>
      <c r="T74" s="2734"/>
      <c r="U74" s="2734"/>
      <c r="V74" s="2734"/>
      <c r="W74" s="2734"/>
      <c r="X74" s="2734"/>
      <c r="Y74" s="2734"/>
      <c r="Z74" s="2734"/>
      <c r="AA74" s="2734"/>
      <c r="AB74" s="2734"/>
      <c r="AC74" s="2734"/>
    </row>
    <row r="75" spans="1:29" s="422" customFormat="1" ht="14.4" thickTop="1">
      <c r="A75" s="502"/>
      <c r="B75" s="495">
        <f>B14</f>
        <v>111</v>
      </c>
      <c r="C75" s="472"/>
      <c r="D75" s="472"/>
      <c r="E75" s="472"/>
      <c r="F75" s="472"/>
      <c r="G75" s="472"/>
      <c r="H75" s="513"/>
      <c r="I75" s="513"/>
      <c r="J75" s="513"/>
      <c r="K75" s="513"/>
      <c r="L75" s="514"/>
      <c r="M75" s="515"/>
      <c r="N75" s="2742"/>
      <c r="O75" s="2742"/>
      <c r="P75" s="2752"/>
      <c r="Q75" s="2733"/>
      <c r="R75" s="2734"/>
      <c r="S75" s="2734"/>
      <c r="T75" s="2734"/>
      <c r="U75" s="2734"/>
      <c r="V75" s="2734"/>
      <c r="W75" s="2734"/>
      <c r="X75" s="2734"/>
      <c r="Y75" s="2734"/>
      <c r="Z75" s="2734"/>
      <c r="AA75" s="2734"/>
      <c r="AB75" s="2734"/>
      <c r="AC75" s="2734"/>
    </row>
    <row r="76" spans="1:29" s="422" customFormat="1" ht="14.4" thickBot="1">
      <c r="A76" s="517"/>
      <c r="B76" s="518"/>
      <c r="C76" s="519"/>
      <c r="D76" s="519"/>
      <c r="E76" s="519"/>
      <c r="F76" s="519"/>
      <c r="G76" s="519"/>
      <c r="H76" s="520"/>
      <c r="I76" s="520"/>
      <c r="J76" s="520"/>
      <c r="K76" s="520"/>
      <c r="L76" s="520"/>
      <c r="M76" s="521"/>
      <c r="N76" s="2742"/>
      <c r="O76" s="2742"/>
      <c r="P76" s="2750"/>
      <c r="Q76" s="2733"/>
      <c r="R76" s="2734"/>
      <c r="S76" s="2734"/>
      <c r="T76" s="2734"/>
      <c r="U76" s="2734"/>
      <c r="V76" s="2734"/>
      <c r="W76" s="2734"/>
      <c r="X76" s="2734"/>
      <c r="Y76" s="2734"/>
      <c r="Z76" s="2734"/>
      <c r="AA76" s="2734"/>
      <c r="AB76" s="2734"/>
      <c r="AC76" s="2734"/>
    </row>
    <row r="77" spans="1:29" ht="14.4">
      <c r="A77" s="476" t="s">
        <v>1690</v>
      </c>
      <c r="B77" s="477" t="s">
        <v>1821</v>
      </c>
      <c r="C77" s="522" t="s">
        <v>1721</v>
      </c>
      <c r="D77" s="522" t="s">
        <v>1722</v>
      </c>
      <c r="E77" s="522" t="s">
        <v>1723</v>
      </c>
      <c r="F77" s="522" t="s">
        <v>1724</v>
      </c>
      <c r="G77" s="522" t="s">
        <v>1725</v>
      </c>
      <c r="H77" s="478"/>
      <c r="I77" s="478"/>
      <c r="J77" s="478"/>
      <c r="K77" s="523"/>
      <c r="L77" s="524"/>
      <c r="M77" s="525"/>
      <c r="N77" s="2740"/>
      <c r="O77" s="2740"/>
      <c r="P77" s="2753"/>
      <c r="Q77" s="2726"/>
      <c r="R77" s="2712"/>
      <c r="S77" s="2712"/>
      <c r="T77" s="2712"/>
      <c r="U77" s="2712"/>
      <c r="V77" s="2712"/>
      <c r="W77" s="2712"/>
      <c r="X77" s="2712"/>
      <c r="Y77" s="2712"/>
      <c r="Z77" s="2712"/>
      <c r="AA77" s="2712"/>
      <c r="AB77" s="2712"/>
      <c r="AC77" s="271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1"/>
      <c r="O78" s="2741"/>
      <c r="P78" s="2749"/>
      <c r="Q78" s="2726"/>
      <c r="R78" s="2712"/>
      <c r="S78" s="2712"/>
      <c r="T78" s="2712"/>
      <c r="U78" s="2712"/>
      <c r="V78" s="2712"/>
      <c r="W78" s="2712"/>
      <c r="X78" s="2712"/>
      <c r="Y78" s="2712"/>
      <c r="Z78" s="2712"/>
      <c r="AA78" s="2712"/>
      <c r="AB78" s="2712"/>
      <c r="AC78" s="2712"/>
    </row>
    <row r="79" spans="1:29" ht="15" thickTop="1">
      <c r="A79" s="483"/>
      <c r="B79" s="487" t="s">
        <v>1726</v>
      </c>
      <c r="C79" s="527" t="s">
        <v>1721</v>
      </c>
      <c r="D79" s="527" t="s">
        <v>1722</v>
      </c>
      <c r="E79" s="527" t="s">
        <v>1723</v>
      </c>
      <c r="F79" s="527" t="s">
        <v>1724</v>
      </c>
      <c r="G79" s="527" t="s">
        <v>1725</v>
      </c>
      <c r="H79" s="488"/>
      <c r="I79" s="488"/>
      <c r="J79" s="488"/>
      <c r="K79" s="489"/>
      <c r="L79" s="490"/>
      <c r="M79" s="491"/>
      <c r="N79" s="2740"/>
      <c r="O79" s="2740"/>
      <c r="P79" s="2749"/>
      <c r="Q79" s="2726"/>
      <c r="R79" s="2712"/>
      <c r="S79" s="2712"/>
      <c r="T79" s="2712"/>
      <c r="U79" s="2712"/>
      <c r="V79" s="2712"/>
      <c r="W79" s="2712"/>
      <c r="X79" s="2712"/>
      <c r="Y79" s="2712"/>
      <c r="Z79" s="2712"/>
      <c r="AA79" s="2712"/>
      <c r="AB79" s="2712"/>
      <c r="AC79" s="271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1"/>
      <c r="O80" s="2741"/>
      <c r="P80" s="2749"/>
      <c r="Q80" s="2726"/>
      <c r="R80" s="2712"/>
      <c r="S80" s="2712"/>
      <c r="T80" s="2712"/>
      <c r="U80" s="2712"/>
      <c r="V80" s="2712"/>
      <c r="W80" s="2712"/>
      <c r="X80" s="2712"/>
      <c r="Y80" s="2712"/>
      <c r="Z80" s="2712"/>
      <c r="AA80" s="2712"/>
      <c r="AB80" s="2712"/>
      <c r="AC80" s="2712"/>
    </row>
    <row r="81" spans="1:29" ht="15" thickTop="1">
      <c r="A81" s="483"/>
      <c r="B81" s="487" t="s">
        <v>1727</v>
      </c>
      <c r="C81" s="527" t="s">
        <v>1721</v>
      </c>
      <c r="D81" s="527" t="s">
        <v>1722</v>
      </c>
      <c r="E81" s="527" t="s">
        <v>1723</v>
      </c>
      <c r="F81" s="527" t="s">
        <v>1724</v>
      </c>
      <c r="G81" s="527" t="s">
        <v>1725</v>
      </c>
      <c r="H81" s="488"/>
      <c r="I81" s="488"/>
      <c r="J81" s="488"/>
      <c r="K81" s="489"/>
      <c r="L81" s="490"/>
      <c r="M81" s="491"/>
      <c r="N81" s="2740"/>
      <c r="O81" s="2740"/>
      <c r="P81" s="2749"/>
      <c r="Q81" s="2726"/>
      <c r="R81" s="2712"/>
      <c r="S81" s="2712"/>
      <c r="T81" s="2712"/>
      <c r="U81" s="2712"/>
      <c r="V81" s="2712"/>
      <c r="W81" s="2712"/>
      <c r="X81" s="2712"/>
      <c r="Y81" s="2712"/>
      <c r="Z81" s="2712"/>
      <c r="AA81" s="2712"/>
      <c r="AB81" s="2712"/>
      <c r="AC81" s="271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1"/>
      <c r="O82" s="2741"/>
      <c r="P82" s="2749"/>
      <c r="Q82" s="2726"/>
      <c r="R82" s="2712"/>
      <c r="S82" s="2712"/>
      <c r="T82" s="2712"/>
      <c r="U82" s="2712"/>
      <c r="V82" s="2712"/>
      <c r="W82" s="2712"/>
      <c r="X82" s="2712"/>
      <c r="Y82" s="2712"/>
      <c r="Z82" s="2712"/>
      <c r="AA82" s="2712"/>
      <c r="AB82" s="2712"/>
      <c r="AC82" s="2712"/>
    </row>
    <row r="83" spans="1:29" ht="15" thickTop="1">
      <c r="A83" s="483"/>
      <c r="B83" s="495" t="s">
        <v>1813</v>
      </c>
      <c r="C83" s="608" t="s">
        <v>1799</v>
      </c>
      <c r="D83" s="608" t="s">
        <v>1800</v>
      </c>
      <c r="E83" s="608" t="s">
        <v>1801</v>
      </c>
      <c r="F83" s="608" t="s">
        <v>1802</v>
      </c>
      <c r="G83" s="608" t="s">
        <v>1803</v>
      </c>
      <c r="H83" s="488"/>
      <c r="I83" s="488"/>
      <c r="J83" s="488"/>
      <c r="K83" s="488"/>
      <c r="L83" s="488"/>
      <c r="M83" s="1129"/>
      <c r="N83" s="2741"/>
      <c r="O83" s="2741"/>
      <c r="P83" s="2749"/>
      <c r="Q83" s="2726"/>
      <c r="R83" s="2712"/>
      <c r="S83" s="2712"/>
      <c r="T83" s="2712"/>
      <c r="U83" s="2712"/>
      <c r="V83" s="2712"/>
      <c r="W83" s="2712"/>
      <c r="X83" s="2712"/>
      <c r="Y83" s="2712"/>
      <c r="Z83" s="2712"/>
      <c r="AA83" s="2712"/>
      <c r="AB83" s="2712"/>
      <c r="AC83" s="271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1"/>
      <c r="O84" s="2741"/>
      <c r="P84" s="2749"/>
      <c r="Q84" s="2726"/>
      <c r="R84" s="2712"/>
      <c r="S84" s="2712"/>
      <c r="T84" s="2712"/>
      <c r="U84" s="2712"/>
      <c r="V84" s="2712"/>
      <c r="W84" s="2712"/>
      <c r="X84" s="2712"/>
      <c r="Y84" s="2712"/>
      <c r="Z84" s="2712"/>
      <c r="AA84" s="2712"/>
      <c r="AB84" s="2712"/>
      <c r="AC84" s="2712"/>
    </row>
    <row r="85" spans="1:29" ht="15" thickTop="1">
      <c r="A85" s="483"/>
      <c r="B85" s="487" t="s">
        <v>1822</v>
      </c>
      <c r="C85" s="527" t="s">
        <v>1721</v>
      </c>
      <c r="D85" s="527" t="s">
        <v>1722</v>
      </c>
      <c r="E85" s="527" t="s">
        <v>1723</v>
      </c>
      <c r="F85" s="527" t="s">
        <v>1724</v>
      </c>
      <c r="G85" s="527" t="s">
        <v>1725</v>
      </c>
      <c r="H85" s="488"/>
      <c r="I85" s="488"/>
      <c r="J85" s="488"/>
      <c r="K85" s="489"/>
      <c r="L85" s="490"/>
      <c r="M85" s="491"/>
      <c r="N85" s="2740"/>
      <c r="O85" s="2740"/>
      <c r="P85" s="2749"/>
      <c r="Q85" s="2726"/>
      <c r="R85" s="2712"/>
      <c r="S85" s="2712"/>
      <c r="T85" s="2712"/>
      <c r="U85" s="2712"/>
      <c r="V85" s="2712"/>
      <c r="W85" s="2712"/>
      <c r="X85" s="2712"/>
      <c r="Y85" s="2712"/>
      <c r="Z85" s="2712"/>
      <c r="AA85" s="2712"/>
      <c r="AB85" s="2712"/>
      <c r="AC85" s="271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1"/>
      <c r="O86" s="2741"/>
      <c r="P86" s="2749"/>
      <c r="Q86" s="2726"/>
      <c r="R86" s="2712"/>
      <c r="S86" s="2712"/>
      <c r="T86" s="2712"/>
      <c r="U86" s="2712"/>
      <c r="V86" s="2712"/>
      <c r="W86" s="2712"/>
      <c r="X86" s="2712"/>
      <c r="Y86" s="2712"/>
      <c r="Z86" s="2712"/>
      <c r="AA86" s="2712"/>
      <c r="AB86" s="2712"/>
      <c r="AC86" s="2712"/>
    </row>
    <row r="87" spans="1:29" s="108" customFormat="1" ht="29.4" thickTop="1">
      <c r="A87" s="528"/>
      <c r="B87" s="487" t="s">
        <v>1823</v>
      </c>
      <c r="C87" s="503"/>
      <c r="D87" s="503"/>
      <c r="E87" s="503"/>
      <c r="F87" s="503"/>
      <c r="G87" s="503"/>
      <c r="H87" s="503"/>
      <c r="I87" s="503"/>
      <c r="J87" s="503"/>
      <c r="K87" s="503"/>
      <c r="L87" s="529"/>
      <c r="M87" s="530"/>
      <c r="N87" s="2739"/>
      <c r="O87" s="2739"/>
      <c r="P87" s="2749"/>
      <c r="Q87" s="2726"/>
      <c r="R87" s="2650"/>
      <c r="S87" s="2650"/>
      <c r="T87" s="2650"/>
      <c r="U87" s="2650"/>
      <c r="V87" s="2650"/>
      <c r="W87" s="2650"/>
      <c r="X87" s="2650"/>
      <c r="Y87" s="2650"/>
      <c r="Z87" s="2650"/>
      <c r="AA87" s="2650"/>
      <c r="AB87" s="2650"/>
      <c r="AC87" s="265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1"/>
      <c r="O88" s="2741"/>
      <c r="P88" s="2749"/>
      <c r="Q88" s="2726"/>
      <c r="R88" s="2650"/>
      <c r="S88" s="2650"/>
      <c r="T88" s="2650"/>
      <c r="U88" s="2650"/>
      <c r="V88" s="2650"/>
      <c r="W88" s="2650"/>
      <c r="X88" s="2650"/>
      <c r="Y88" s="2650"/>
      <c r="Z88" s="2650"/>
      <c r="AA88" s="2650"/>
      <c r="AB88" s="2650"/>
      <c r="AC88" s="2650"/>
    </row>
    <row r="89" spans="1:29" s="108" customFormat="1" ht="14.4" thickTop="1">
      <c r="A89" s="528"/>
      <c r="B89" s="487" t="str">
        <f>B27</f>
        <v>楼层</v>
      </c>
      <c r="C89" s="503"/>
      <c r="D89" s="503"/>
      <c r="E89" s="503"/>
      <c r="F89" s="1926"/>
      <c r="G89" s="503"/>
      <c r="H89" s="503"/>
      <c r="I89" s="503"/>
      <c r="J89" s="503"/>
      <c r="K89" s="503"/>
      <c r="L89" s="503"/>
      <c r="M89" s="530"/>
      <c r="N89" s="2739"/>
      <c r="O89" s="2739"/>
      <c r="P89" s="2749"/>
      <c r="Q89" s="2726"/>
      <c r="R89" s="2650"/>
      <c r="S89" s="2650"/>
      <c r="T89" s="2650"/>
      <c r="U89" s="2650"/>
      <c r="V89" s="2650"/>
      <c r="W89" s="2650"/>
      <c r="X89" s="2650"/>
      <c r="Y89" s="2650"/>
      <c r="Z89" s="2650"/>
      <c r="AA89" s="2650"/>
      <c r="AB89" s="2650"/>
      <c r="AC89" s="265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1"/>
      <c r="O90" s="2741"/>
      <c r="P90" s="2749"/>
      <c r="Q90" s="2726"/>
      <c r="R90" s="2650"/>
      <c r="S90" s="2650"/>
      <c r="T90" s="2650"/>
      <c r="U90" s="2650"/>
      <c r="V90" s="2650"/>
      <c r="W90" s="2650"/>
      <c r="X90" s="2650"/>
      <c r="Y90" s="2650"/>
      <c r="Z90" s="2650"/>
      <c r="AA90" s="2650"/>
      <c r="AB90" s="2650"/>
      <c r="AC90" s="2650"/>
    </row>
    <row r="91" spans="1:29" s="422" customFormat="1" ht="14.4" thickTop="1">
      <c r="A91" s="502"/>
      <c r="B91" s="487" t="str">
        <f>B28</f>
        <v>朝向</v>
      </c>
      <c r="C91" s="503"/>
      <c r="D91" s="503"/>
      <c r="E91" s="503"/>
      <c r="F91" s="503"/>
      <c r="G91" s="503"/>
      <c r="H91" s="504"/>
      <c r="I91" s="504"/>
      <c r="J91" s="504"/>
      <c r="K91" s="504"/>
      <c r="L91" s="505"/>
      <c r="M91" s="506"/>
      <c r="N91" s="2742"/>
      <c r="O91" s="2742"/>
      <c r="P91" s="2750"/>
      <c r="Q91" s="2733"/>
      <c r="R91" s="2734"/>
      <c r="S91" s="2734"/>
      <c r="T91" s="2734"/>
      <c r="U91" s="2734"/>
      <c r="V91" s="2734"/>
      <c r="W91" s="2734"/>
      <c r="X91" s="2734"/>
      <c r="Y91" s="2734"/>
      <c r="Z91" s="2734"/>
      <c r="AA91" s="2734"/>
      <c r="AB91" s="2734"/>
      <c r="AC91" s="273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2"/>
      <c r="O92" s="2742"/>
      <c r="P92" s="2750"/>
      <c r="Q92" s="2733"/>
      <c r="R92" s="2734"/>
      <c r="S92" s="2734"/>
      <c r="T92" s="2734"/>
      <c r="U92" s="2734"/>
      <c r="V92" s="2734"/>
      <c r="W92" s="2734"/>
      <c r="X92" s="2734"/>
      <c r="Y92" s="2734"/>
      <c r="Z92" s="2734"/>
      <c r="AA92" s="2734"/>
      <c r="AB92" s="2734"/>
      <c r="AC92" s="2734"/>
    </row>
    <row r="93" spans="1:29" ht="14.4" thickTop="1">
      <c r="A93" s="483"/>
      <c r="B93" s="487">
        <f>B29</f>
        <v>111</v>
      </c>
      <c r="C93" s="503"/>
      <c r="D93" s="503"/>
      <c r="E93" s="503"/>
      <c r="F93" s="503"/>
      <c r="G93" s="503"/>
      <c r="H93" s="503"/>
      <c r="I93" s="503"/>
      <c r="J93" s="503"/>
      <c r="K93" s="503"/>
      <c r="L93" s="529"/>
      <c r="M93" s="530"/>
      <c r="N93" s="2740"/>
      <c r="O93" s="2740"/>
      <c r="P93" s="2749"/>
      <c r="Q93" s="2726"/>
      <c r="R93" s="2712"/>
      <c r="S93" s="2712"/>
      <c r="T93" s="2712"/>
      <c r="U93" s="2712"/>
      <c r="V93" s="2712"/>
      <c r="W93" s="2712"/>
      <c r="X93" s="2712"/>
      <c r="Y93" s="2712"/>
      <c r="Z93" s="2712"/>
      <c r="AA93" s="2712"/>
      <c r="AB93" s="2712"/>
      <c r="AC93" s="2712"/>
    </row>
    <row r="94" spans="1:29" ht="14.4" thickBot="1">
      <c r="A94" s="483"/>
      <c r="B94" s="492"/>
      <c r="C94" s="509"/>
      <c r="D94" s="485"/>
      <c r="E94" s="485"/>
      <c r="F94" s="485"/>
      <c r="G94" s="485"/>
      <c r="H94" s="485"/>
      <c r="I94" s="485"/>
      <c r="J94" s="485"/>
      <c r="K94" s="485"/>
      <c r="L94" s="485"/>
      <c r="M94" s="486"/>
      <c r="N94" s="2741"/>
      <c r="O94" s="2741"/>
      <c r="P94" s="2749"/>
      <c r="Q94" s="2726"/>
      <c r="R94" s="2712"/>
      <c r="S94" s="2712"/>
      <c r="T94" s="2712"/>
      <c r="U94" s="2712"/>
      <c r="V94" s="2712"/>
      <c r="W94" s="2712"/>
      <c r="X94" s="2712"/>
      <c r="Y94" s="2712"/>
      <c r="Z94" s="2712"/>
      <c r="AA94" s="2712"/>
      <c r="AB94" s="2712"/>
      <c r="AC94" s="2712"/>
    </row>
    <row r="95" spans="1:29" ht="14.4" thickTop="1">
      <c r="A95" s="483"/>
      <c r="B95" s="487">
        <f>B30</f>
        <v>111</v>
      </c>
      <c r="C95" s="503"/>
      <c r="D95" s="503"/>
      <c r="E95" s="503"/>
      <c r="F95" s="503"/>
      <c r="G95" s="532"/>
      <c r="H95" s="532"/>
      <c r="I95" s="532"/>
      <c r="J95" s="532"/>
      <c r="K95" s="533"/>
      <c r="L95" s="534"/>
      <c r="M95" s="535"/>
      <c r="N95" s="2740"/>
      <c r="O95" s="2740"/>
      <c r="P95" s="2749"/>
      <c r="Q95" s="2726"/>
      <c r="R95" s="2712"/>
      <c r="S95" s="2712"/>
      <c r="T95" s="2712"/>
      <c r="U95" s="2712"/>
      <c r="V95" s="2712"/>
      <c r="W95" s="2712"/>
      <c r="X95" s="2712"/>
      <c r="Y95" s="2712"/>
      <c r="Z95" s="2712"/>
      <c r="AA95" s="2712"/>
      <c r="AB95" s="2712"/>
      <c r="AC95" s="2712"/>
    </row>
    <row r="96" spans="1:29" ht="14.4" thickBot="1">
      <c r="A96" s="483"/>
      <c r="B96" s="492"/>
      <c r="C96" s="509"/>
      <c r="D96" s="509"/>
      <c r="E96" s="509"/>
      <c r="F96" s="509"/>
      <c r="G96" s="485"/>
      <c r="H96" s="485"/>
      <c r="I96" s="485"/>
      <c r="J96" s="485"/>
      <c r="K96" s="485"/>
      <c r="L96" s="485"/>
      <c r="M96" s="486"/>
      <c r="N96" s="2741"/>
      <c r="O96" s="2741"/>
      <c r="P96" s="2749"/>
      <c r="Q96" s="2726"/>
      <c r="R96" s="2712"/>
      <c r="S96" s="2712"/>
      <c r="T96" s="2712"/>
      <c r="U96" s="2712"/>
      <c r="V96" s="2712"/>
      <c r="W96" s="2712"/>
      <c r="X96" s="2712"/>
      <c r="Y96" s="2712"/>
      <c r="Z96" s="2712"/>
      <c r="AA96" s="2712"/>
      <c r="AB96" s="2712"/>
      <c r="AC96" s="2712"/>
    </row>
    <row r="97" spans="1:29" ht="14.4" thickTop="1">
      <c r="A97" s="483"/>
      <c r="B97" s="487">
        <f>B31</f>
        <v>111</v>
      </c>
      <c r="C97" s="503"/>
      <c r="D97" s="503"/>
      <c r="E97" s="503"/>
      <c r="F97" s="503"/>
      <c r="G97" s="532"/>
      <c r="H97" s="532"/>
      <c r="I97" s="532"/>
      <c r="J97" s="532"/>
      <c r="K97" s="533"/>
      <c r="L97" s="534"/>
      <c r="M97" s="535"/>
      <c r="N97" s="2740"/>
      <c r="O97" s="2740"/>
      <c r="P97" s="2749"/>
      <c r="Q97" s="2726"/>
      <c r="R97" s="2712"/>
      <c r="S97" s="2712"/>
      <c r="T97" s="2712"/>
      <c r="U97" s="2712"/>
      <c r="V97" s="2712"/>
      <c r="W97" s="2712"/>
      <c r="X97" s="2712"/>
      <c r="Y97" s="2712"/>
      <c r="Z97" s="2712"/>
      <c r="AA97" s="2712"/>
      <c r="AB97" s="2712"/>
      <c r="AC97" s="2712"/>
    </row>
    <row r="98" spans="1:29" ht="14.4" thickBot="1">
      <c r="A98" s="483"/>
      <c r="B98" s="492"/>
      <c r="C98" s="509"/>
      <c r="D98" s="485"/>
      <c r="E98" s="485"/>
      <c r="F98" s="485"/>
      <c r="G98" s="485"/>
      <c r="H98" s="485"/>
      <c r="I98" s="485"/>
      <c r="J98" s="485"/>
      <c r="K98" s="485"/>
      <c r="L98" s="485"/>
      <c r="M98" s="486"/>
      <c r="N98" s="2741"/>
      <c r="O98" s="2741"/>
      <c r="P98" s="2749"/>
      <c r="Q98" s="2726"/>
      <c r="R98" s="2712"/>
      <c r="S98" s="2712"/>
      <c r="T98" s="2712"/>
      <c r="U98" s="2712"/>
      <c r="V98" s="2712"/>
      <c r="W98" s="2712"/>
      <c r="X98" s="2712"/>
      <c r="Y98" s="2712"/>
      <c r="Z98" s="2712"/>
      <c r="AA98" s="2712"/>
      <c r="AB98" s="2712"/>
      <c r="AC98" s="2712"/>
    </row>
    <row r="99" spans="1:29" ht="14.4" thickTop="1">
      <c r="A99" s="483"/>
      <c r="B99" s="495">
        <f>B32</f>
        <v>111</v>
      </c>
      <c r="C99" s="472"/>
      <c r="D99" s="472"/>
      <c r="E99" s="472"/>
      <c r="F99" s="472"/>
      <c r="G99" s="536"/>
      <c r="H99" s="536"/>
      <c r="I99" s="536"/>
      <c r="J99" s="536"/>
      <c r="K99" s="537"/>
      <c r="L99" s="538"/>
      <c r="M99" s="539"/>
      <c r="N99" s="2740"/>
      <c r="O99" s="2740"/>
      <c r="P99" s="2749"/>
      <c r="Q99" s="2726"/>
      <c r="R99" s="2712"/>
      <c r="S99" s="2712"/>
      <c r="T99" s="2712"/>
      <c r="U99" s="2712"/>
      <c r="V99" s="2712"/>
      <c r="W99" s="2712"/>
      <c r="X99" s="2712"/>
      <c r="Y99" s="2712"/>
      <c r="Z99" s="2712"/>
      <c r="AA99" s="2712"/>
      <c r="AB99" s="2712"/>
      <c r="AC99" s="2712"/>
    </row>
    <row r="100" spans="1:29" ht="14.4" thickBot="1">
      <c r="A100" s="1927"/>
      <c r="B100" s="518"/>
      <c r="C100" s="519"/>
      <c r="D100" s="519"/>
      <c r="E100" s="519"/>
      <c r="F100" s="519"/>
      <c r="G100" s="540"/>
      <c r="H100" s="540"/>
      <c r="I100" s="540"/>
      <c r="J100" s="540"/>
      <c r="K100" s="540"/>
      <c r="L100" s="540"/>
      <c r="M100" s="541"/>
      <c r="N100" s="2741"/>
      <c r="O100" s="2741"/>
      <c r="P100" s="2749"/>
      <c r="Q100" s="2726"/>
      <c r="R100" s="2712"/>
      <c r="S100" s="2712"/>
      <c r="T100" s="2712"/>
      <c r="U100" s="2712"/>
      <c r="V100" s="2712"/>
      <c r="W100" s="2712"/>
      <c r="X100" s="2712"/>
      <c r="Y100" s="2712"/>
      <c r="Z100" s="2712"/>
      <c r="AA100" s="2712"/>
      <c r="AB100" s="2712"/>
      <c r="AC100" s="2712"/>
    </row>
    <row r="101" spans="1:29" ht="14.4">
      <c r="A101" s="476" t="s">
        <v>1694</v>
      </c>
      <c r="B101" s="477" t="s">
        <v>1736</v>
      </c>
      <c r="C101" s="479"/>
      <c r="D101" s="479"/>
      <c r="E101" s="479"/>
      <c r="F101" s="479"/>
      <c r="G101" s="479"/>
      <c r="H101" s="479"/>
      <c r="I101" s="479"/>
      <c r="J101" s="479"/>
      <c r="K101" s="480"/>
      <c r="L101" s="481"/>
      <c r="M101" s="482"/>
      <c r="N101" s="2740"/>
      <c r="O101" s="2740"/>
      <c r="P101" s="2749"/>
      <c r="Q101" s="2726"/>
      <c r="R101" s="2712"/>
      <c r="S101" s="2712"/>
      <c r="T101" s="2712"/>
      <c r="U101" s="2712"/>
      <c r="V101" s="2712"/>
      <c r="W101" s="2712"/>
      <c r="X101" s="2712"/>
      <c r="Y101" s="2712"/>
      <c r="Z101" s="2712"/>
      <c r="AA101" s="2712"/>
      <c r="AB101" s="2712"/>
      <c r="AC101" s="271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1"/>
      <c r="O102" s="2741"/>
      <c r="P102" s="2749"/>
      <c r="Q102" s="2726"/>
      <c r="R102" s="2712"/>
      <c r="S102" s="2712"/>
      <c r="T102" s="2712"/>
      <c r="U102" s="2712"/>
      <c r="V102" s="2712"/>
      <c r="W102" s="2712"/>
      <c r="X102" s="2712"/>
      <c r="Y102" s="2712"/>
      <c r="Z102" s="2712"/>
      <c r="AA102" s="2712"/>
      <c r="AB102" s="2712"/>
      <c r="AC102" s="271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2"/>
      <c r="B104" s="543"/>
      <c r="C104" s="544"/>
      <c r="D104" s="544"/>
      <c r="E104" s="544"/>
      <c r="F104" s="544"/>
      <c r="G104" s="544"/>
      <c r="H104" s="544"/>
      <c r="I104" s="544"/>
      <c r="J104" s="545"/>
      <c r="K104" s="545"/>
      <c r="L104" s="546"/>
      <c r="M104" s="547"/>
      <c r="N104" s="2742"/>
      <c r="O104" s="2742"/>
      <c r="P104" s="2750"/>
      <c r="Q104" s="2733"/>
      <c r="R104" s="2734"/>
      <c r="S104" s="2734"/>
      <c r="T104" s="2734"/>
      <c r="U104" s="2734"/>
      <c r="V104" s="2734"/>
      <c r="W104" s="2734"/>
      <c r="X104" s="2734"/>
      <c r="Y104" s="2734"/>
      <c r="Z104" s="2734"/>
      <c r="AA104" s="2734"/>
      <c r="AB104" s="2734"/>
      <c r="AC104" s="2734"/>
    </row>
    <row r="105" spans="1:29" s="422" customFormat="1" ht="14.4" thickBot="1">
      <c r="A105" s="502"/>
      <c r="B105" s="492"/>
      <c r="C105" s="509"/>
      <c r="D105" s="485"/>
      <c r="E105" s="485"/>
      <c r="F105" s="485"/>
      <c r="G105" s="485"/>
      <c r="H105" s="485"/>
      <c r="I105" s="485"/>
      <c r="J105" s="485"/>
      <c r="K105" s="485"/>
      <c r="L105" s="485"/>
      <c r="M105" s="486"/>
      <c r="N105" s="2741"/>
      <c r="O105" s="2741"/>
      <c r="P105" s="2750"/>
      <c r="Q105" s="2733"/>
      <c r="R105" s="2734"/>
      <c r="S105" s="2734"/>
      <c r="T105" s="2734"/>
      <c r="U105" s="2734"/>
      <c r="V105" s="2734"/>
      <c r="W105" s="2734"/>
      <c r="X105" s="2734"/>
      <c r="Y105" s="2734"/>
      <c r="Z105" s="2734"/>
      <c r="AA105" s="2734"/>
      <c r="AB105" s="2734"/>
      <c r="AC105" s="2734"/>
    </row>
    <row r="106" spans="1:29" ht="15" thickTop="1">
      <c r="A106" s="548"/>
      <c r="B106" s="487" t="s">
        <v>1738</v>
      </c>
      <c r="C106" s="503"/>
      <c r="D106" s="503"/>
      <c r="E106" s="532"/>
      <c r="F106" s="532"/>
      <c r="G106" s="532"/>
      <c r="H106" s="532"/>
      <c r="I106" s="532"/>
      <c r="J106" s="532"/>
      <c r="K106" s="533"/>
      <c r="L106" s="534"/>
      <c r="M106" s="535"/>
      <c r="N106" s="2740"/>
      <c r="O106" s="2740"/>
      <c r="P106" s="2749"/>
      <c r="Q106" s="2726"/>
      <c r="R106" s="2712"/>
      <c r="S106" s="2712"/>
      <c r="T106" s="2712"/>
      <c r="U106" s="2712"/>
      <c r="V106" s="2712"/>
      <c r="W106" s="2712"/>
      <c r="X106" s="2712"/>
      <c r="Y106" s="2712"/>
      <c r="Z106" s="2712"/>
      <c r="AA106" s="2712"/>
      <c r="AB106" s="2712"/>
      <c r="AC106" s="271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8"/>
      <c r="B108" s="487" t="s">
        <v>1740</v>
      </c>
      <c r="C108" s="503"/>
      <c r="D108" s="503"/>
      <c r="E108" s="503"/>
      <c r="F108" s="532"/>
      <c r="G108" s="532"/>
      <c r="H108" s="532"/>
      <c r="I108" s="532"/>
      <c r="J108" s="532"/>
      <c r="K108" s="533"/>
      <c r="L108" s="534"/>
      <c r="M108" s="535"/>
      <c r="N108" s="2740"/>
      <c r="O108" s="2740"/>
      <c r="P108" s="2749"/>
      <c r="Q108" s="2726"/>
      <c r="R108" s="2712"/>
      <c r="S108" s="2712"/>
      <c r="T108" s="2712"/>
      <c r="U108" s="2712"/>
      <c r="V108" s="2712"/>
      <c r="W108" s="2712"/>
      <c r="X108" s="2712"/>
      <c r="Y108" s="2712"/>
      <c r="Z108" s="2712"/>
      <c r="AA108" s="2712"/>
      <c r="AB108" s="2712"/>
      <c r="AC108" s="271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0"/>
      <c r="O110" s="2740"/>
      <c r="P110" s="2749"/>
      <c r="Q110" s="2726"/>
      <c r="R110" s="2712"/>
      <c r="S110" s="2712"/>
      <c r="T110" s="2712"/>
      <c r="U110" s="2712"/>
      <c r="V110" s="2712"/>
      <c r="W110" s="2712"/>
      <c r="X110" s="2712"/>
      <c r="Y110" s="2712"/>
      <c r="Z110" s="2712"/>
      <c r="AA110" s="2712"/>
      <c r="AB110" s="2712"/>
      <c r="AC110" s="2712"/>
    </row>
    <row r="111" spans="1:29">
      <c r="A111" s="548"/>
      <c r="B111" s="495"/>
      <c r="C111" s="552">
        <v>0.5</v>
      </c>
      <c r="D111" s="552">
        <v>0.6</v>
      </c>
      <c r="E111" s="552">
        <v>0.7</v>
      </c>
      <c r="F111" s="552">
        <v>0.8</v>
      </c>
      <c r="G111" s="552">
        <v>0.9</v>
      </c>
      <c r="H111" s="552">
        <v>1.0001</v>
      </c>
      <c r="I111" s="571"/>
      <c r="J111" s="571"/>
      <c r="K111" s="572"/>
      <c r="L111" s="573"/>
      <c r="M111" s="574"/>
      <c r="N111" s="2740"/>
      <c r="O111" s="2740"/>
      <c r="P111" s="2749"/>
      <c r="Q111" s="2726"/>
      <c r="R111" s="2712"/>
      <c r="S111" s="2712"/>
      <c r="T111" s="2712"/>
      <c r="U111" s="2712"/>
      <c r="V111" s="2712"/>
      <c r="W111" s="2712"/>
      <c r="X111" s="2712"/>
      <c r="Y111" s="2712"/>
      <c r="Z111" s="2712"/>
      <c r="AA111" s="2712"/>
      <c r="AB111" s="2712"/>
      <c r="AC111" s="271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2"/>
      <c r="B113" s="487" t="s">
        <v>1824</v>
      </c>
      <c r="C113" s="503"/>
      <c r="D113" s="503"/>
      <c r="E113" s="503"/>
      <c r="F113" s="503"/>
      <c r="G113" s="503"/>
      <c r="H113" s="532"/>
      <c r="I113" s="532"/>
      <c r="J113" s="532"/>
      <c r="K113" s="533"/>
      <c r="L113" s="534"/>
      <c r="M113" s="535"/>
      <c r="N113" s="2742"/>
      <c r="O113" s="2742"/>
      <c r="P113" s="2750"/>
      <c r="Q113" s="2733"/>
      <c r="R113" s="2734"/>
      <c r="S113" s="2734"/>
      <c r="T113" s="2734"/>
      <c r="U113" s="2734"/>
      <c r="V113" s="2734"/>
      <c r="W113" s="2734"/>
      <c r="X113" s="2734"/>
      <c r="Y113" s="2734"/>
      <c r="Z113" s="2734"/>
      <c r="AA113" s="2734"/>
      <c r="AB113" s="2734"/>
      <c r="AC113" s="273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8"/>
      <c r="B115" s="487" t="s">
        <v>1741</v>
      </c>
      <c r="C115" s="503"/>
      <c r="D115" s="503"/>
      <c r="E115" s="532"/>
      <c r="F115" s="532"/>
      <c r="G115" s="532"/>
      <c r="H115" s="532"/>
      <c r="I115" s="532"/>
      <c r="J115" s="532"/>
      <c r="K115" s="533"/>
      <c r="L115" s="534"/>
      <c r="M115" s="535"/>
      <c r="N115" s="2740"/>
      <c r="O115" s="2740"/>
      <c r="P115" s="2749"/>
      <c r="Q115" s="2726"/>
      <c r="R115" s="2712"/>
      <c r="S115" s="2712"/>
      <c r="T115" s="2712"/>
      <c r="U115" s="2712"/>
      <c r="V115" s="2712"/>
      <c r="W115" s="2712"/>
      <c r="X115" s="2712"/>
      <c r="Y115" s="2712"/>
      <c r="Z115" s="2712"/>
      <c r="AA115" s="2712"/>
      <c r="AB115" s="2712"/>
      <c r="AC115" s="271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8"/>
      <c r="B117" s="487" t="s">
        <v>1742</v>
      </c>
      <c r="C117" s="503"/>
      <c r="D117" s="503"/>
      <c r="E117" s="503"/>
      <c r="F117" s="503"/>
      <c r="G117" s="503"/>
      <c r="H117" s="532"/>
      <c r="I117" s="532"/>
      <c r="J117" s="532"/>
      <c r="K117" s="533"/>
      <c r="L117" s="534"/>
      <c r="M117" s="535"/>
      <c r="N117" s="2740"/>
      <c r="O117" s="2740"/>
      <c r="P117" s="2749"/>
      <c r="Q117" s="2726"/>
      <c r="R117" s="2712"/>
      <c r="S117" s="2712"/>
      <c r="T117" s="2712"/>
      <c r="U117" s="2712"/>
      <c r="V117" s="2712"/>
      <c r="W117" s="2712"/>
      <c r="X117" s="2712"/>
      <c r="Y117" s="2712"/>
      <c r="Z117" s="2712"/>
      <c r="AA117" s="2712"/>
      <c r="AB117" s="2712"/>
      <c r="AC117" s="271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1"/>
      <c r="O118" s="2741"/>
      <c r="P118" s="2749"/>
      <c r="Q118" s="2726"/>
      <c r="R118" s="2712"/>
      <c r="S118" s="2712"/>
      <c r="T118" s="2712"/>
      <c r="U118" s="2712"/>
      <c r="V118" s="2712"/>
      <c r="W118" s="2712"/>
      <c r="X118" s="2712"/>
      <c r="Y118" s="2712"/>
      <c r="Z118" s="2712"/>
      <c r="AA118" s="2712"/>
      <c r="AB118" s="2712"/>
      <c r="AC118" s="2712"/>
    </row>
    <row r="119" spans="1:29" ht="15" thickTop="1">
      <c r="A119" s="548"/>
      <c r="B119" s="584" t="s">
        <v>1825</v>
      </c>
      <c r="C119" s="532"/>
      <c r="D119" s="532"/>
      <c r="E119" s="532"/>
      <c r="F119" s="532"/>
      <c r="G119" s="532"/>
      <c r="H119" s="532"/>
      <c r="I119" s="532"/>
      <c r="J119" s="532"/>
      <c r="K119" s="532"/>
      <c r="L119" s="1967"/>
      <c r="M119" s="1968"/>
      <c r="N119" s="2741"/>
      <c r="O119" s="2741"/>
      <c r="P119" s="2754"/>
      <c r="Q119" s="2755"/>
      <c r="R119" s="2712"/>
      <c r="S119" s="2712"/>
      <c r="T119" s="2712"/>
      <c r="U119" s="2712"/>
      <c r="V119" s="2712"/>
      <c r="W119" s="2712"/>
      <c r="X119" s="2712"/>
      <c r="Y119" s="2712"/>
      <c r="Z119" s="2712"/>
      <c r="AA119" s="2712"/>
      <c r="AB119" s="2712"/>
      <c r="AC119" s="271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2"/>
      <c r="B121" s="487" t="s">
        <v>1808</v>
      </c>
      <c r="C121" s="503"/>
      <c r="D121" s="503"/>
      <c r="E121" s="503"/>
      <c r="F121" s="532"/>
      <c r="G121" s="504"/>
      <c r="H121" s="504"/>
      <c r="I121" s="504"/>
      <c r="J121" s="504"/>
      <c r="K121" s="504"/>
      <c r="L121" s="505"/>
      <c r="M121" s="506"/>
      <c r="N121" s="2742"/>
      <c r="O121" s="2742"/>
      <c r="P121" s="2750"/>
      <c r="Q121" s="2733"/>
      <c r="R121" s="2734"/>
      <c r="S121" s="2734"/>
      <c r="T121" s="2734"/>
      <c r="U121" s="2734"/>
      <c r="V121" s="2734"/>
      <c r="W121" s="2734"/>
      <c r="X121" s="2734"/>
      <c r="Y121" s="2734"/>
      <c r="Z121" s="2734"/>
      <c r="AA121" s="2734"/>
      <c r="AB121" s="2734"/>
      <c r="AC121" s="2734"/>
    </row>
    <row r="122" spans="1:29" s="422" customFormat="1" ht="14.4" thickBot="1">
      <c r="A122" s="502"/>
      <c r="B122" s="484"/>
      <c r="C122" s="509"/>
      <c r="D122" s="509"/>
      <c r="E122" s="509"/>
      <c r="F122" s="509"/>
      <c r="G122" s="509"/>
      <c r="H122" s="509"/>
      <c r="I122" s="509"/>
      <c r="J122" s="509"/>
      <c r="K122" s="509"/>
      <c r="L122" s="509"/>
      <c r="M122" s="509"/>
      <c r="N122" s="2742"/>
      <c r="O122" s="2742"/>
      <c r="P122" s="2750"/>
      <c r="Q122" s="2733"/>
      <c r="R122" s="2734"/>
      <c r="S122" s="2734"/>
      <c r="T122" s="2734"/>
      <c r="U122" s="2734"/>
      <c r="V122" s="2734"/>
      <c r="W122" s="2734"/>
      <c r="X122" s="2734"/>
      <c r="Y122" s="2734"/>
      <c r="Z122" s="2734"/>
      <c r="AA122" s="2734"/>
      <c r="AB122" s="2734"/>
      <c r="AC122" s="2734"/>
    </row>
    <row r="123" spans="1:29" ht="15" thickTop="1">
      <c r="A123" s="548"/>
      <c r="B123" s="487" t="s">
        <v>1744</v>
      </c>
      <c r="C123" s="503"/>
      <c r="D123" s="503"/>
      <c r="E123" s="503"/>
      <c r="F123" s="532"/>
      <c r="G123" s="532"/>
      <c r="H123" s="532"/>
      <c r="I123" s="532"/>
      <c r="J123" s="532"/>
      <c r="K123" s="533"/>
      <c r="L123" s="534"/>
      <c r="M123" s="535"/>
      <c r="N123" s="2740"/>
      <c r="O123" s="2740"/>
      <c r="P123" s="2749"/>
      <c r="Q123" s="2726"/>
      <c r="R123" s="2712"/>
      <c r="S123" s="2712"/>
      <c r="T123" s="2712"/>
      <c r="U123" s="2712"/>
      <c r="V123" s="2712"/>
      <c r="W123" s="2712"/>
      <c r="X123" s="2712"/>
      <c r="Y123" s="2712"/>
      <c r="Z123" s="2712"/>
      <c r="AA123" s="2712"/>
      <c r="AB123" s="2712"/>
      <c r="AC123" s="271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1"/>
      <c r="O124" s="2741"/>
      <c r="P124" s="2749"/>
      <c r="Q124" s="2726"/>
      <c r="R124" s="2712"/>
      <c r="S124" s="2712"/>
      <c r="T124" s="2712"/>
      <c r="U124" s="2712"/>
      <c r="V124" s="2712"/>
      <c r="W124" s="2712"/>
      <c r="X124" s="2712"/>
      <c r="Y124" s="2712"/>
      <c r="Z124" s="2712"/>
      <c r="AA124" s="2712"/>
      <c r="AB124" s="2712"/>
      <c r="AC124" s="271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0"/>
      <c r="O125" s="2740"/>
      <c r="P125" s="2750"/>
      <c r="Q125" s="2726"/>
      <c r="R125" s="2712"/>
      <c r="S125" s="2712"/>
      <c r="T125" s="2712"/>
      <c r="U125" s="2712"/>
      <c r="V125" s="2712"/>
      <c r="W125" s="2712"/>
      <c r="X125" s="2712"/>
      <c r="Y125" s="2712"/>
      <c r="Z125" s="2712"/>
      <c r="AA125" s="2712"/>
      <c r="AB125" s="2712"/>
      <c r="AC125" s="271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1"/>
      <c r="O126" s="2741"/>
      <c r="P126" s="2749"/>
      <c r="Q126" s="2726"/>
      <c r="R126" s="2712"/>
      <c r="S126" s="2712"/>
      <c r="T126" s="2712"/>
      <c r="U126" s="2712"/>
      <c r="V126" s="2712"/>
      <c r="W126" s="2712"/>
      <c r="X126" s="2712"/>
      <c r="Y126" s="2712"/>
      <c r="Z126" s="2712"/>
      <c r="AA126" s="2712"/>
      <c r="AB126" s="2712"/>
      <c r="AC126" s="2712"/>
    </row>
    <row r="127" spans="1:29" s="422" customFormat="1" ht="14.4" thickTop="1">
      <c r="A127" s="542"/>
      <c r="B127" s="487">
        <f>B45</f>
        <v>111</v>
      </c>
      <c r="C127" s="503"/>
      <c r="D127" s="503"/>
      <c r="E127" s="503"/>
      <c r="F127" s="503"/>
      <c r="G127" s="503"/>
      <c r="H127" s="504"/>
      <c r="I127" s="504"/>
      <c r="J127" s="504"/>
      <c r="K127" s="504"/>
      <c r="L127" s="505"/>
      <c r="M127" s="506"/>
      <c r="N127" s="2742"/>
      <c r="O127" s="2742"/>
      <c r="P127" s="2750"/>
      <c r="Q127" s="2733"/>
      <c r="R127" s="2734"/>
      <c r="S127" s="2734"/>
      <c r="T127" s="2734"/>
      <c r="U127" s="2734"/>
      <c r="V127" s="2734"/>
      <c r="W127" s="2734"/>
      <c r="X127" s="2734"/>
      <c r="Y127" s="2734"/>
      <c r="Z127" s="2734"/>
      <c r="AA127" s="2734"/>
      <c r="AB127" s="2734"/>
      <c r="AC127" s="2734"/>
    </row>
    <row r="128" spans="1:29" s="422" customFormat="1" ht="14.4" thickBot="1">
      <c r="A128" s="502"/>
      <c r="B128" s="492"/>
      <c r="C128" s="509"/>
      <c r="D128" s="485"/>
      <c r="E128" s="485"/>
      <c r="F128" s="485"/>
      <c r="G128" s="509"/>
      <c r="H128" s="511"/>
      <c r="I128" s="511"/>
      <c r="J128" s="511"/>
      <c r="K128" s="511"/>
      <c r="L128" s="511"/>
      <c r="M128" s="512"/>
      <c r="N128" s="2742"/>
      <c r="O128" s="2742"/>
      <c r="P128" s="2750"/>
      <c r="Q128" s="2733"/>
      <c r="R128" s="2734"/>
      <c r="S128" s="2734"/>
      <c r="T128" s="2734"/>
      <c r="U128" s="2734"/>
      <c r="V128" s="2734"/>
      <c r="W128" s="2734"/>
      <c r="X128" s="2734"/>
      <c r="Y128" s="2734"/>
      <c r="Z128" s="2734"/>
      <c r="AA128" s="2734"/>
      <c r="AB128" s="2734"/>
      <c r="AC128" s="2734"/>
    </row>
    <row r="129" spans="1:29" ht="14.4" thickTop="1">
      <c r="A129" s="548"/>
      <c r="B129" s="487">
        <f>B46</f>
        <v>111</v>
      </c>
      <c r="C129" s="503"/>
      <c r="D129" s="503"/>
      <c r="E129" s="503"/>
      <c r="F129" s="503"/>
      <c r="G129" s="532"/>
      <c r="H129" s="532"/>
      <c r="I129" s="532"/>
      <c r="J129" s="532"/>
      <c r="K129" s="533"/>
      <c r="L129" s="534"/>
      <c r="M129" s="535"/>
      <c r="N129" s="2740"/>
      <c r="O129" s="2740"/>
      <c r="P129" s="2749"/>
      <c r="Q129" s="2726"/>
      <c r="R129" s="2712"/>
      <c r="S129" s="2712"/>
      <c r="T129" s="2712"/>
      <c r="U129" s="2712"/>
      <c r="V129" s="2712"/>
      <c r="W129" s="2712"/>
      <c r="X129" s="2712"/>
      <c r="Y129" s="2712"/>
      <c r="Z129" s="2712"/>
      <c r="AA129" s="2712"/>
      <c r="AB129" s="2712"/>
      <c r="AC129" s="2712"/>
    </row>
    <row r="130" spans="1:29" ht="14.4" thickBot="1">
      <c r="A130" s="483"/>
      <c r="B130" s="492"/>
      <c r="C130" s="509"/>
      <c r="D130" s="509"/>
      <c r="E130" s="509"/>
      <c r="F130" s="509"/>
      <c r="G130" s="485"/>
      <c r="H130" s="485"/>
      <c r="I130" s="485"/>
      <c r="J130" s="485"/>
      <c r="K130" s="485"/>
      <c r="L130" s="485"/>
      <c r="M130" s="486"/>
      <c r="N130" s="2741"/>
      <c r="O130" s="2741"/>
      <c r="P130" s="2749"/>
      <c r="Q130" s="2726"/>
      <c r="R130" s="2712"/>
      <c r="S130" s="2712"/>
      <c r="T130" s="2712"/>
      <c r="U130" s="2712"/>
      <c r="V130" s="2712"/>
      <c r="W130" s="2712"/>
      <c r="X130" s="2712"/>
      <c r="Y130" s="2712"/>
      <c r="Z130" s="2712"/>
      <c r="AA130" s="2712"/>
      <c r="AB130" s="2712"/>
      <c r="AC130" s="2712"/>
    </row>
    <row r="131" spans="1:29" ht="14.4" thickTop="1">
      <c r="A131" s="548"/>
      <c r="B131" s="495">
        <f>B47</f>
        <v>111</v>
      </c>
      <c r="C131" s="472"/>
      <c r="D131" s="472"/>
      <c r="E131" s="472"/>
      <c r="F131" s="472"/>
      <c r="G131" s="536"/>
      <c r="H131" s="536"/>
      <c r="I131" s="536"/>
      <c r="J131" s="536"/>
      <c r="K131" s="472"/>
      <c r="L131" s="473"/>
      <c r="M131" s="539"/>
      <c r="N131" s="2740"/>
      <c r="O131" s="2740"/>
      <c r="P131" s="2749"/>
      <c r="Q131" s="2726"/>
      <c r="R131" s="2712"/>
      <c r="S131" s="2712"/>
      <c r="T131" s="2712"/>
      <c r="U131" s="2712"/>
      <c r="V131" s="2712"/>
      <c r="W131" s="2712"/>
      <c r="X131" s="2712"/>
      <c r="Y131" s="2712"/>
      <c r="Z131" s="2712"/>
      <c r="AA131" s="2712"/>
      <c r="AB131" s="2712"/>
      <c r="AC131" s="2712"/>
    </row>
    <row r="132" spans="1:29" ht="14.4" thickBot="1">
      <c r="A132" s="1927"/>
      <c r="B132" s="518"/>
      <c r="C132" s="519"/>
      <c r="D132" s="519"/>
      <c r="E132" s="519"/>
      <c r="F132" s="519"/>
      <c r="G132" s="540"/>
      <c r="H132" s="540"/>
      <c r="I132" s="540"/>
      <c r="J132" s="540"/>
      <c r="K132" s="540"/>
      <c r="L132" s="540"/>
      <c r="M132" s="541"/>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20"/>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4"/>
      <c r="Y4" s="3693" t="s">
        <v>1775</v>
      </c>
      <c r="Z4" s="3694"/>
      <c r="AA4" s="3680" t="s">
        <v>1771</v>
      </c>
      <c r="AB4" s="3681" t="s">
        <v>1772</v>
      </c>
      <c r="AC4" s="3680" t="s">
        <v>1773</v>
      </c>
    </row>
    <row r="5" spans="1:29">
      <c r="A5" s="358"/>
      <c r="B5" s="359"/>
      <c r="C5" s="3702" t="s">
        <v>1673</v>
      </c>
      <c r="D5" s="3703"/>
      <c r="E5" s="3712" t="s">
        <v>1674</v>
      </c>
      <c r="F5" s="3711"/>
      <c r="G5" s="3702" t="s">
        <v>1675</v>
      </c>
      <c r="H5" s="3703"/>
      <c r="I5" s="3702" t="s">
        <v>1676</v>
      </c>
      <c r="J5" s="3703"/>
      <c r="K5" s="559"/>
      <c r="L5" s="913"/>
      <c r="M5" s="914"/>
      <c r="N5" s="914"/>
      <c r="O5" s="914"/>
      <c r="P5" s="3689"/>
      <c r="Q5" s="3690"/>
      <c r="R5" s="3695"/>
      <c r="S5" s="3696"/>
      <c r="T5" s="3695"/>
      <c r="U5" s="3696"/>
      <c r="V5" s="3699"/>
      <c r="W5" s="3699"/>
      <c r="X5" s="1354"/>
      <c r="Y5" s="3695"/>
      <c r="Z5" s="3696"/>
      <c r="AA5" s="3681"/>
      <c r="AB5" s="3681"/>
      <c r="AC5" s="3681"/>
    </row>
    <row r="6" spans="1:29" ht="15" thickBot="1">
      <c r="A6" s="360"/>
      <c r="B6" s="361"/>
      <c r="C6" s="3700" t="s">
        <v>1677</v>
      </c>
      <c r="D6" s="3701"/>
      <c r="E6" s="3708" t="s">
        <v>1677</v>
      </c>
      <c r="F6" s="3709"/>
      <c r="G6" s="3700" t="s">
        <v>1677</v>
      </c>
      <c r="H6" s="3701"/>
      <c r="I6" s="3700" t="s">
        <v>1677</v>
      </c>
      <c r="J6" s="3701"/>
      <c r="K6" s="559" t="s">
        <v>1678</v>
      </c>
      <c r="L6" s="913"/>
      <c r="M6" s="914"/>
      <c r="N6" s="914"/>
      <c r="O6" s="914"/>
      <c r="P6" s="3691"/>
      <c r="Q6" s="3692"/>
      <c r="R6" s="3695"/>
      <c r="S6" s="3696"/>
      <c r="T6" s="3697"/>
      <c r="U6" s="3698"/>
      <c r="V6" s="3699"/>
      <c r="W6" s="3699"/>
      <c r="X6" s="1354"/>
      <c r="Y6" s="3697"/>
      <c r="Z6" s="3698"/>
      <c r="AA6" s="3682"/>
      <c r="AB6" s="3682"/>
      <c r="AC6" s="3682"/>
    </row>
    <row r="7" spans="1:29" s="108" customFormat="1" ht="15" thickBot="1">
      <c r="A7" s="362" t="s">
        <v>1679</v>
      </c>
      <c r="B7" s="363"/>
      <c r="C7" s="364">
        <f>'数据-取费表'!B2</f>
        <v>45517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8.8">
      <c r="A10" s="374"/>
      <c r="B10" s="375" t="s">
        <v>1688</v>
      </c>
      <c r="C10" s="3421"/>
      <c r="D10" s="127">
        <v>100</v>
      </c>
      <c r="E10" s="3421"/>
      <c r="F10" s="127">
        <f>SUMIF(59:59,E10,60:60)-SUMIF(59:59,C10,60:60)+100</f>
        <v>100</v>
      </c>
      <c r="G10" s="3422"/>
      <c r="H10" s="127">
        <f>SUMIF(59:59,G10,60:60)-SUMIF(59:59,C10,60:60)+100</f>
        <v>100</v>
      </c>
      <c r="I10" s="3421"/>
      <c r="J10" s="127">
        <f>SUMIF(59:59,I10,60:60)-SUMIF(59:59,C10,60:60)+100</f>
        <v>100</v>
      </c>
      <c r="K10" s="560"/>
      <c r="L10" s="918"/>
      <c r="M10" s="919"/>
      <c r="N10" s="919"/>
      <c r="O10" s="920"/>
      <c r="P10" s="3668"/>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2"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8"/>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8"/>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8"/>
      <c r="Q14" s="1342">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1" t="str">
        <f t="shared" si="6"/>
        <v>产业集聚程度</v>
      </c>
      <c r="R15" s="705" t="s">
        <v>14</v>
      </c>
      <c r="S15" s="706">
        <f t="shared" si="0"/>
        <v>100</v>
      </c>
      <c r="T15" s="705" t="s">
        <v>14</v>
      </c>
      <c r="U15" s="706">
        <f t="shared" si="1"/>
        <v>100</v>
      </c>
      <c r="V15" s="705" t="s">
        <v>14</v>
      </c>
      <c r="W15" s="706">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1"/>
      <c r="Q16" s="1351"/>
      <c r="R16" s="705"/>
      <c r="S16" s="706"/>
      <c r="T16" s="705"/>
      <c r="U16" s="706"/>
      <c r="V16" s="705"/>
      <c r="W16" s="706"/>
      <c r="X16" s="1354"/>
      <c r="Y16" s="3671"/>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1"/>
      <c r="Q18" s="1351"/>
      <c r="R18" s="705"/>
      <c r="S18" s="706"/>
      <c r="T18" s="705"/>
      <c r="U18" s="706"/>
      <c r="V18" s="705"/>
      <c r="W18" s="706"/>
      <c r="X18" s="1354"/>
      <c r="Y18" s="3671"/>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1"/>
      <c r="Q20" s="1351"/>
      <c r="R20" s="705"/>
      <c r="S20" s="706"/>
      <c r="T20" s="705"/>
      <c r="U20" s="706"/>
      <c r="V20" s="705"/>
      <c r="W20" s="706"/>
      <c r="X20" s="1354"/>
      <c r="Y20" s="3671"/>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1"/>
      <c r="Q22" s="1351"/>
      <c r="R22" s="705"/>
      <c r="S22" s="706"/>
      <c r="T22" s="705"/>
      <c r="U22" s="706"/>
      <c r="V22" s="705"/>
      <c r="W22" s="706"/>
      <c r="X22" s="1354"/>
      <c r="Y22" s="3671"/>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1"/>
      <c r="Q24" s="1351"/>
      <c r="R24" s="705"/>
      <c r="S24" s="706"/>
      <c r="T24" s="705"/>
      <c r="U24" s="706"/>
      <c r="V24" s="705"/>
      <c r="W24" s="706"/>
      <c r="X24" s="1354"/>
      <c r="Y24" s="367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1">
        <f>B25</f>
        <v>111</v>
      </c>
      <c r="R25" s="705" t="s">
        <v>14</v>
      </c>
      <c r="S25" s="706">
        <f>F25</f>
        <v>100</v>
      </c>
      <c r="T25" s="705" t="s">
        <v>14</v>
      </c>
      <c r="U25" s="706">
        <f>H25</f>
        <v>100</v>
      </c>
      <c r="V25" s="705" t="s">
        <v>14</v>
      </c>
      <c r="W25" s="706">
        <f>J25</f>
        <v>100</v>
      </c>
      <c r="X25" s="1354"/>
      <c r="Y25" s="367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1">
        <f t="shared" ref="Q26:Q40" si="11">B26</f>
        <v>111</v>
      </c>
      <c r="R26" s="705" t="s">
        <v>14</v>
      </c>
      <c r="S26" s="706">
        <f>F26</f>
        <v>100</v>
      </c>
      <c r="T26" s="705" t="s">
        <v>14</v>
      </c>
      <c r="U26" s="706">
        <f>H26</f>
        <v>100</v>
      </c>
      <c r="V26" s="705" t="s">
        <v>14</v>
      </c>
      <c r="W26" s="706">
        <f>J26</f>
        <v>100</v>
      </c>
      <c r="X26" s="1354"/>
      <c r="Y26" s="367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2">
        <f t="shared" si="11"/>
        <v>111</v>
      </c>
      <c r="R27" s="701" t="s">
        <v>14</v>
      </c>
      <c r="S27" s="702">
        <f>F27</f>
        <v>100</v>
      </c>
      <c r="T27" s="701" t="s">
        <v>14</v>
      </c>
      <c r="U27" s="702">
        <f>H27</f>
        <v>100</v>
      </c>
      <c r="V27" s="701" t="s">
        <v>14</v>
      </c>
      <c r="W27" s="702">
        <f>J27</f>
        <v>100</v>
      </c>
      <c r="X27" s="703"/>
      <c r="Y27" s="3671"/>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1">
        <f t="shared" si="11"/>
        <v>111</v>
      </c>
      <c r="R28" s="705" t="s">
        <v>14</v>
      </c>
      <c r="S28" s="706">
        <f t="shared" ref="S28:S40" si="12">F28</f>
        <v>100</v>
      </c>
      <c r="T28" s="705" t="s">
        <v>14</v>
      </c>
      <c r="U28" s="706">
        <f t="shared" ref="U28:U40" si="13">H28</f>
        <v>100</v>
      </c>
      <c r="V28" s="705" t="s">
        <v>14</v>
      </c>
      <c r="W28" s="706">
        <f t="shared" ref="W28:W40" si="14">J28</f>
        <v>100</v>
      </c>
      <c r="X28" s="1354"/>
      <c r="Y28" s="3671"/>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8" t="s">
        <v>1696</v>
      </c>
      <c r="Q29" s="1351" t="str">
        <f t="shared" si="11"/>
        <v>建筑类型</v>
      </c>
      <c r="R29" s="705" t="s">
        <v>14</v>
      </c>
      <c r="S29" s="706">
        <f t="shared" si="12"/>
        <v>100</v>
      </c>
      <c r="T29" s="705" t="s">
        <v>14</v>
      </c>
      <c r="U29" s="706">
        <f t="shared" si="13"/>
        <v>100</v>
      </c>
      <c r="V29" s="705" t="s">
        <v>14</v>
      </c>
      <c r="W29" s="706">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1" t="str">
        <f t="shared" si="11"/>
        <v>建筑结构</v>
      </c>
      <c r="R31" s="705" t="s">
        <v>14</v>
      </c>
      <c r="S31" s="706">
        <f t="shared" si="12"/>
        <v>100</v>
      </c>
      <c r="T31" s="705" t="s">
        <v>14</v>
      </c>
      <c r="U31" s="706">
        <f t="shared" si="13"/>
        <v>100</v>
      </c>
      <c r="V31" s="705" t="s">
        <v>14</v>
      </c>
      <c r="W31" s="706">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1" t="str">
        <f t="shared" si="11"/>
        <v>公共部分装修</v>
      </c>
      <c r="R32" s="705" t="s">
        <v>14</v>
      </c>
      <c r="S32" s="706">
        <f t="shared" si="12"/>
        <v>100</v>
      </c>
      <c r="T32" s="705" t="s">
        <v>14</v>
      </c>
      <c r="U32" s="706">
        <f t="shared" si="13"/>
        <v>100</v>
      </c>
      <c r="V32" s="705" t="s">
        <v>14</v>
      </c>
      <c r="W32" s="706">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1" t="str">
        <f t="shared" si="11"/>
        <v>成新度</v>
      </c>
      <c r="R33" s="705" t="s">
        <v>14</v>
      </c>
      <c r="S33" s="706" t="e">
        <f t="shared" si="12"/>
        <v>#N/A</v>
      </c>
      <c r="T33" s="705" t="s">
        <v>14</v>
      </c>
      <c r="U33" s="706" t="e">
        <f t="shared" si="13"/>
        <v>#N/A</v>
      </c>
      <c r="V33" s="705" t="s">
        <v>14</v>
      </c>
      <c r="W33" s="706"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2"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1" t="str">
        <f t="shared" si="11"/>
        <v>市政基础设施</v>
      </c>
      <c r="R35" s="705" t="s">
        <v>14</v>
      </c>
      <c r="S35" s="706">
        <f t="shared" si="12"/>
        <v>100</v>
      </c>
      <c r="T35" s="705" t="s">
        <v>14</v>
      </c>
      <c r="U35" s="706">
        <f t="shared" si="13"/>
        <v>100</v>
      </c>
      <c r="V35" s="705" t="s">
        <v>14</v>
      </c>
      <c r="W35" s="706">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1" t="str">
        <f t="shared" si="11"/>
        <v>内部装修</v>
      </c>
      <c r="R36" s="705" t="s">
        <v>14</v>
      </c>
      <c r="S36" s="706">
        <f t="shared" si="12"/>
        <v>100</v>
      </c>
      <c r="T36" s="705" t="s">
        <v>14</v>
      </c>
      <c r="U36" s="706">
        <f t="shared" si="13"/>
        <v>100</v>
      </c>
      <c r="V36" s="705" t="s">
        <v>14</v>
      </c>
      <c r="W36" s="706">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1" t="str">
        <f t="shared" si="11"/>
        <v>内部装修状况</v>
      </c>
      <c r="R37" s="705" t="s">
        <v>14</v>
      </c>
      <c r="S37" s="706">
        <f t="shared" si="12"/>
        <v>100</v>
      </c>
      <c r="T37" s="705" t="s">
        <v>14</v>
      </c>
      <c r="U37" s="706">
        <f t="shared" si="13"/>
        <v>100</v>
      </c>
      <c r="V37" s="705" t="s">
        <v>14</v>
      </c>
      <c r="W37" s="706">
        <f t="shared" si="14"/>
        <v>100</v>
      </c>
      <c r="X37" s="1354"/>
      <c r="Y37" s="367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1">
        <f t="shared" si="11"/>
        <v>111</v>
      </c>
      <c r="R39" s="705" t="s">
        <v>14</v>
      </c>
      <c r="S39" s="706">
        <f t="shared" si="12"/>
        <v>100</v>
      </c>
      <c r="T39" s="705" t="s">
        <v>14</v>
      </c>
      <c r="U39" s="706">
        <f t="shared" si="13"/>
        <v>100</v>
      </c>
      <c r="V39" s="705" t="s">
        <v>14</v>
      </c>
      <c r="W39" s="706">
        <f t="shared" si="14"/>
        <v>100</v>
      </c>
      <c r="X39" s="1354"/>
      <c r="Y39" s="3675"/>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1">
        <f t="shared" si="11"/>
        <v>111</v>
      </c>
      <c r="R40" s="705" t="s">
        <v>14</v>
      </c>
      <c r="S40" s="706">
        <f t="shared" si="12"/>
        <v>100</v>
      </c>
      <c r="T40" s="705" t="s">
        <v>14</v>
      </c>
      <c r="U40" s="706">
        <f t="shared" si="13"/>
        <v>100</v>
      </c>
      <c r="V40" s="705" t="s">
        <v>14</v>
      </c>
      <c r="W40" s="706">
        <f t="shared" si="14"/>
        <v>100</v>
      </c>
      <c r="X40" s="1354"/>
      <c r="Y40" s="3676"/>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12"/>
      <c r="B44" s="2712"/>
      <c r="C44" s="2712"/>
      <c r="D44" s="2712"/>
      <c r="E44" s="2712"/>
      <c r="F44" s="2712"/>
      <c r="G44" s="2716"/>
      <c r="H44" s="2712"/>
      <c r="I44" s="2712"/>
      <c r="J44" s="2712"/>
      <c r="K44" s="2717"/>
      <c r="L44" s="889"/>
      <c r="M44" s="927"/>
      <c r="N44" s="927"/>
      <c r="O44" s="927"/>
    </row>
    <row r="45" spans="1:29">
      <c r="A45" s="2712"/>
      <c r="B45" s="2712"/>
      <c r="C45" s="2712"/>
      <c r="D45" s="2712"/>
      <c r="E45" s="2712"/>
      <c r="F45" s="2712"/>
      <c r="G45" s="2712"/>
      <c r="H45" s="2712"/>
      <c r="I45" s="2712"/>
      <c r="J45" s="2712"/>
      <c r="K45" s="2717"/>
      <c r="L45" s="889"/>
      <c r="M45" s="927"/>
      <c r="N45" s="927"/>
      <c r="O45" s="927"/>
    </row>
    <row r="46" spans="1:29" ht="13.5" customHeight="1">
      <c r="A46" s="2712"/>
      <c r="B46" s="271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7"/>
      <c r="L46" s="889"/>
      <c r="M46" s="927"/>
      <c r="N46" s="927"/>
      <c r="O46" s="927"/>
    </row>
    <row r="47" spans="1:29" ht="13.5" customHeight="1">
      <c r="A47" s="2712"/>
      <c r="B47" s="271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7"/>
      <c r="L47" s="889"/>
      <c r="M47" s="927"/>
      <c r="N47" s="927"/>
      <c r="O47" s="927"/>
    </row>
    <row r="48" spans="1:29" s="451" customFormat="1" ht="13.5" customHeight="1">
      <c r="A48" s="2715"/>
      <c r="B48" s="271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0"/>
      <c r="L48" s="930"/>
      <c r="M48" s="928"/>
      <c r="N48" s="928"/>
      <c r="O48" s="928"/>
    </row>
    <row r="49" spans="1:17" s="451" customFormat="1">
      <c r="A49" s="2715"/>
      <c r="B49" s="2718"/>
      <c r="C49" s="2719"/>
      <c r="D49" s="2715"/>
      <c r="E49" s="2715"/>
      <c r="F49" s="2715"/>
      <c r="G49" s="2715"/>
      <c r="H49" s="2715"/>
      <c r="I49" s="2715"/>
      <c r="J49" s="2715"/>
      <c r="K49" s="2720"/>
      <c r="L49" s="930"/>
      <c r="M49" s="928"/>
      <c r="N49" s="928"/>
      <c r="O49" s="928"/>
    </row>
    <row r="50" spans="1:17">
      <c r="A50" s="2712"/>
      <c r="B50" s="2718"/>
      <c r="C50" s="2719"/>
      <c r="D50" s="2712"/>
      <c r="E50" s="2712"/>
      <c r="F50" s="2712"/>
      <c r="G50" s="2712"/>
      <c r="H50" s="2712"/>
      <c r="I50" s="2712"/>
      <c r="J50" s="2712"/>
      <c r="K50" s="271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57"/>
      <c r="O54" s="275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20"/>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1"/>
      <c r="M2" s="2722"/>
      <c r="N2" s="2722"/>
      <c r="O2" s="272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1"/>
      <c r="M3" s="2722" t="e">
        <f ca="1">IF(C2="——",IF(B37="元/平方米",ROUND(C39*D3/10000,0),ROUND(F3*C39/10000,0)),IF(B37="元/平方米",ROUND(C39*D3/10000,0),ROUND(F3*C39/10000,0))-D2)</f>
        <v>#DIV/0!</v>
      </c>
      <c r="N3" s="2722"/>
      <c r="O3" s="2722"/>
      <c r="P3" s="1165"/>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02"/>
      <c r="M4" s="2703"/>
      <c r="N4" s="2703"/>
      <c r="O4" s="2703"/>
      <c r="P4" s="3687" t="s">
        <v>1775</v>
      </c>
      <c r="Q4" s="3688"/>
      <c r="R4" s="3693" t="s">
        <v>1771</v>
      </c>
      <c r="S4" s="3694"/>
      <c r="T4" s="3693" t="s">
        <v>1772</v>
      </c>
      <c r="U4" s="3694"/>
      <c r="V4" s="3699" t="s">
        <v>1773</v>
      </c>
      <c r="W4" s="3699"/>
      <c r="X4" s="1354"/>
      <c r="Y4" s="3693" t="s">
        <v>1775</v>
      </c>
      <c r="Z4" s="3694"/>
      <c r="AA4" s="3680" t="s">
        <v>1771</v>
      </c>
      <c r="AB4" s="3681" t="s">
        <v>1772</v>
      </c>
      <c r="AC4" s="3680" t="s">
        <v>1773</v>
      </c>
    </row>
    <row r="5" spans="1:29">
      <c r="A5" s="358"/>
      <c r="B5" s="359"/>
      <c r="C5" s="3702" t="s">
        <v>1673</v>
      </c>
      <c r="D5" s="3703"/>
      <c r="E5" s="3712" t="s">
        <v>1674</v>
      </c>
      <c r="F5" s="3711"/>
      <c r="G5" s="3702" t="s">
        <v>1675</v>
      </c>
      <c r="H5" s="3703"/>
      <c r="I5" s="3702" t="s">
        <v>1676</v>
      </c>
      <c r="J5" s="3703"/>
      <c r="K5" s="559"/>
      <c r="L5" s="2702"/>
      <c r="M5" s="2703"/>
      <c r="N5" s="2703"/>
      <c r="O5" s="2703"/>
      <c r="P5" s="3689"/>
      <c r="Q5" s="3690"/>
      <c r="R5" s="3695"/>
      <c r="S5" s="3696"/>
      <c r="T5" s="3695"/>
      <c r="U5" s="3696"/>
      <c r="V5" s="3699"/>
      <c r="W5" s="3699"/>
      <c r="X5" s="1354"/>
      <c r="Y5" s="3695"/>
      <c r="Z5" s="3696"/>
      <c r="AA5" s="3681"/>
      <c r="AB5" s="3681"/>
      <c r="AC5" s="3681"/>
    </row>
    <row r="6" spans="1:29" ht="15" thickBot="1">
      <c r="A6" s="360"/>
      <c r="B6" s="361"/>
      <c r="C6" s="3700" t="s">
        <v>1677</v>
      </c>
      <c r="D6" s="3701"/>
      <c r="E6" s="3708" t="s">
        <v>1677</v>
      </c>
      <c r="F6" s="3709"/>
      <c r="G6" s="3700" t="s">
        <v>1677</v>
      </c>
      <c r="H6" s="3701"/>
      <c r="I6" s="3700" t="s">
        <v>1677</v>
      </c>
      <c r="J6" s="3701"/>
      <c r="K6" s="559" t="s">
        <v>1678</v>
      </c>
      <c r="L6" s="2702"/>
      <c r="M6" s="2703"/>
      <c r="N6" s="2703"/>
      <c r="O6" s="2703"/>
      <c r="P6" s="3691"/>
      <c r="Q6" s="3692"/>
      <c r="R6" s="3695"/>
      <c r="S6" s="3696"/>
      <c r="T6" s="3697"/>
      <c r="U6" s="3698"/>
      <c r="V6" s="3699"/>
      <c r="W6" s="3699"/>
      <c r="X6" s="1354"/>
      <c r="Y6" s="3697"/>
      <c r="Z6" s="3698"/>
      <c r="AA6" s="3682"/>
      <c r="AB6" s="3682"/>
      <c r="AC6" s="3682"/>
    </row>
    <row r="7" spans="1:29" s="108" customFormat="1" ht="15" thickBot="1">
      <c r="A7" s="362" t="s">
        <v>1679</v>
      </c>
      <c r="B7" s="363"/>
      <c r="C7" s="364">
        <f>'数据-取费表'!B2</f>
        <v>45517</v>
      </c>
      <c r="D7" s="365">
        <v>100</v>
      </c>
      <c r="E7" s="366"/>
      <c r="F7" s="367">
        <f>SUMIF(48:48,YEAR(E7)&amp;"-"&amp;MONTH(E7),49:49)</f>
        <v>0</v>
      </c>
      <c r="G7" s="366"/>
      <c r="H7" s="365">
        <f>SUMIF(48:48,YEAR(G7)&amp;"-"&amp;MONTH(G7),49:49)</f>
        <v>0</v>
      </c>
      <c r="I7" s="366"/>
      <c r="J7" s="365">
        <f>SUMIF(48:48,YEAR(I7)&amp;"-"&amp;MONTH(I7),49:49)</f>
        <v>0</v>
      </c>
      <c r="K7" s="560"/>
      <c r="L7" s="2704"/>
      <c r="M7" s="2705"/>
      <c r="N7" s="2705"/>
      <c r="O7" s="2705"/>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4"/>
      <c r="M8" s="2705"/>
      <c r="N8" s="2705"/>
      <c r="O8" s="2705"/>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4"/>
      <c r="M9" s="2705"/>
      <c r="N9" s="2705"/>
      <c r="O9" s="2705"/>
      <c r="P9" s="3668" t="s">
        <v>1686</v>
      </c>
      <c r="Q9" s="1342"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8.8">
      <c r="A10" s="589"/>
      <c r="B10" s="590" t="s">
        <v>1688</v>
      </c>
      <c r="C10" s="3421"/>
      <c r="D10" s="127">
        <v>100</v>
      </c>
      <c r="E10" s="3421"/>
      <c r="F10" s="127">
        <f>SUMIF(55:55,E10,56:56)-SUMIF(55:55,C10,56:56)+100</f>
        <v>100</v>
      </c>
      <c r="G10" s="3422"/>
      <c r="H10" s="127">
        <f>SUMIF(55:55,G10,56:56)-SUMIF(55:55,C10,56:56)+100</f>
        <v>100</v>
      </c>
      <c r="I10" s="3421"/>
      <c r="J10" s="127">
        <f>SUMIF(55:55,I10,56:56)-SUMIF(55:55,C10,56:56)+100</f>
        <v>100</v>
      </c>
      <c r="K10" s="560"/>
      <c r="L10" s="2706"/>
      <c r="M10" s="2707"/>
      <c r="N10" s="2707"/>
      <c r="O10" s="2707"/>
      <c r="P10" s="3668"/>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8"/>
      <c r="M11" s="2703"/>
      <c r="N11" s="2703"/>
      <c r="O11" s="2703"/>
      <c r="P11" s="3668"/>
      <c r="Q11" s="1342">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4"/>
      <c r="M12" s="2705"/>
      <c r="N12" s="2705"/>
      <c r="O12" s="2705"/>
      <c r="P12" s="3668"/>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9"/>
      <c r="M13" s="2703"/>
      <c r="N13" s="2703"/>
      <c r="O13" s="2703"/>
      <c r="P13" s="3668"/>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38">
      <c r="A14" s="355" t="s">
        <v>1690</v>
      </c>
      <c r="B14" s="577" t="s">
        <v>1833</v>
      </c>
      <c r="C14" s="1970" t="str">
        <f>IF(B1="工业",估价对象房地状况!G4,估价对象房地状况!C6)</f>
        <v>估价对象周边有392路、466路、577路、专12路等多条公交线路，距地铁15号线（清华东路西口站）约700米，综合评价交通便捷度较好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9"/>
      <c r="M14" s="2703"/>
      <c r="N14" s="2703"/>
      <c r="O14" s="2703"/>
      <c r="P14" s="3670" t="s">
        <v>1691</v>
      </c>
      <c r="Q14" s="1351" t="str">
        <f t="shared" si="6"/>
        <v>交通便捷度</v>
      </c>
      <c r="R14" s="705" t="s">
        <v>14</v>
      </c>
      <c r="S14" s="706">
        <f t="shared" si="0"/>
        <v>100</v>
      </c>
      <c r="T14" s="705" t="s">
        <v>14</v>
      </c>
      <c r="U14" s="706">
        <f t="shared" si="1"/>
        <v>100</v>
      </c>
      <c r="V14" s="705" t="s">
        <v>14</v>
      </c>
      <c r="W14" s="706">
        <f t="shared" si="2"/>
        <v>100</v>
      </c>
      <c r="X14" s="1354"/>
      <c r="Y14" s="367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9"/>
      <c r="M15" s="2703"/>
      <c r="N15" s="2703"/>
      <c r="O15" s="2703"/>
      <c r="P15" s="3671"/>
      <c r="Q15" s="1351"/>
      <c r="R15" s="705"/>
      <c r="S15" s="706"/>
      <c r="T15" s="705"/>
      <c r="U15" s="706"/>
      <c r="V15" s="705"/>
      <c r="W15" s="706"/>
      <c r="X15" s="1354"/>
      <c r="Y15" s="3671"/>
      <c r="Z15" s="1355"/>
      <c r="AA15" s="1352">
        <v>1</v>
      </c>
      <c r="AB15" s="1352">
        <v>1</v>
      </c>
      <c r="AC15" s="1352">
        <v>1</v>
      </c>
    </row>
    <row r="16" spans="1:29" ht="55.2">
      <c r="A16" s="358"/>
      <c r="B16" s="579" t="s">
        <v>1812</v>
      </c>
      <c r="C16" s="1899"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09"/>
      <c r="M16" s="2703"/>
      <c r="N16" s="2703"/>
      <c r="O16" s="2703"/>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9"/>
      <c r="M17" s="2703"/>
      <c r="N17" s="2703"/>
      <c r="O17" s="2703"/>
      <c r="P17" s="3671"/>
      <c r="Q17" s="1351"/>
      <c r="R17" s="705"/>
      <c r="S17" s="706"/>
      <c r="T17" s="705"/>
      <c r="U17" s="706"/>
      <c r="V17" s="705"/>
      <c r="W17" s="706"/>
      <c r="X17" s="1354"/>
      <c r="Y17" s="3671"/>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9"/>
      <c r="M18" s="2703"/>
      <c r="N18" s="2703"/>
      <c r="O18" s="2703"/>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09"/>
      <c r="M19" s="2703"/>
      <c r="N19" s="2703"/>
      <c r="O19" s="2703"/>
      <c r="P19" s="3671"/>
      <c r="Q19" s="1351"/>
      <c r="R19" s="705"/>
      <c r="S19" s="706"/>
      <c r="T19" s="705"/>
      <c r="U19" s="706"/>
      <c r="V19" s="705"/>
      <c r="W19" s="706"/>
      <c r="X19" s="1354"/>
      <c r="Y19" s="3671"/>
      <c r="Z19" s="1355"/>
      <c r="AA19" s="1352">
        <v>1</v>
      </c>
      <c r="AB19" s="1352">
        <v>1</v>
      </c>
      <c r="AC19" s="1352">
        <v>1</v>
      </c>
    </row>
    <row r="20" spans="1:29" ht="151.80000000000001">
      <c r="A20" s="358"/>
      <c r="B20" s="579" t="s">
        <v>1834</v>
      </c>
      <c r="C20" s="1899" t="str">
        <f>IF(B1="工业",估价对象房地状况!G7,估价对象房地状况!C9)</f>
        <v>区域自然环境：北京东升花园中心、东升八家郊野公园；人文环境：北京林业大学、北京农业大学、清华大学；综合评价环境状况较好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09"/>
      <c r="M20" s="2703"/>
      <c r="N20" s="2703"/>
      <c r="O20" s="2703"/>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9"/>
      <c r="M21" s="2703"/>
      <c r="N21" s="2703"/>
      <c r="O21" s="2703"/>
      <c r="P21" s="3671"/>
      <c r="Q21" s="1351"/>
      <c r="R21" s="705"/>
      <c r="S21" s="706"/>
      <c r="T21" s="705"/>
      <c r="U21" s="706"/>
      <c r="V21" s="705"/>
      <c r="W21" s="706"/>
      <c r="X21" s="1354"/>
      <c r="Y21" s="367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9"/>
      <c r="M22" s="2703"/>
      <c r="N22" s="2703"/>
      <c r="O22" s="2703"/>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9"/>
      <c r="M23" s="2703"/>
      <c r="N23" s="2703"/>
      <c r="O23" s="2703"/>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9"/>
      <c r="M24" s="2703"/>
      <c r="N24" s="2703"/>
      <c r="O24" s="2703"/>
      <c r="P24" s="3671"/>
      <c r="Q24" s="1351">
        <f t="shared" ref="Q24:Q36"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4"/>
      <c r="M25" s="2705"/>
      <c r="N25" s="2705"/>
      <c r="O25" s="2705"/>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9"/>
      <c r="M26" s="2703"/>
      <c r="N26" s="2703"/>
      <c r="O26" s="2703"/>
      <c r="P26" s="372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8"/>
      <c r="M27" s="2710"/>
      <c r="N27" s="2710"/>
      <c r="O27" s="2710"/>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9"/>
      <c r="M28" s="2703"/>
      <c r="N28" s="2703"/>
      <c r="O28" s="2703"/>
      <c r="P28" s="3675"/>
      <c r="Q28" s="1351" t="str">
        <f t="shared" si="11"/>
        <v>公共部分装修</v>
      </c>
      <c r="R28" s="705" t="s">
        <v>14</v>
      </c>
      <c r="S28" s="706">
        <f t="shared" si="12"/>
        <v>100</v>
      </c>
      <c r="T28" s="705" t="s">
        <v>14</v>
      </c>
      <c r="U28" s="706">
        <f t="shared" si="13"/>
        <v>100</v>
      </c>
      <c r="V28" s="705" t="s">
        <v>14</v>
      </c>
      <c r="W28" s="706">
        <f t="shared" si="14"/>
        <v>100</v>
      </c>
      <c r="X28" s="1354"/>
      <c r="Y28" s="367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9"/>
      <c r="M29" s="2703"/>
      <c r="N29" s="2703"/>
      <c r="O29" s="2703"/>
      <c r="P29" s="3675"/>
      <c r="Q29" s="1351" t="str">
        <f t="shared" si="11"/>
        <v>成新率</v>
      </c>
      <c r="R29" s="705" t="s">
        <v>14</v>
      </c>
      <c r="S29" s="706" t="e">
        <f t="shared" si="12"/>
        <v>#N/A</v>
      </c>
      <c r="T29" s="705" t="s">
        <v>14</v>
      </c>
      <c r="U29" s="706" t="e">
        <f t="shared" si="13"/>
        <v>#N/A</v>
      </c>
      <c r="V29" s="705" t="s">
        <v>14</v>
      </c>
      <c r="W29" s="706" t="e">
        <f t="shared" si="14"/>
        <v>#N/A</v>
      </c>
      <c r="X29" s="1354"/>
      <c r="Y29" s="367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9"/>
      <c r="M30" s="2703"/>
      <c r="N30" s="2703"/>
      <c r="O30" s="2703"/>
      <c r="P30" s="3675"/>
      <c r="Q30" s="1351" t="str">
        <f t="shared" si="11"/>
        <v>物业等级</v>
      </c>
      <c r="R30" s="705" t="s">
        <v>14</v>
      </c>
      <c r="S30" s="706">
        <f t="shared" si="12"/>
        <v>100</v>
      </c>
      <c r="T30" s="705" t="s">
        <v>14</v>
      </c>
      <c r="U30" s="706">
        <f t="shared" si="13"/>
        <v>100</v>
      </c>
      <c r="V30" s="705" t="s">
        <v>14</v>
      </c>
      <c r="W30" s="706">
        <f t="shared" si="14"/>
        <v>100</v>
      </c>
      <c r="X30" s="1354"/>
      <c r="Y30" s="367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4"/>
      <c r="M31" s="2705"/>
      <c r="N31" s="2705"/>
      <c r="O31" s="2705"/>
      <c r="P31" s="3675"/>
      <c r="Q31" s="1342"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9"/>
      <c r="M32" s="2703"/>
      <c r="N32" s="2703"/>
      <c r="O32" s="2703"/>
      <c r="P32" s="3675" t="s">
        <v>1696</v>
      </c>
      <c r="Q32" s="1351" t="str">
        <f t="shared" si="11"/>
        <v>车位类型</v>
      </c>
      <c r="R32" s="705" t="s">
        <v>14</v>
      </c>
      <c r="S32" s="706">
        <f t="shared" si="12"/>
        <v>100</v>
      </c>
      <c r="T32" s="705" t="s">
        <v>14</v>
      </c>
      <c r="U32" s="706">
        <f t="shared" si="13"/>
        <v>100</v>
      </c>
      <c r="V32" s="705" t="s">
        <v>14</v>
      </c>
      <c r="W32" s="706">
        <f t="shared" si="14"/>
        <v>100</v>
      </c>
      <c r="X32" s="1354"/>
      <c r="Y32" s="367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9"/>
      <c r="M33" s="2703"/>
      <c r="N33" s="2703"/>
      <c r="O33" s="2703"/>
      <c r="P33" s="3675"/>
      <c r="Q33" s="1351" t="str">
        <f t="shared" si="11"/>
        <v>是否直接入户</v>
      </c>
      <c r="R33" s="705" t="s">
        <v>14</v>
      </c>
      <c r="S33" s="706">
        <f t="shared" si="12"/>
        <v>100</v>
      </c>
      <c r="T33" s="705" t="s">
        <v>14</v>
      </c>
      <c r="U33" s="706">
        <f t="shared" si="13"/>
        <v>100</v>
      </c>
      <c r="V33" s="705" t="s">
        <v>14</v>
      </c>
      <c r="W33" s="706">
        <f t="shared" si="14"/>
        <v>100</v>
      </c>
      <c r="X33" s="1354"/>
      <c r="Y33" s="367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9"/>
      <c r="M34" s="2703"/>
      <c r="N34" s="2703"/>
      <c r="O34" s="2703"/>
      <c r="P34" s="3675"/>
      <c r="Q34" s="1351">
        <f t="shared" si="11"/>
        <v>111</v>
      </c>
      <c r="R34" s="705" t="s">
        <v>14</v>
      </c>
      <c r="S34" s="706">
        <f t="shared" si="12"/>
        <v>100</v>
      </c>
      <c r="T34" s="705" t="s">
        <v>14</v>
      </c>
      <c r="U34" s="706">
        <f t="shared" si="13"/>
        <v>100</v>
      </c>
      <c r="V34" s="705" t="s">
        <v>14</v>
      </c>
      <c r="W34" s="706">
        <f t="shared" si="14"/>
        <v>100</v>
      </c>
      <c r="X34" s="1354"/>
      <c r="Y34" s="367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8"/>
      <c r="M35" s="2710"/>
      <c r="N35" s="2710"/>
      <c r="O35" s="2710"/>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9"/>
      <c r="M36" s="2703"/>
      <c r="N36" s="2703"/>
      <c r="O36" s="2703"/>
      <c r="P36" s="3675"/>
      <c r="Q36" s="1351">
        <f t="shared" si="11"/>
        <v>111</v>
      </c>
      <c r="R36" s="705" t="s">
        <v>14</v>
      </c>
      <c r="S36" s="706">
        <f t="shared" si="12"/>
        <v>100</v>
      </c>
      <c r="T36" s="705" t="s">
        <v>14</v>
      </c>
      <c r="U36" s="706">
        <f t="shared" si="13"/>
        <v>100</v>
      </c>
      <c r="V36" s="705" t="s">
        <v>14</v>
      </c>
      <c r="W36" s="706">
        <f t="shared" si="14"/>
        <v>100</v>
      </c>
      <c r="X36" s="1354"/>
      <c r="Y36" s="3675"/>
      <c r="Z36" s="1355">
        <f t="shared" si="15"/>
        <v>111</v>
      </c>
      <c r="AA36" s="1352">
        <f t="shared" si="3"/>
        <v>1</v>
      </c>
      <c r="AB36" s="1352">
        <f t="shared" si="4"/>
        <v>1</v>
      </c>
      <c r="AC36" s="1352">
        <f t="shared" si="5"/>
        <v>1</v>
      </c>
    </row>
    <row r="37" spans="1:29" ht="14.4">
      <c r="A37" s="430" t="s">
        <v>1844</v>
      </c>
      <c r="B37" s="1972" t="s">
        <v>3353</v>
      </c>
      <c r="C37" s="1154" t="s">
        <v>0</v>
      </c>
      <c r="D37" s="1155"/>
      <c r="E37" s="1156"/>
      <c r="F37" s="1157"/>
      <c r="G37" s="1158"/>
      <c r="H37" s="1159"/>
      <c r="I37" s="1156"/>
      <c r="J37" s="1159"/>
      <c r="K37" s="568"/>
      <c r="L37" s="2711"/>
      <c r="M37" s="2712"/>
      <c r="N37" s="2703"/>
      <c r="O37" s="2712"/>
      <c r="P37" s="3668" t="str">
        <f>A37</f>
        <v>成交单价</v>
      </c>
      <c r="Q37" s="3668"/>
      <c r="R37" s="3669">
        <f>E37</f>
        <v>0</v>
      </c>
      <c r="S37" s="3669"/>
      <c r="T37" s="3669">
        <f>G37</f>
        <v>0</v>
      </c>
      <c r="U37" s="3669"/>
      <c r="V37" s="3669">
        <f>I37</f>
        <v>0</v>
      </c>
      <c r="W37" s="3669"/>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11"/>
      <c r="M38" s="2712"/>
      <c r="N38" s="2712"/>
      <c r="O38" s="2712"/>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11"/>
      <c r="M39" s="2712"/>
      <c r="N39" s="2712"/>
      <c r="O39" s="2712"/>
      <c r="P39" s="3665" t="str">
        <f>A39</f>
        <v>估价对象XX用房的比较价值（楼面单价，元/平方米）</v>
      </c>
      <c r="Q39" s="3666"/>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51" customFormat="1" ht="13.5" customHeight="1">
      <c r="A44" s="2715"/>
      <c r="B44" s="271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51"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2.2" thickBot="1">
      <c r="A47" s="1166" t="s">
        <v>1850</v>
      </c>
      <c r="B47" s="927"/>
      <c r="C47" s="940"/>
      <c r="D47" s="940"/>
      <c r="E47" s="940"/>
      <c r="F47" s="1167"/>
      <c r="G47" s="1167"/>
      <c r="H47" s="940"/>
      <c r="I47" s="940"/>
      <c r="J47" s="940"/>
      <c r="K47" s="941"/>
      <c r="L47" s="942"/>
      <c r="M47" s="940"/>
      <c r="N47" s="2756"/>
      <c r="O47" s="2756"/>
      <c r="P47" s="2745"/>
      <c r="Q47" s="2726"/>
      <c r="R47" s="2712"/>
      <c r="S47" s="2712"/>
      <c r="T47" s="2712"/>
      <c r="U47" s="2712"/>
      <c r="V47" s="2712"/>
      <c r="W47" s="2712"/>
      <c r="X47" s="2712"/>
      <c r="Y47" s="2712"/>
      <c r="Z47" s="2712"/>
      <c r="AA47" s="2712"/>
      <c r="AB47" s="2712"/>
      <c r="AC47" s="2712"/>
    </row>
    <row r="48" spans="1:29" s="457" customFormat="1" ht="14.4">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46"/>
      <c r="Q48" s="2728"/>
      <c r="R48" s="2728"/>
      <c r="S48" s="2728"/>
      <c r="T48" s="2728"/>
      <c r="U48" s="2728"/>
      <c r="V48" s="2728"/>
      <c r="W48" s="2728"/>
      <c r="X48" s="2728"/>
      <c r="Y48" s="2728"/>
      <c r="Z48" s="2728"/>
      <c r="AA48" s="2728"/>
      <c r="AB48" s="2728"/>
      <c r="AC48" s="2728"/>
    </row>
    <row r="49" spans="1:29" s="108" customFormat="1">
      <c r="A49" s="458"/>
      <c r="B49" s="459"/>
      <c r="C49" s="1177">
        <v>100</v>
      </c>
      <c r="D49" s="461"/>
      <c r="E49" s="461"/>
      <c r="F49" s="461"/>
      <c r="G49" s="461"/>
      <c r="H49" s="461"/>
      <c r="I49" s="461"/>
      <c r="J49" s="461"/>
      <c r="K49" s="461"/>
      <c r="L49" s="461"/>
      <c r="M49" s="462"/>
      <c r="N49" s="461"/>
      <c r="O49" s="462"/>
      <c r="P49" s="2747"/>
      <c r="Q49" s="2650"/>
      <c r="R49" s="2650"/>
      <c r="S49" s="2650"/>
      <c r="T49" s="2650"/>
      <c r="U49" s="2650"/>
      <c r="V49" s="2650"/>
      <c r="W49" s="2650"/>
      <c r="X49" s="2650"/>
      <c r="Y49" s="2650"/>
      <c r="Z49" s="2650"/>
      <c r="AA49" s="2650"/>
      <c r="AB49" s="2650"/>
      <c r="AC49" s="2650"/>
    </row>
    <row r="50" spans="1:29" s="108" customFormat="1" ht="15" thickBot="1">
      <c r="A50" s="464" t="s">
        <v>1716</v>
      </c>
      <c r="B50" s="465"/>
      <c r="C50" s="466"/>
      <c r="D50" s="467"/>
      <c r="E50" s="467"/>
      <c r="F50" s="467"/>
      <c r="G50" s="467"/>
      <c r="H50" s="467"/>
      <c r="I50" s="467"/>
      <c r="J50" s="467"/>
      <c r="K50" s="467"/>
      <c r="L50" s="467"/>
      <c r="M50" s="468"/>
      <c r="N50" s="467"/>
      <c r="O50" s="468"/>
      <c r="P50" s="2747"/>
      <c r="Q50" s="2726"/>
      <c r="R50" s="2650"/>
      <c r="S50" s="2650"/>
      <c r="T50" s="2650"/>
      <c r="U50" s="2650"/>
      <c r="V50" s="2650"/>
      <c r="W50" s="2650"/>
      <c r="X50" s="2650"/>
      <c r="Y50" s="2650"/>
      <c r="Z50" s="2650"/>
      <c r="AA50" s="2650"/>
      <c r="AB50" s="2650"/>
      <c r="AC50" s="2650"/>
    </row>
    <row r="51" spans="1:29" s="108" customFormat="1" ht="14.4">
      <c r="A51" s="470" t="s">
        <v>1681</v>
      </c>
      <c r="B51" s="459"/>
      <c r="C51" s="471" t="s">
        <v>1776</v>
      </c>
      <c r="D51" s="472"/>
      <c r="E51" s="472"/>
      <c r="F51" s="472"/>
      <c r="G51" s="472"/>
      <c r="H51" s="472"/>
      <c r="I51" s="472"/>
      <c r="J51" s="472"/>
      <c r="K51" s="472"/>
      <c r="L51" s="473"/>
      <c r="M51" s="474"/>
      <c r="N51" s="2739"/>
      <c r="O51" s="2739"/>
      <c r="P51" s="2748"/>
      <c r="Q51" s="2726"/>
      <c r="R51" s="2650"/>
      <c r="S51" s="2650"/>
      <c r="T51" s="2650"/>
      <c r="U51" s="2650"/>
      <c r="V51" s="2650"/>
      <c r="W51" s="2650"/>
      <c r="X51" s="2650"/>
      <c r="Y51" s="2650"/>
      <c r="Z51" s="2650"/>
      <c r="AA51" s="2650"/>
      <c r="AB51" s="2650"/>
      <c r="AC51" s="2650"/>
    </row>
    <row r="52" spans="1:29" s="108" customFormat="1" ht="14.4" thickBot="1">
      <c r="A52" s="470"/>
      <c r="B52" s="459"/>
      <c r="C52" s="587">
        <v>100</v>
      </c>
      <c r="D52" s="461"/>
      <c r="E52" s="461"/>
      <c r="F52" s="461"/>
      <c r="G52" s="461"/>
      <c r="H52" s="461"/>
      <c r="I52" s="461"/>
      <c r="J52" s="461"/>
      <c r="K52" s="461"/>
      <c r="L52" s="461"/>
      <c r="M52" s="463"/>
      <c r="N52" s="2739"/>
      <c r="O52" s="2739"/>
      <c r="P52" s="2747"/>
      <c r="Q52" s="2726"/>
      <c r="R52" s="2650"/>
      <c r="S52" s="2650"/>
      <c r="T52" s="2650"/>
      <c r="U52" s="2650"/>
      <c r="V52" s="2650"/>
      <c r="W52" s="2650"/>
      <c r="X52" s="2650"/>
      <c r="Y52" s="2650"/>
      <c r="Z52" s="2650"/>
      <c r="AA52" s="2650"/>
      <c r="AB52" s="2650"/>
      <c r="AC52" s="2650"/>
    </row>
    <row r="53" spans="1:29" ht="14.4">
      <c r="A53" s="476" t="s">
        <v>1719</v>
      </c>
      <c r="B53" s="477" t="s">
        <v>1685</v>
      </c>
      <c r="C53" s="478">
        <f>C9</f>
        <v>0</v>
      </c>
      <c r="D53" s="479"/>
      <c r="E53" s="479"/>
      <c r="F53" s="479"/>
      <c r="G53" s="479"/>
      <c r="H53" s="479"/>
      <c r="I53" s="479"/>
      <c r="J53" s="479"/>
      <c r="K53" s="480"/>
      <c r="L53" s="481"/>
      <c r="M53" s="482"/>
      <c r="N53" s="2740"/>
      <c r="O53" s="2740"/>
      <c r="P53" s="2749"/>
      <c r="Q53" s="2726"/>
      <c r="R53" s="2712"/>
      <c r="S53" s="2712"/>
      <c r="T53" s="2712"/>
      <c r="U53" s="2712"/>
      <c r="V53" s="2712"/>
      <c r="W53" s="2712"/>
      <c r="X53" s="2712"/>
      <c r="Y53" s="2712"/>
      <c r="Z53" s="2712"/>
      <c r="AA53" s="2712"/>
      <c r="AB53" s="2712"/>
      <c r="AC53" s="2712"/>
    </row>
    <row r="54" spans="1:29" ht="14.4" thickBot="1">
      <c r="A54" s="483"/>
      <c r="B54" s="484"/>
      <c r="C54" s="485">
        <v>100</v>
      </c>
      <c r="D54" s="485"/>
      <c r="E54" s="485"/>
      <c r="F54" s="485"/>
      <c r="G54" s="485"/>
      <c r="H54" s="485"/>
      <c r="I54" s="485"/>
      <c r="J54" s="485"/>
      <c r="K54" s="485"/>
      <c r="L54" s="485"/>
      <c r="M54" s="486"/>
      <c r="N54" s="2741"/>
      <c r="O54" s="2741"/>
      <c r="P54" s="2749"/>
      <c r="Q54" s="2726"/>
      <c r="R54" s="2712"/>
      <c r="S54" s="2712"/>
      <c r="T54" s="2712"/>
      <c r="U54" s="2712"/>
      <c r="V54" s="2712"/>
      <c r="W54" s="2712"/>
      <c r="X54" s="2712"/>
      <c r="Y54" s="2712"/>
      <c r="Z54" s="2712"/>
      <c r="AA54" s="2712"/>
      <c r="AB54" s="2712"/>
      <c r="AC54" s="2712"/>
    </row>
    <row r="55" spans="1:29" ht="29.4" thickTop="1">
      <c r="A55" s="483"/>
      <c r="B55" s="487" t="s">
        <v>1688</v>
      </c>
      <c r="C55" s="532"/>
      <c r="D55" s="532"/>
      <c r="E55" s="532"/>
      <c r="F55" s="532"/>
      <c r="G55" s="532"/>
      <c r="H55" s="532"/>
      <c r="I55" s="532"/>
      <c r="J55" s="532"/>
      <c r="K55" s="533"/>
      <c r="L55" s="534"/>
      <c r="M55" s="535"/>
      <c r="N55" s="2740"/>
      <c r="O55" s="2740"/>
      <c r="P55" s="2749"/>
      <c r="Q55" s="2726"/>
      <c r="R55" s="2712"/>
      <c r="S55" s="2712"/>
      <c r="T55" s="2712"/>
      <c r="U55" s="2712"/>
      <c r="V55" s="2712"/>
      <c r="W55" s="2712"/>
      <c r="X55" s="2712"/>
      <c r="Y55" s="2712"/>
      <c r="Z55" s="2712"/>
      <c r="AA55" s="2712"/>
      <c r="AB55" s="2712"/>
      <c r="AC55" s="2712"/>
    </row>
    <row r="56" spans="1:29" ht="14.4" thickBot="1">
      <c r="A56" s="483"/>
      <c r="B56" s="492"/>
      <c r="C56" s="485"/>
      <c r="D56" s="485"/>
      <c r="E56" s="485"/>
      <c r="F56" s="485"/>
      <c r="G56" s="485"/>
      <c r="H56" s="485"/>
      <c r="I56" s="485"/>
      <c r="J56" s="485"/>
      <c r="K56" s="485"/>
      <c r="L56" s="485"/>
      <c r="M56" s="486"/>
      <c r="N56" s="2741"/>
      <c r="O56" s="2741"/>
      <c r="P56" s="2749"/>
      <c r="Q56" s="2726"/>
      <c r="R56" s="2712"/>
      <c r="S56" s="2712"/>
      <c r="T56" s="2712"/>
      <c r="U56" s="2712"/>
      <c r="V56" s="2712"/>
      <c r="W56" s="2712"/>
      <c r="X56" s="2712"/>
      <c r="Y56" s="2712"/>
      <c r="Z56" s="2712"/>
      <c r="AA56" s="2712"/>
      <c r="AB56" s="2712"/>
      <c r="AC56" s="2712"/>
    </row>
    <row r="57" spans="1:29" ht="14.4" thickTop="1">
      <c r="A57" s="483"/>
      <c r="B57" s="608">
        <f>B11</f>
        <v>111</v>
      </c>
      <c r="C57" s="498"/>
      <c r="D57" s="498"/>
      <c r="E57" s="498"/>
      <c r="F57" s="498"/>
      <c r="G57" s="498"/>
      <c r="H57" s="498"/>
      <c r="I57" s="498"/>
      <c r="J57" s="498"/>
      <c r="K57" s="499"/>
      <c r="L57" s="500"/>
      <c r="M57" s="501"/>
      <c r="N57" s="2740"/>
      <c r="O57" s="2740"/>
      <c r="P57" s="2749"/>
      <c r="Q57" s="2726"/>
      <c r="R57" s="2712"/>
      <c r="S57" s="2712"/>
      <c r="T57" s="2712"/>
      <c r="U57" s="2712"/>
      <c r="V57" s="2712"/>
      <c r="W57" s="2712"/>
      <c r="X57" s="2712"/>
      <c r="Y57" s="2712"/>
      <c r="Z57" s="2712"/>
      <c r="AA57" s="2712"/>
      <c r="AB57" s="2712"/>
      <c r="AC57" s="2712"/>
    </row>
    <row r="58" spans="1:29" ht="14.4" thickBot="1">
      <c r="A58" s="483"/>
      <c r="B58" s="484"/>
      <c r="C58" s="509"/>
      <c r="D58" s="485"/>
      <c r="E58" s="485"/>
      <c r="F58" s="485"/>
      <c r="G58" s="485"/>
      <c r="H58" s="485"/>
      <c r="I58" s="485"/>
      <c r="J58" s="485"/>
      <c r="K58" s="485"/>
      <c r="L58" s="485"/>
      <c r="M58" s="486"/>
      <c r="N58" s="2741"/>
      <c r="O58" s="2741"/>
      <c r="P58" s="2749"/>
      <c r="Q58" s="2726"/>
      <c r="R58" s="2712"/>
      <c r="S58" s="2712"/>
      <c r="T58" s="2712"/>
      <c r="U58" s="2712"/>
      <c r="V58" s="2712"/>
      <c r="W58" s="2712"/>
      <c r="X58" s="2712"/>
      <c r="Y58" s="2712"/>
      <c r="Z58" s="2712"/>
      <c r="AA58" s="2712"/>
      <c r="AB58" s="2712"/>
      <c r="AC58" s="2712"/>
    </row>
    <row r="59" spans="1:29" s="422" customFormat="1" ht="14.4" thickTop="1">
      <c r="A59" s="502"/>
      <c r="B59" s="487">
        <f>B12</f>
        <v>111</v>
      </c>
      <c r="C59" s="498"/>
      <c r="D59" s="498"/>
      <c r="E59" s="498"/>
      <c r="F59" s="498"/>
      <c r="G59" s="503"/>
      <c r="H59" s="504"/>
      <c r="I59" s="504"/>
      <c r="J59" s="504"/>
      <c r="K59" s="504"/>
      <c r="L59" s="505"/>
      <c r="M59" s="506"/>
      <c r="N59" s="2742"/>
      <c r="O59" s="2742"/>
      <c r="P59" s="2750"/>
      <c r="Q59" s="2733"/>
      <c r="R59" s="2734"/>
      <c r="S59" s="2734"/>
      <c r="T59" s="2734"/>
      <c r="U59" s="2734"/>
      <c r="V59" s="2734"/>
      <c r="W59" s="2734"/>
      <c r="X59" s="2734"/>
      <c r="Y59" s="2734"/>
      <c r="Z59" s="2734"/>
      <c r="AA59" s="2734"/>
      <c r="AB59" s="2734"/>
      <c r="AC59" s="2734"/>
    </row>
    <row r="60" spans="1:29" s="422" customFormat="1" ht="14.4" thickBot="1">
      <c r="A60" s="502"/>
      <c r="B60" s="492"/>
      <c r="C60" s="509"/>
      <c r="D60" s="485"/>
      <c r="E60" s="485"/>
      <c r="F60" s="485"/>
      <c r="G60" s="485"/>
      <c r="H60" s="485"/>
      <c r="I60" s="485"/>
      <c r="J60" s="485"/>
      <c r="K60" s="485"/>
      <c r="L60" s="485"/>
      <c r="M60" s="486"/>
      <c r="N60" s="2741"/>
      <c r="O60" s="2741"/>
      <c r="P60" s="2750"/>
      <c r="Q60" s="2733"/>
      <c r="R60" s="2734"/>
      <c r="S60" s="2734"/>
      <c r="T60" s="2734"/>
      <c r="U60" s="2734"/>
      <c r="V60" s="2734"/>
      <c r="W60" s="2734"/>
      <c r="X60" s="2734"/>
      <c r="Y60" s="2734"/>
      <c r="Z60" s="2734"/>
      <c r="AA60" s="2734"/>
      <c r="AB60" s="2734"/>
      <c r="AC60" s="2734"/>
    </row>
    <row r="61" spans="1:29" s="422" customFormat="1" ht="14.4" thickTop="1">
      <c r="A61" s="502"/>
      <c r="B61" s="487">
        <f>B13</f>
        <v>111</v>
      </c>
      <c r="C61" s="503"/>
      <c r="D61" s="503"/>
      <c r="E61" s="503"/>
      <c r="F61" s="503"/>
      <c r="G61" s="503"/>
      <c r="H61" s="504"/>
      <c r="I61" s="504"/>
      <c r="J61" s="504"/>
      <c r="K61" s="504"/>
      <c r="L61" s="505"/>
      <c r="M61" s="506"/>
      <c r="N61" s="2742"/>
      <c r="O61" s="2742"/>
      <c r="P61" s="2751"/>
      <c r="Q61" s="2736"/>
      <c r="R61" s="2734"/>
      <c r="S61" s="2734"/>
      <c r="T61" s="2734"/>
      <c r="U61" s="2734"/>
      <c r="V61" s="2734"/>
      <c r="W61" s="2734"/>
      <c r="X61" s="2734"/>
      <c r="Y61" s="2734"/>
      <c r="Z61" s="2734"/>
      <c r="AA61" s="2734"/>
      <c r="AB61" s="2734"/>
      <c r="AC61" s="2734"/>
    </row>
    <row r="62" spans="1:29" s="422" customFormat="1" ht="14.4" thickBot="1">
      <c r="A62" s="502"/>
      <c r="B62" s="492"/>
      <c r="C62" s="509"/>
      <c r="D62" s="509"/>
      <c r="E62" s="509"/>
      <c r="F62" s="509"/>
      <c r="G62" s="509"/>
      <c r="H62" s="511"/>
      <c r="I62" s="511"/>
      <c r="J62" s="511"/>
      <c r="K62" s="511"/>
      <c r="L62" s="511"/>
      <c r="M62" s="512"/>
      <c r="N62" s="2742"/>
      <c r="O62" s="2742"/>
      <c r="P62" s="2750"/>
      <c r="Q62" s="2733"/>
      <c r="R62" s="2734"/>
      <c r="S62" s="2734"/>
      <c r="T62" s="2734"/>
      <c r="U62" s="2734"/>
      <c r="V62" s="2734"/>
      <c r="W62" s="2734"/>
      <c r="X62" s="2734"/>
      <c r="Y62" s="2734"/>
      <c r="Z62" s="2734"/>
      <c r="AA62" s="2734"/>
      <c r="AB62" s="2734"/>
      <c r="AC62" s="273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0"/>
      <c r="O63" s="2740"/>
      <c r="P63" s="2753"/>
      <c r="Q63" s="2726"/>
      <c r="R63" s="2712"/>
      <c r="S63" s="2712"/>
      <c r="T63" s="2712"/>
      <c r="U63" s="2712"/>
      <c r="V63" s="2712"/>
      <c r="W63" s="2712"/>
      <c r="X63" s="2712"/>
      <c r="Y63" s="2712"/>
      <c r="Z63" s="2712"/>
      <c r="AA63" s="2712"/>
      <c r="AB63" s="2712"/>
      <c r="AC63" s="271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1"/>
      <c r="O64" s="2741"/>
      <c r="P64" s="2749"/>
      <c r="Q64" s="2726"/>
      <c r="R64" s="2712"/>
      <c r="S64" s="2712"/>
      <c r="T64" s="2712"/>
      <c r="U64" s="2712"/>
      <c r="V64" s="2712"/>
      <c r="W64" s="2712"/>
      <c r="X64" s="2712"/>
      <c r="Y64" s="2712"/>
      <c r="Z64" s="2712"/>
      <c r="AA64" s="2712"/>
      <c r="AB64" s="2712"/>
      <c r="AC64" s="2712"/>
    </row>
    <row r="65" spans="1:29" ht="15" thickTop="1">
      <c r="A65" s="483"/>
      <c r="B65" s="487" t="s">
        <v>1727</v>
      </c>
      <c r="C65" s="527" t="s">
        <v>1721</v>
      </c>
      <c r="D65" s="527" t="s">
        <v>1722</v>
      </c>
      <c r="E65" s="527" t="s">
        <v>1723</v>
      </c>
      <c r="F65" s="527" t="s">
        <v>1724</v>
      </c>
      <c r="G65" s="527" t="s">
        <v>1725</v>
      </c>
      <c r="H65" s="488"/>
      <c r="I65" s="488"/>
      <c r="J65" s="488"/>
      <c r="K65" s="489"/>
      <c r="L65" s="490"/>
      <c r="M65" s="491"/>
      <c r="N65" s="2740"/>
      <c r="O65" s="2740"/>
      <c r="P65" s="2749"/>
      <c r="Q65" s="2726"/>
      <c r="R65" s="2712"/>
      <c r="S65" s="2712"/>
      <c r="T65" s="2712"/>
      <c r="U65" s="2712"/>
      <c r="V65" s="2712"/>
      <c r="W65" s="2712"/>
      <c r="X65" s="2712"/>
      <c r="Y65" s="2712"/>
      <c r="Z65" s="2712"/>
      <c r="AA65" s="2712"/>
      <c r="AB65" s="2712"/>
      <c r="AC65" s="271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1"/>
      <c r="O66" s="2741"/>
      <c r="P66" s="2749"/>
      <c r="Q66" s="2726"/>
      <c r="R66" s="2712"/>
      <c r="S66" s="2712"/>
      <c r="T66" s="2712"/>
      <c r="U66" s="2712"/>
      <c r="V66" s="2712"/>
      <c r="W66" s="2712"/>
      <c r="X66" s="2712"/>
      <c r="Y66" s="2712"/>
      <c r="Z66" s="2712"/>
      <c r="AA66" s="2712"/>
      <c r="AB66" s="2712"/>
      <c r="AC66" s="2712"/>
    </row>
    <row r="67" spans="1:29" ht="15" thickTop="1">
      <c r="A67" s="483"/>
      <c r="B67" s="495" t="s">
        <v>1813</v>
      </c>
      <c r="C67" s="608" t="s">
        <v>1799</v>
      </c>
      <c r="D67" s="608" t="s">
        <v>1800</v>
      </c>
      <c r="E67" s="608" t="s">
        <v>1801</v>
      </c>
      <c r="F67" s="608" t="s">
        <v>1802</v>
      </c>
      <c r="G67" s="608" t="s">
        <v>1803</v>
      </c>
      <c r="H67" s="488"/>
      <c r="I67" s="488"/>
      <c r="J67" s="488"/>
      <c r="K67" s="488"/>
      <c r="L67" s="488"/>
      <c r="M67" s="1129"/>
      <c r="N67" s="2741"/>
      <c r="O67" s="2741"/>
      <c r="P67" s="2749"/>
      <c r="Q67" s="2726"/>
      <c r="R67" s="2712"/>
      <c r="S67" s="2712"/>
      <c r="T67" s="2712"/>
      <c r="U67" s="2712"/>
      <c r="V67" s="2712"/>
      <c r="W67" s="2712"/>
      <c r="X67" s="2712"/>
      <c r="Y67" s="2712"/>
      <c r="Z67" s="2712"/>
      <c r="AA67" s="2712"/>
      <c r="AB67" s="2712"/>
      <c r="AC67" s="271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1"/>
      <c r="O68" s="2741"/>
      <c r="P68" s="2749"/>
      <c r="Q68" s="2726"/>
      <c r="R68" s="2712"/>
      <c r="S68" s="2712"/>
      <c r="T68" s="2712"/>
      <c r="U68" s="2712"/>
      <c r="V68" s="2712"/>
      <c r="W68" s="2712"/>
      <c r="X68" s="2712"/>
      <c r="Y68" s="2712"/>
      <c r="Z68" s="2712"/>
      <c r="AA68" s="2712"/>
      <c r="AB68" s="2712"/>
      <c r="AC68" s="2712"/>
    </row>
    <row r="69" spans="1:29" ht="15" thickTop="1">
      <c r="A69" s="483"/>
      <c r="B69" s="487" t="s">
        <v>1733</v>
      </c>
      <c r="C69" s="527" t="s">
        <v>1721</v>
      </c>
      <c r="D69" s="527" t="s">
        <v>1722</v>
      </c>
      <c r="E69" s="527" t="s">
        <v>1723</v>
      </c>
      <c r="F69" s="527" t="s">
        <v>1724</v>
      </c>
      <c r="G69" s="527" t="s">
        <v>1725</v>
      </c>
      <c r="H69" s="488"/>
      <c r="I69" s="488"/>
      <c r="J69" s="488"/>
      <c r="K69" s="489"/>
      <c r="L69" s="490"/>
      <c r="M69" s="491"/>
      <c r="N69" s="2740"/>
      <c r="O69" s="2740"/>
      <c r="P69" s="2749"/>
      <c r="Q69" s="2726"/>
      <c r="R69" s="2712"/>
      <c r="S69" s="2712"/>
      <c r="T69" s="2712"/>
      <c r="U69" s="2712"/>
      <c r="V69" s="2712"/>
      <c r="W69" s="2712"/>
      <c r="X69" s="2712"/>
      <c r="Y69" s="2712"/>
      <c r="Z69" s="2712"/>
      <c r="AA69" s="2712"/>
      <c r="AB69" s="2712"/>
      <c r="AC69" s="271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1"/>
      <c r="O70" s="2741"/>
      <c r="P70" s="2749"/>
      <c r="Q70" s="2726"/>
      <c r="R70" s="2712"/>
      <c r="S70" s="2712"/>
      <c r="T70" s="2712"/>
      <c r="U70" s="2712"/>
      <c r="V70" s="2712"/>
      <c r="W70" s="2712"/>
      <c r="X70" s="2712"/>
      <c r="Y70" s="2712"/>
      <c r="Z70" s="2712"/>
      <c r="AA70" s="2712"/>
      <c r="AB70" s="2712"/>
      <c r="AC70" s="2712"/>
    </row>
    <row r="71" spans="1:29" ht="15" thickTop="1">
      <c r="A71" s="483"/>
      <c r="B71" s="487" t="s">
        <v>1852</v>
      </c>
      <c r="C71" s="503"/>
      <c r="D71" s="503"/>
      <c r="E71" s="503"/>
      <c r="F71" s="503"/>
      <c r="G71" s="503"/>
      <c r="H71" s="532"/>
      <c r="I71" s="532"/>
      <c r="J71" s="532"/>
      <c r="K71" s="533"/>
      <c r="L71" s="534"/>
      <c r="M71" s="535"/>
      <c r="N71" s="2740"/>
      <c r="O71" s="2740"/>
      <c r="P71" s="2749"/>
      <c r="Q71" s="2726"/>
      <c r="R71" s="2712"/>
      <c r="S71" s="2712"/>
      <c r="T71" s="2712"/>
      <c r="U71" s="2712"/>
      <c r="V71" s="2712"/>
      <c r="W71" s="2712"/>
      <c r="X71" s="2712"/>
      <c r="Y71" s="2712"/>
      <c r="Z71" s="2712"/>
      <c r="AA71" s="2712"/>
      <c r="AB71" s="2712"/>
      <c r="AC71" s="271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1"/>
      <c r="O72" s="2741"/>
      <c r="P72" s="2749"/>
      <c r="Q72" s="2726"/>
      <c r="R72" s="2712"/>
      <c r="S72" s="2712"/>
      <c r="T72" s="2712"/>
      <c r="U72" s="2712"/>
      <c r="V72" s="2712"/>
      <c r="W72" s="2712"/>
      <c r="X72" s="2712"/>
      <c r="Y72" s="2712"/>
      <c r="Z72" s="2712"/>
      <c r="AA72" s="2712"/>
      <c r="AB72" s="2712"/>
      <c r="AC72" s="2712"/>
    </row>
    <row r="73" spans="1:29" s="108" customFormat="1" ht="14.4" thickTop="1">
      <c r="A73" s="528"/>
      <c r="B73" s="487">
        <f>B23</f>
        <v>111</v>
      </c>
      <c r="C73" s="498"/>
      <c r="D73" s="498"/>
      <c r="E73" s="498"/>
      <c r="F73" s="498"/>
      <c r="G73" s="503"/>
      <c r="H73" s="503"/>
      <c r="I73" s="503"/>
      <c r="J73" s="503"/>
      <c r="K73" s="503"/>
      <c r="L73" s="529"/>
      <c r="M73" s="530"/>
      <c r="N73" s="2739"/>
      <c r="O73" s="2739"/>
      <c r="P73" s="2749"/>
      <c r="Q73" s="2726"/>
      <c r="R73" s="2650"/>
      <c r="S73" s="2650"/>
      <c r="T73" s="2650"/>
      <c r="U73" s="2650"/>
      <c r="V73" s="2650"/>
      <c r="W73" s="2650"/>
      <c r="X73" s="2650"/>
      <c r="Y73" s="2650"/>
      <c r="Z73" s="2650"/>
      <c r="AA73" s="2650"/>
      <c r="AB73" s="2650"/>
      <c r="AC73" s="2650"/>
    </row>
    <row r="74" spans="1:29" s="108" customFormat="1" ht="14.4" thickBot="1">
      <c r="A74" s="528"/>
      <c r="B74" s="492"/>
      <c r="C74" s="509"/>
      <c r="D74" s="485"/>
      <c r="E74" s="485"/>
      <c r="F74" s="485"/>
      <c r="G74" s="485"/>
      <c r="H74" s="485"/>
      <c r="I74" s="485"/>
      <c r="J74" s="485"/>
      <c r="K74" s="485"/>
      <c r="L74" s="485"/>
      <c r="M74" s="486"/>
      <c r="N74" s="2741"/>
      <c r="O74" s="2741"/>
      <c r="P74" s="2749"/>
      <c r="Q74" s="2726"/>
      <c r="R74" s="2650"/>
      <c r="S74" s="2650"/>
      <c r="T74" s="2650"/>
      <c r="U74" s="2650"/>
      <c r="V74" s="2650"/>
      <c r="W74" s="2650"/>
      <c r="X74" s="2650"/>
      <c r="Y74" s="2650"/>
      <c r="Z74" s="2650"/>
      <c r="AA74" s="2650"/>
      <c r="AB74" s="2650"/>
      <c r="AC74" s="2650"/>
    </row>
    <row r="75" spans="1:29" s="108" customFormat="1" ht="14.4" thickTop="1">
      <c r="A75" s="528"/>
      <c r="B75" s="487">
        <f>B24</f>
        <v>111</v>
      </c>
      <c r="C75" s="498"/>
      <c r="D75" s="498"/>
      <c r="E75" s="498"/>
      <c r="F75" s="498"/>
      <c r="G75" s="503"/>
      <c r="H75" s="503"/>
      <c r="I75" s="503"/>
      <c r="J75" s="503"/>
      <c r="K75" s="503"/>
      <c r="L75" s="503"/>
      <c r="M75" s="530"/>
      <c r="N75" s="2739"/>
      <c r="O75" s="2739"/>
      <c r="P75" s="2749"/>
      <c r="Q75" s="2726"/>
      <c r="R75" s="2650"/>
      <c r="S75" s="2650"/>
      <c r="T75" s="2650"/>
      <c r="U75" s="2650"/>
      <c r="V75" s="2650"/>
      <c r="W75" s="2650"/>
      <c r="X75" s="2650"/>
      <c r="Y75" s="2650"/>
      <c r="Z75" s="2650"/>
      <c r="AA75" s="2650"/>
      <c r="AB75" s="2650"/>
      <c r="AC75" s="2650"/>
    </row>
    <row r="76" spans="1:29" s="108" customFormat="1" ht="14.4" thickBot="1">
      <c r="A76" s="528"/>
      <c r="B76" s="492"/>
      <c r="C76" s="509"/>
      <c r="D76" s="485"/>
      <c r="E76" s="485"/>
      <c r="F76" s="485"/>
      <c r="G76" s="485"/>
      <c r="H76" s="485"/>
      <c r="I76" s="485"/>
      <c r="J76" s="485"/>
      <c r="K76" s="485"/>
      <c r="L76" s="485"/>
      <c r="M76" s="486"/>
      <c r="N76" s="2741"/>
      <c r="O76" s="2741"/>
      <c r="P76" s="2749"/>
      <c r="Q76" s="2726"/>
      <c r="R76" s="2650"/>
      <c r="S76" s="2650"/>
      <c r="T76" s="2650"/>
      <c r="U76" s="2650"/>
      <c r="V76" s="2650"/>
      <c r="W76" s="2650"/>
      <c r="X76" s="2650"/>
      <c r="Y76" s="2650"/>
      <c r="Z76" s="2650"/>
      <c r="AA76" s="2650"/>
      <c r="AB76" s="2650"/>
      <c r="AC76" s="2650"/>
    </row>
    <row r="77" spans="1:29" s="422" customFormat="1" ht="14.4" thickTop="1">
      <c r="A77" s="502"/>
      <c r="B77" s="487">
        <f>B25</f>
        <v>111</v>
      </c>
      <c r="C77" s="503"/>
      <c r="D77" s="503"/>
      <c r="E77" s="503"/>
      <c r="F77" s="503"/>
      <c r="G77" s="503"/>
      <c r="H77" s="504"/>
      <c r="I77" s="504"/>
      <c r="J77" s="504"/>
      <c r="K77" s="504"/>
      <c r="L77" s="505"/>
      <c r="M77" s="506"/>
      <c r="N77" s="2742"/>
      <c r="O77" s="2742"/>
      <c r="P77" s="2750"/>
      <c r="Q77" s="2733"/>
      <c r="R77" s="2734"/>
      <c r="S77" s="2734"/>
      <c r="T77" s="2734"/>
      <c r="U77" s="2734"/>
      <c r="V77" s="2734"/>
      <c r="W77" s="2734"/>
      <c r="X77" s="2734"/>
      <c r="Y77" s="2734"/>
      <c r="Z77" s="2734"/>
      <c r="AA77" s="2734"/>
      <c r="AB77" s="2734"/>
      <c r="AC77" s="2734"/>
    </row>
    <row r="78" spans="1:29" s="422" customFormat="1" ht="14.4" thickBot="1">
      <c r="A78" s="502"/>
      <c r="B78" s="492"/>
      <c r="C78" s="509"/>
      <c r="D78" s="509"/>
      <c r="E78" s="509"/>
      <c r="F78" s="509"/>
      <c r="G78" s="485"/>
      <c r="H78" s="485"/>
      <c r="I78" s="485"/>
      <c r="J78" s="485"/>
      <c r="K78" s="485"/>
      <c r="L78" s="485"/>
      <c r="M78" s="486"/>
      <c r="N78" s="2742"/>
      <c r="O78" s="2742"/>
      <c r="P78" s="2750"/>
      <c r="Q78" s="2733"/>
      <c r="R78" s="2734"/>
      <c r="S78" s="2734"/>
      <c r="T78" s="2734"/>
      <c r="U78" s="2734"/>
      <c r="V78" s="2734"/>
      <c r="W78" s="2734"/>
      <c r="X78" s="2734"/>
      <c r="Y78" s="2734"/>
      <c r="Z78" s="2734"/>
      <c r="AA78" s="2734"/>
      <c r="AB78" s="2734"/>
      <c r="AC78" s="2734"/>
    </row>
    <row r="79" spans="1:29" ht="29.4" thickTop="1">
      <c r="A79" s="476" t="s">
        <v>1694</v>
      </c>
      <c r="B79" s="477" t="s">
        <v>1853</v>
      </c>
      <c r="C79" s="478" t="str">
        <f>C26</f>
        <v>车库</v>
      </c>
      <c r="D79" s="479"/>
      <c r="E79" s="479"/>
      <c r="F79" s="479"/>
      <c r="G79" s="479"/>
      <c r="H79" s="479"/>
      <c r="I79" s="479"/>
      <c r="J79" s="479"/>
      <c r="K79" s="480"/>
      <c r="L79" s="481"/>
      <c r="M79" s="482"/>
      <c r="N79" s="2740"/>
      <c r="O79" s="2740"/>
      <c r="P79" s="2749"/>
      <c r="Q79" s="2726"/>
      <c r="R79" s="2712"/>
      <c r="S79" s="2712"/>
      <c r="T79" s="2712"/>
      <c r="U79" s="2712"/>
      <c r="V79" s="2712"/>
      <c r="W79" s="2712"/>
      <c r="X79" s="2712"/>
      <c r="Y79" s="2712"/>
      <c r="Z79" s="2712"/>
      <c r="AA79" s="2712"/>
      <c r="AB79" s="2712"/>
      <c r="AC79" s="271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1"/>
      <c r="O80" s="2741"/>
      <c r="P80" s="2749"/>
      <c r="Q80" s="2726"/>
      <c r="R80" s="2712"/>
      <c r="S80" s="2712"/>
      <c r="T80" s="2712"/>
      <c r="U80" s="2712"/>
      <c r="V80" s="2712"/>
      <c r="W80" s="2712"/>
      <c r="X80" s="2712"/>
      <c r="Y80" s="2712"/>
      <c r="Z80" s="2712"/>
      <c r="AA80" s="2712"/>
      <c r="AB80" s="2712"/>
      <c r="AC80" s="2712"/>
    </row>
    <row r="81" spans="1:29" ht="15" thickTop="1">
      <c r="A81" s="483"/>
      <c r="B81" s="487" t="s">
        <v>1854</v>
      </c>
      <c r="C81" s="609"/>
      <c r="D81" s="609"/>
      <c r="E81" s="609"/>
      <c r="F81" s="609"/>
      <c r="G81" s="609"/>
      <c r="H81" s="609"/>
      <c r="I81" s="609"/>
      <c r="J81" s="609"/>
      <c r="K81" s="610"/>
      <c r="L81" s="611"/>
      <c r="M81" s="612"/>
      <c r="N81" s="2739"/>
      <c r="O81" s="2739"/>
      <c r="P81" s="2749"/>
      <c r="Q81" s="2726"/>
      <c r="R81" s="2712"/>
      <c r="S81" s="2712"/>
      <c r="T81" s="2712"/>
      <c r="U81" s="2712"/>
      <c r="V81" s="2712"/>
      <c r="W81" s="2712"/>
      <c r="X81" s="2712"/>
      <c r="Y81" s="2712"/>
      <c r="Z81" s="2712"/>
      <c r="AA81" s="2712"/>
      <c r="AB81" s="2712"/>
      <c r="AC81" s="2712"/>
    </row>
    <row r="82" spans="1:29" s="422" customFormat="1" ht="14.4" thickBot="1">
      <c r="A82" s="502"/>
      <c r="B82" s="492"/>
      <c r="C82" s="509"/>
      <c r="D82" s="485"/>
      <c r="E82" s="485"/>
      <c r="F82" s="485"/>
      <c r="G82" s="485"/>
      <c r="H82" s="485"/>
      <c r="I82" s="485"/>
      <c r="J82" s="485"/>
      <c r="K82" s="485"/>
      <c r="L82" s="485"/>
      <c r="M82" s="486"/>
      <c r="N82" s="2741"/>
      <c r="O82" s="2741"/>
      <c r="P82" s="2750"/>
      <c r="Q82" s="2733"/>
      <c r="R82" s="2734"/>
      <c r="S82" s="2734"/>
      <c r="T82" s="2734"/>
      <c r="U82" s="2734"/>
      <c r="V82" s="2734"/>
      <c r="W82" s="2734"/>
      <c r="X82" s="2734"/>
      <c r="Y82" s="2734"/>
      <c r="Z82" s="2734"/>
      <c r="AA82" s="2734"/>
      <c r="AB82" s="2734"/>
      <c r="AC82" s="2734"/>
    </row>
    <row r="83" spans="1:29" ht="15" thickTop="1">
      <c r="A83" s="548"/>
      <c r="B83" s="487" t="s">
        <v>1740</v>
      </c>
      <c r="C83" s="503"/>
      <c r="D83" s="503"/>
      <c r="E83" s="532"/>
      <c r="F83" s="532"/>
      <c r="G83" s="532"/>
      <c r="H83" s="532"/>
      <c r="I83" s="532"/>
      <c r="J83" s="532"/>
      <c r="K83" s="533"/>
      <c r="L83" s="534"/>
      <c r="M83" s="535"/>
      <c r="N83" s="2740"/>
      <c r="O83" s="2740"/>
      <c r="P83" s="2749"/>
      <c r="Q83" s="2726"/>
      <c r="R83" s="2712"/>
      <c r="S83" s="2712"/>
      <c r="T83" s="2712"/>
      <c r="U83" s="2712"/>
      <c r="V83" s="2712"/>
      <c r="W83" s="2712"/>
      <c r="X83" s="2712"/>
      <c r="Y83" s="2712"/>
      <c r="Z83" s="2712"/>
      <c r="AA83" s="2712"/>
      <c r="AB83" s="2712"/>
      <c r="AC83" s="271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0"/>
      <c r="O85" s="2740"/>
      <c r="P85" s="2749"/>
      <c r="Q85" s="2726"/>
      <c r="R85" s="2712"/>
      <c r="S85" s="2712"/>
      <c r="T85" s="2712"/>
      <c r="U85" s="2712"/>
      <c r="V85" s="2712"/>
      <c r="W85" s="2712"/>
      <c r="X85" s="2712"/>
      <c r="Y85" s="2712"/>
      <c r="Z85" s="2712"/>
      <c r="AA85" s="2712"/>
      <c r="AB85" s="2712"/>
      <c r="AC85" s="2712"/>
    </row>
    <row r="86" spans="1:29">
      <c r="A86" s="548"/>
      <c r="B86" s="495"/>
      <c r="C86" s="552">
        <v>0.5</v>
      </c>
      <c r="D86" s="552">
        <v>0.6</v>
      </c>
      <c r="E86" s="552">
        <v>0.7</v>
      </c>
      <c r="F86" s="552">
        <v>0.8</v>
      </c>
      <c r="G86" s="552">
        <v>0.9</v>
      </c>
      <c r="H86" s="552">
        <v>1.0001</v>
      </c>
      <c r="I86" s="571"/>
      <c r="J86" s="571"/>
      <c r="K86" s="572"/>
      <c r="L86" s="573"/>
      <c r="M86" s="574"/>
      <c r="N86" s="2740"/>
      <c r="O86" s="2740"/>
      <c r="P86" s="2749"/>
      <c r="Q86" s="2726"/>
      <c r="R86" s="2712"/>
      <c r="S86" s="2712"/>
      <c r="T86" s="2712"/>
      <c r="U86" s="2712"/>
      <c r="V86" s="2712"/>
      <c r="W86" s="2712"/>
      <c r="X86" s="2712"/>
      <c r="Y86" s="2712"/>
      <c r="Z86" s="2712"/>
      <c r="AA86" s="2712"/>
      <c r="AB86" s="2712"/>
      <c r="AC86" s="271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8"/>
      <c r="B88" s="495" t="s">
        <v>1856</v>
      </c>
      <c r="C88" s="479"/>
      <c r="D88" s="479"/>
      <c r="E88" s="479"/>
      <c r="F88" s="479"/>
      <c r="G88" s="479"/>
      <c r="H88" s="479"/>
      <c r="I88" s="479"/>
      <c r="J88" s="479"/>
      <c r="K88" s="480"/>
      <c r="L88" s="481"/>
      <c r="M88" s="482"/>
      <c r="N88" s="2740"/>
      <c r="O88" s="2740"/>
      <c r="P88" s="2749"/>
      <c r="Q88" s="2726"/>
      <c r="R88" s="2712"/>
      <c r="S88" s="2712"/>
      <c r="T88" s="2712"/>
      <c r="U88" s="2712"/>
      <c r="V88" s="2712"/>
      <c r="W88" s="2712"/>
      <c r="X88" s="2712"/>
      <c r="Y88" s="2712"/>
      <c r="Z88" s="2712"/>
      <c r="AA88" s="2712"/>
      <c r="AB88" s="2712"/>
      <c r="AC88" s="271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2"/>
      <c r="O90" s="2742"/>
      <c r="P90" s="2750"/>
      <c r="Q90" s="2733"/>
      <c r="R90" s="2734"/>
      <c r="S90" s="2734"/>
      <c r="T90" s="2734"/>
      <c r="U90" s="2734"/>
      <c r="V90" s="2734"/>
      <c r="W90" s="2734"/>
      <c r="X90" s="2734"/>
      <c r="Y90" s="2734"/>
      <c r="Z90" s="2734"/>
      <c r="AA90" s="2734"/>
      <c r="AB90" s="2734"/>
      <c r="AC90" s="2734"/>
    </row>
    <row r="91" spans="1:29" s="422" customFormat="1">
      <c r="A91" s="542"/>
      <c r="B91" s="495"/>
      <c r="C91" s="544"/>
      <c r="D91" s="544"/>
      <c r="E91" s="544"/>
      <c r="F91" s="544"/>
      <c r="G91" s="544"/>
      <c r="H91" s="544"/>
      <c r="I91" s="544"/>
      <c r="J91" s="545"/>
      <c r="K91" s="545"/>
      <c r="L91" s="546"/>
      <c r="M91" s="547"/>
      <c r="N91" s="2742"/>
      <c r="O91" s="2742"/>
      <c r="P91" s="2750"/>
      <c r="Q91" s="2733"/>
      <c r="R91" s="2734"/>
      <c r="S91" s="2734"/>
      <c r="T91" s="2734"/>
      <c r="U91" s="2734"/>
      <c r="V91" s="2734"/>
      <c r="W91" s="2734"/>
      <c r="X91" s="2734"/>
      <c r="Y91" s="2734"/>
      <c r="Z91" s="2734"/>
      <c r="AA91" s="2734"/>
      <c r="AB91" s="2734"/>
      <c r="AC91" s="2734"/>
    </row>
    <row r="92" spans="1:29" s="422" customFormat="1" ht="14.4" thickBot="1">
      <c r="A92" s="502"/>
      <c r="B92" s="492"/>
      <c r="C92" s="509"/>
      <c r="D92" s="485"/>
      <c r="E92" s="485"/>
      <c r="F92" s="485"/>
      <c r="G92" s="485"/>
      <c r="H92" s="485"/>
      <c r="I92" s="485"/>
      <c r="J92" s="485"/>
      <c r="K92" s="485"/>
      <c r="L92" s="485"/>
      <c r="M92" s="486"/>
      <c r="N92" s="2742"/>
      <c r="O92" s="2742"/>
      <c r="P92" s="2750"/>
      <c r="Q92" s="2733"/>
      <c r="R92" s="2734"/>
      <c r="S92" s="2734"/>
      <c r="T92" s="2734"/>
      <c r="U92" s="2734"/>
      <c r="V92" s="2734"/>
      <c r="W92" s="2734"/>
      <c r="X92" s="2734"/>
      <c r="Y92" s="2734"/>
      <c r="Z92" s="2734"/>
      <c r="AA92" s="2734"/>
      <c r="AB92" s="2734"/>
      <c r="AC92" s="2734"/>
    </row>
    <row r="93" spans="1:29" ht="15" thickTop="1">
      <c r="A93" s="548"/>
      <c r="B93" s="487" t="s">
        <v>1858</v>
      </c>
      <c r="C93" s="503"/>
      <c r="D93" s="503"/>
      <c r="E93" s="532"/>
      <c r="F93" s="532"/>
      <c r="G93" s="532"/>
      <c r="H93" s="532"/>
      <c r="I93" s="532"/>
      <c r="J93" s="532"/>
      <c r="K93" s="533"/>
      <c r="L93" s="534"/>
      <c r="M93" s="535"/>
      <c r="N93" s="2740"/>
      <c r="O93" s="2740"/>
      <c r="P93" s="2749"/>
      <c r="Q93" s="2726"/>
      <c r="R93" s="2712"/>
      <c r="S93" s="2712"/>
      <c r="T93" s="2712"/>
      <c r="U93" s="2712"/>
      <c r="V93" s="2712"/>
      <c r="W93" s="2712"/>
      <c r="X93" s="2712"/>
      <c r="Y93" s="2712"/>
      <c r="Z93" s="2712"/>
      <c r="AA93" s="2712"/>
      <c r="AB93" s="2712"/>
      <c r="AC93" s="271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8"/>
      <c r="B95" s="487" t="s">
        <v>1859</v>
      </c>
      <c r="C95" s="479"/>
      <c r="D95" s="479"/>
      <c r="E95" s="479"/>
      <c r="F95" s="479"/>
      <c r="G95" s="479"/>
      <c r="H95" s="479"/>
      <c r="I95" s="479"/>
      <c r="J95" s="479"/>
      <c r="K95" s="480"/>
      <c r="L95" s="481"/>
      <c r="M95" s="482"/>
      <c r="N95" s="2740"/>
      <c r="O95" s="2740"/>
      <c r="P95" s="2749"/>
      <c r="Q95" s="2726"/>
      <c r="R95" s="2712"/>
      <c r="S95" s="2712"/>
      <c r="T95" s="2712"/>
      <c r="U95" s="2712"/>
      <c r="V95" s="2712"/>
      <c r="W95" s="2712"/>
      <c r="X95" s="2712"/>
      <c r="Y95" s="2712"/>
      <c r="Z95" s="2712"/>
      <c r="AA95" s="2712"/>
      <c r="AB95" s="2712"/>
      <c r="AC95" s="271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1"/>
      <c r="O96" s="2741"/>
      <c r="P96" s="2749"/>
      <c r="Q96" s="2726"/>
      <c r="R96" s="2712"/>
      <c r="S96" s="2712"/>
      <c r="T96" s="2712"/>
      <c r="U96" s="2712"/>
      <c r="V96" s="2712"/>
      <c r="W96" s="2712"/>
      <c r="X96" s="2712"/>
      <c r="Y96" s="2712"/>
      <c r="Z96" s="2712"/>
      <c r="AA96" s="2712"/>
      <c r="AB96" s="2712"/>
      <c r="AC96" s="2712"/>
    </row>
    <row r="97" spans="1:29" ht="14.4" thickTop="1">
      <c r="A97" s="548"/>
      <c r="B97" s="584">
        <f>B34</f>
        <v>111</v>
      </c>
      <c r="C97" s="498"/>
      <c r="D97" s="498"/>
      <c r="E97" s="498"/>
      <c r="F97" s="498"/>
      <c r="G97" s="503"/>
      <c r="H97" s="504"/>
      <c r="I97" s="504"/>
      <c r="J97" s="504"/>
      <c r="K97" s="504"/>
      <c r="L97" s="505"/>
      <c r="M97" s="506"/>
      <c r="N97" s="2741"/>
      <c r="O97" s="2741"/>
      <c r="P97" s="2754"/>
      <c r="Q97" s="2755"/>
      <c r="R97" s="2712"/>
      <c r="S97" s="2712"/>
      <c r="T97" s="2712"/>
      <c r="U97" s="2712"/>
      <c r="V97" s="2712"/>
      <c r="W97" s="2712"/>
      <c r="X97" s="2712"/>
      <c r="Y97" s="2712"/>
      <c r="Z97" s="2712"/>
      <c r="AA97" s="2712"/>
      <c r="AB97" s="2712"/>
      <c r="AC97" s="2712"/>
    </row>
    <row r="98" spans="1:29" ht="14.4" thickBot="1">
      <c r="A98" s="483"/>
      <c r="B98" s="492"/>
      <c r="C98" s="509"/>
      <c r="D98" s="485"/>
      <c r="E98" s="485"/>
      <c r="F98" s="485"/>
      <c r="G98" s="509"/>
      <c r="H98" s="511"/>
      <c r="I98" s="511"/>
      <c r="J98" s="511"/>
      <c r="K98" s="511"/>
      <c r="L98" s="511"/>
      <c r="M98" s="512"/>
      <c r="N98" s="2741"/>
      <c r="O98" s="2741"/>
      <c r="P98" s="2749"/>
      <c r="Q98" s="2726"/>
      <c r="R98" s="2712"/>
      <c r="S98" s="2712"/>
      <c r="T98" s="2712"/>
      <c r="U98" s="2712"/>
      <c r="V98" s="2712"/>
      <c r="W98" s="2712"/>
      <c r="X98" s="2712"/>
      <c r="Y98" s="2712"/>
      <c r="Z98" s="2712"/>
      <c r="AA98" s="2712"/>
      <c r="AB98" s="2712"/>
      <c r="AC98" s="2712"/>
    </row>
    <row r="99" spans="1:29" s="422" customFormat="1" ht="14.4" thickTop="1">
      <c r="A99" s="542"/>
      <c r="B99" s="487">
        <f>B35</f>
        <v>111</v>
      </c>
      <c r="C99" s="498"/>
      <c r="D99" s="498"/>
      <c r="E99" s="498"/>
      <c r="F99" s="498"/>
      <c r="G99" s="503"/>
      <c r="H99" s="504"/>
      <c r="I99" s="504"/>
      <c r="J99" s="504"/>
      <c r="K99" s="504"/>
      <c r="L99" s="505"/>
      <c r="M99" s="506"/>
      <c r="N99" s="2742"/>
      <c r="O99" s="2742"/>
      <c r="P99" s="2750"/>
      <c r="Q99" s="2733"/>
      <c r="R99" s="2734"/>
      <c r="S99" s="2734"/>
      <c r="T99" s="2734"/>
      <c r="U99" s="2734"/>
      <c r="V99" s="2734"/>
      <c r="W99" s="2734"/>
      <c r="X99" s="2734"/>
      <c r="Y99" s="2734"/>
      <c r="Z99" s="2734"/>
      <c r="AA99" s="2734"/>
      <c r="AB99" s="2734"/>
      <c r="AC99" s="2734"/>
    </row>
    <row r="100" spans="1:29" s="422" customFormat="1" ht="14.4" thickBot="1">
      <c r="A100" s="502"/>
      <c r="B100" s="484"/>
      <c r="C100" s="509"/>
      <c r="D100" s="485"/>
      <c r="E100" s="485"/>
      <c r="F100" s="485"/>
      <c r="G100" s="509"/>
      <c r="H100" s="511"/>
      <c r="I100" s="511"/>
      <c r="J100" s="511"/>
      <c r="K100" s="511"/>
      <c r="L100" s="511"/>
      <c r="M100" s="512"/>
      <c r="N100" s="2742"/>
      <c r="O100" s="2742"/>
      <c r="P100" s="2750"/>
      <c r="Q100" s="2733"/>
      <c r="R100" s="2734"/>
      <c r="S100" s="2734"/>
      <c r="T100" s="2734"/>
      <c r="U100" s="2734"/>
      <c r="V100" s="2734"/>
      <c r="W100" s="2734"/>
      <c r="X100" s="2734"/>
      <c r="Y100" s="2734"/>
      <c r="Z100" s="2734"/>
      <c r="AA100" s="2734"/>
      <c r="AB100" s="2734"/>
      <c r="AC100" s="2734"/>
    </row>
    <row r="101" spans="1:29" ht="14.4" thickTop="1">
      <c r="A101" s="548"/>
      <c r="B101" s="487">
        <f>B36</f>
        <v>111</v>
      </c>
      <c r="C101" s="503"/>
      <c r="D101" s="503"/>
      <c r="E101" s="503"/>
      <c r="F101" s="503"/>
      <c r="G101" s="503"/>
      <c r="H101" s="504"/>
      <c r="I101" s="504"/>
      <c r="J101" s="504"/>
      <c r="K101" s="504"/>
      <c r="L101" s="505"/>
      <c r="M101" s="506"/>
      <c r="N101" s="2740"/>
      <c r="O101" s="2740"/>
      <c r="P101" s="2749"/>
      <c r="Q101" s="2726"/>
      <c r="R101" s="2712"/>
      <c r="S101" s="2712"/>
      <c r="T101" s="2712"/>
      <c r="U101" s="2712"/>
      <c r="V101" s="2712"/>
      <c r="W101" s="2712"/>
      <c r="X101" s="2712"/>
      <c r="Y101" s="2712"/>
      <c r="Z101" s="2712"/>
      <c r="AA101" s="2712"/>
      <c r="AB101" s="2712"/>
      <c r="AC101" s="2712"/>
    </row>
    <row r="102" spans="1:29" ht="14.4" thickBot="1">
      <c r="A102" s="483"/>
      <c r="B102" s="492"/>
      <c r="C102" s="509"/>
      <c r="D102" s="509"/>
      <c r="E102" s="509"/>
      <c r="F102" s="509"/>
      <c r="G102" s="509"/>
      <c r="H102" s="511"/>
      <c r="I102" s="511"/>
      <c r="J102" s="511"/>
      <c r="K102" s="511"/>
      <c r="L102" s="511"/>
      <c r="M102" s="512"/>
      <c r="N102" s="2741"/>
      <c r="O102" s="2741"/>
      <c r="P102" s="2749"/>
      <c r="Q102" s="2726"/>
      <c r="R102" s="2712"/>
      <c r="S102" s="2712"/>
      <c r="T102" s="2712"/>
      <c r="U102" s="2712"/>
      <c r="V102" s="2712"/>
      <c r="W102" s="2712"/>
      <c r="X102" s="2712"/>
      <c r="Y102" s="2712"/>
      <c r="Z102" s="2712"/>
      <c r="AA102" s="2712"/>
      <c r="AB102" s="2712"/>
      <c r="AC102" s="2712"/>
    </row>
    <row r="103" spans="1:29" ht="14.4"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20"/>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1"/>
      <c r="M2" s="2722"/>
      <c r="N2" s="2722"/>
      <c r="O2" s="272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1"/>
      <c r="M3" s="2722"/>
      <c r="N3" s="2722"/>
      <c r="O3" s="2722"/>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02"/>
      <c r="M4" s="2703"/>
      <c r="N4" s="2703"/>
      <c r="O4" s="2703"/>
      <c r="P4" s="3687" t="s">
        <v>1775</v>
      </c>
      <c r="Q4" s="3688"/>
      <c r="R4" s="3693" t="s">
        <v>1771</v>
      </c>
      <c r="S4" s="3694"/>
      <c r="T4" s="3693" t="s">
        <v>1772</v>
      </c>
      <c r="U4" s="3694"/>
      <c r="V4" s="3699" t="s">
        <v>1773</v>
      </c>
      <c r="W4" s="3699"/>
      <c r="X4" s="1354"/>
      <c r="Y4" s="3693" t="s">
        <v>1775</v>
      </c>
      <c r="Z4" s="3694"/>
      <c r="AA4" s="3680" t="s">
        <v>1771</v>
      </c>
      <c r="AB4" s="3681" t="s">
        <v>1772</v>
      </c>
      <c r="AC4" s="3680" t="s">
        <v>1773</v>
      </c>
    </row>
    <row r="5" spans="1:29">
      <c r="A5" s="358"/>
      <c r="B5" s="359"/>
      <c r="C5" s="3702" t="s">
        <v>1673</v>
      </c>
      <c r="D5" s="3703"/>
      <c r="E5" s="3712" t="s">
        <v>1674</v>
      </c>
      <c r="F5" s="3711"/>
      <c r="G5" s="3702" t="s">
        <v>1675</v>
      </c>
      <c r="H5" s="3703"/>
      <c r="I5" s="3702" t="s">
        <v>1676</v>
      </c>
      <c r="J5" s="3703"/>
      <c r="K5" s="559"/>
      <c r="L5" s="2702"/>
      <c r="M5" s="2703"/>
      <c r="N5" s="2703"/>
      <c r="O5" s="2703"/>
      <c r="P5" s="3689"/>
      <c r="Q5" s="3690"/>
      <c r="R5" s="3695"/>
      <c r="S5" s="3696"/>
      <c r="T5" s="3695"/>
      <c r="U5" s="3696"/>
      <c r="V5" s="3699"/>
      <c r="W5" s="3699"/>
      <c r="X5" s="1354"/>
      <c r="Y5" s="3695"/>
      <c r="Z5" s="3696"/>
      <c r="AA5" s="3681"/>
      <c r="AB5" s="3681"/>
      <c r="AC5" s="3681"/>
    </row>
    <row r="6" spans="1:29" ht="15" thickBot="1">
      <c r="A6" s="360"/>
      <c r="B6" s="361"/>
      <c r="C6" s="3700" t="s">
        <v>1677</v>
      </c>
      <c r="D6" s="3701"/>
      <c r="E6" s="3708" t="s">
        <v>1677</v>
      </c>
      <c r="F6" s="3709"/>
      <c r="G6" s="3700" t="s">
        <v>1677</v>
      </c>
      <c r="H6" s="3701"/>
      <c r="I6" s="3700" t="s">
        <v>1677</v>
      </c>
      <c r="J6" s="3701"/>
      <c r="K6" s="559" t="s">
        <v>1678</v>
      </c>
      <c r="L6" s="2702"/>
      <c r="M6" s="2703"/>
      <c r="N6" s="2703"/>
      <c r="O6" s="2703"/>
      <c r="P6" s="3691"/>
      <c r="Q6" s="3692"/>
      <c r="R6" s="3695"/>
      <c r="S6" s="3696"/>
      <c r="T6" s="3697"/>
      <c r="U6" s="3698"/>
      <c r="V6" s="3699"/>
      <c r="W6" s="3699"/>
      <c r="X6" s="1354"/>
      <c r="Y6" s="3697"/>
      <c r="Z6" s="3698"/>
      <c r="AA6" s="3682"/>
      <c r="AB6" s="3682"/>
      <c r="AC6" s="3682"/>
    </row>
    <row r="7" spans="1:29" s="108" customFormat="1" ht="15" thickBot="1">
      <c r="A7" s="362" t="s">
        <v>1679</v>
      </c>
      <c r="B7" s="363"/>
      <c r="C7" s="364">
        <f>'数据-取费表'!B2</f>
        <v>45517</v>
      </c>
      <c r="D7" s="365">
        <v>100</v>
      </c>
      <c r="E7" s="366"/>
      <c r="F7" s="367">
        <f>SUMIF(46:46,YEAR(E7)&amp;"-"&amp;MONTH(E7),47:47)</f>
        <v>0</v>
      </c>
      <c r="G7" s="1973"/>
      <c r="H7" s="365">
        <f>SUMIF(46:46,YEAR(G7)&amp;"-"&amp;MONTH(G7),47:47)</f>
        <v>0</v>
      </c>
      <c r="I7" s="366"/>
      <c r="J7" s="365">
        <f>SUMIF(46:46,YEAR(I7)&amp;"-"&amp;MONTH(I7),47:47)</f>
        <v>0</v>
      </c>
      <c r="K7" s="560"/>
      <c r="L7" s="2704"/>
      <c r="M7" s="2705"/>
      <c r="N7" s="2705"/>
      <c r="O7" s="2705"/>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4"/>
      <c r="M8" s="2705"/>
      <c r="N8" s="2705"/>
      <c r="O8" s="2705"/>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4"/>
      <c r="M9" s="2705"/>
      <c r="N9" s="2705"/>
      <c r="O9" s="2759"/>
      <c r="P9" s="3668" t="s">
        <v>1686</v>
      </c>
      <c r="Q9" s="1342"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8.8">
      <c r="A10" s="374"/>
      <c r="B10" s="375" t="s">
        <v>1688</v>
      </c>
      <c r="C10" s="3421"/>
      <c r="D10" s="127">
        <v>100</v>
      </c>
      <c r="E10" s="3421"/>
      <c r="F10" s="376">
        <f>SUMIF(53:53,E10,54:54)-SUMIF(53:53,C10,54:54)+100</f>
        <v>100</v>
      </c>
      <c r="G10" s="3421"/>
      <c r="H10" s="127">
        <f>SUMIF(53:53,G10,54:54)-SUMIF(53:53,C10,54:54)+100</f>
        <v>100</v>
      </c>
      <c r="I10" s="3421"/>
      <c r="J10" s="127">
        <f>SUMIF(53:53,I10,54:54)-SUMIF(53:53,C10,54:54)+100</f>
        <v>100</v>
      </c>
      <c r="K10" s="560"/>
      <c r="L10" s="2706"/>
      <c r="M10" s="2707"/>
      <c r="N10" s="2707"/>
      <c r="O10" s="2760"/>
      <c r="P10" s="3668"/>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8"/>
      <c r="M11" s="2703"/>
      <c r="N11" s="2703"/>
      <c r="O11" s="2761"/>
      <c r="P11" s="3668"/>
      <c r="Q11" s="1342">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4"/>
      <c r="M12" s="2705"/>
      <c r="N12" s="2705"/>
      <c r="O12" s="2759"/>
      <c r="P12" s="3668"/>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9"/>
      <c r="M13" s="2703"/>
      <c r="N13" s="2703"/>
      <c r="O13" s="2761"/>
      <c r="P13" s="3668"/>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38">
      <c r="A14" s="391" t="s">
        <v>1690</v>
      </c>
      <c r="B14" s="61" t="s">
        <v>1833</v>
      </c>
      <c r="C14" s="1970" t="str">
        <f>IF(B1="工业",估价对象房地状况!G4,估价对象房地状况!C6)</f>
        <v>估价对象周边有392路、466路、577路、专12路等多条公交线路，距地铁15号线（清华东路西口站）约700米，综合评价交通便捷度较好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9"/>
      <c r="M14" s="2703"/>
      <c r="N14" s="2703"/>
      <c r="O14" s="2761"/>
      <c r="P14" s="3670" t="s">
        <v>1691</v>
      </c>
      <c r="Q14" s="1351" t="str">
        <f t="shared" si="6"/>
        <v>交通便捷度</v>
      </c>
      <c r="R14" s="705" t="s">
        <v>14</v>
      </c>
      <c r="S14" s="706">
        <f t="shared" si="0"/>
        <v>100</v>
      </c>
      <c r="T14" s="705" t="s">
        <v>14</v>
      </c>
      <c r="U14" s="706">
        <f t="shared" si="1"/>
        <v>100</v>
      </c>
      <c r="V14" s="705" t="s">
        <v>14</v>
      </c>
      <c r="W14" s="706">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9"/>
      <c r="M15" s="2703"/>
      <c r="N15" s="2703"/>
      <c r="O15" s="2761"/>
      <c r="P15" s="3671"/>
      <c r="Q15" s="1351"/>
      <c r="R15" s="705"/>
      <c r="S15" s="706"/>
      <c r="T15" s="705"/>
      <c r="U15" s="706"/>
      <c r="V15" s="705"/>
      <c r="W15" s="706"/>
      <c r="X15" s="1354"/>
      <c r="Y15" s="3671"/>
      <c r="Z15" s="1355"/>
      <c r="AA15" s="1352">
        <v>1</v>
      </c>
      <c r="AB15" s="1352">
        <v>1</v>
      </c>
      <c r="AC15" s="1352">
        <v>1</v>
      </c>
    </row>
    <row r="16" spans="1:29" ht="55.2">
      <c r="A16" s="379"/>
      <c r="B16" s="402" t="s">
        <v>1812</v>
      </c>
      <c r="C16" s="1899"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09"/>
      <c r="M16" s="2703"/>
      <c r="N16" s="2703"/>
      <c r="O16" s="2761"/>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9"/>
      <c r="M17" s="2703"/>
      <c r="N17" s="2703"/>
      <c r="O17" s="2761"/>
      <c r="P17" s="3671"/>
      <c r="Q17" s="1351"/>
      <c r="R17" s="705"/>
      <c r="S17" s="706"/>
      <c r="T17" s="705"/>
      <c r="U17" s="706"/>
      <c r="V17" s="705"/>
      <c r="W17" s="706"/>
      <c r="X17" s="1354"/>
      <c r="Y17" s="3671"/>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9"/>
      <c r="M18" s="2703"/>
      <c r="N18" s="2703"/>
      <c r="O18" s="2761"/>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09"/>
      <c r="M19" s="2703"/>
      <c r="N19" s="2703"/>
      <c r="O19" s="2761"/>
      <c r="P19" s="3671"/>
      <c r="Q19" s="1351"/>
      <c r="R19" s="705"/>
      <c r="S19" s="706"/>
      <c r="T19" s="705"/>
      <c r="U19" s="706"/>
      <c r="V19" s="705"/>
      <c r="W19" s="706"/>
      <c r="X19" s="1354"/>
      <c r="Y19" s="3671"/>
      <c r="Z19" s="1355"/>
      <c r="AA19" s="1352">
        <v>1</v>
      </c>
      <c r="AB19" s="1352">
        <v>1</v>
      </c>
      <c r="AC19" s="1352">
        <v>1</v>
      </c>
    </row>
    <row r="20" spans="1:29" ht="151.80000000000001">
      <c r="A20" s="379"/>
      <c r="B20" s="402" t="s">
        <v>1834</v>
      </c>
      <c r="C20" s="1899" t="str">
        <f>IF(B1="工业",估价对象房地状况!G7,估价对象房地状况!C9)</f>
        <v>区域自然环境：北京东升花园中心、东升八家郊野公园；人文环境：北京林业大学、北京农业大学、清华大学；综合评价环境状况较好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09"/>
      <c r="M20" s="2703"/>
      <c r="N20" s="2703"/>
      <c r="O20" s="2761"/>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9"/>
      <c r="M21" s="2703"/>
      <c r="N21" s="2703"/>
      <c r="O21" s="2761"/>
      <c r="P21" s="3671"/>
      <c r="Q21" s="1351"/>
      <c r="R21" s="705"/>
      <c r="S21" s="706"/>
      <c r="T21" s="705"/>
      <c r="U21" s="706"/>
      <c r="V21" s="705"/>
      <c r="W21" s="706"/>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9"/>
      <c r="M22" s="2703"/>
      <c r="N22" s="2703"/>
      <c r="O22" s="2761"/>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9"/>
      <c r="M23" s="2703"/>
      <c r="N23" s="2703"/>
      <c r="O23" s="2761"/>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9"/>
      <c r="M24" s="2703"/>
      <c r="N24" s="2703"/>
      <c r="O24" s="2761"/>
      <c r="P24" s="3671"/>
      <c r="Q24" s="1351">
        <f t="shared" ref="Q24:Q34"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4"/>
      <c r="M25" s="2705"/>
      <c r="N25" s="2705"/>
      <c r="O25" s="2759"/>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09"/>
      <c r="M26" s="2703"/>
      <c r="N26" s="2703"/>
      <c r="O26" s="2761"/>
      <c r="P26" s="372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8"/>
      <c r="M27" s="2710"/>
      <c r="N27" s="2710"/>
      <c r="O27" s="2762"/>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9"/>
      <c r="M28" s="2703"/>
      <c r="N28" s="2703"/>
      <c r="O28" s="2761"/>
      <c r="P28" s="3675"/>
      <c r="Q28" s="1351" t="str">
        <f t="shared" si="11"/>
        <v>物业等级</v>
      </c>
      <c r="R28" s="705" t="s">
        <v>14</v>
      </c>
      <c r="S28" s="706">
        <f t="shared" si="12"/>
        <v>100</v>
      </c>
      <c r="T28" s="705" t="s">
        <v>14</v>
      </c>
      <c r="U28" s="706">
        <f t="shared" si="13"/>
        <v>100</v>
      </c>
      <c r="V28" s="705" t="s">
        <v>14</v>
      </c>
      <c r="W28" s="706">
        <f t="shared" si="14"/>
        <v>100</v>
      </c>
      <c r="X28" s="1354"/>
      <c r="Y28" s="367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9"/>
      <c r="M29" s="2703"/>
      <c r="N29" s="2703"/>
      <c r="O29" s="2761"/>
      <c r="P29" s="3675"/>
      <c r="Q29" s="1351" t="str">
        <f t="shared" si="11"/>
        <v>有无电梯</v>
      </c>
      <c r="R29" s="705" t="s">
        <v>14</v>
      </c>
      <c r="S29" s="706">
        <f t="shared" si="12"/>
        <v>100</v>
      </c>
      <c r="T29" s="705" t="s">
        <v>14</v>
      </c>
      <c r="U29" s="706">
        <f t="shared" si="13"/>
        <v>100</v>
      </c>
      <c r="V29" s="705" t="s">
        <v>14</v>
      </c>
      <c r="W29" s="706">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9"/>
      <c r="M30" s="2703"/>
      <c r="N30" s="2703"/>
      <c r="O30" s="2761"/>
      <c r="P30" s="3675"/>
      <c r="Q30" s="1351" t="str">
        <f t="shared" si="11"/>
        <v>建筑面积</v>
      </c>
      <c r="R30" s="705" t="s">
        <v>14</v>
      </c>
      <c r="S30" s="706" t="e">
        <f t="shared" si="12"/>
        <v>#N/A</v>
      </c>
      <c r="T30" s="705" t="s">
        <v>14</v>
      </c>
      <c r="U30" s="706" t="e">
        <f t="shared" si="13"/>
        <v>#N/A</v>
      </c>
      <c r="V30" s="705" t="s">
        <v>14</v>
      </c>
      <c r="W30" s="706"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4"/>
      <c r="M31" s="2705"/>
      <c r="N31" s="2705"/>
      <c r="O31" s="2759"/>
      <c r="P31" s="3675"/>
      <c r="Q31" s="1342"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9"/>
      <c r="M32" s="2703"/>
      <c r="N32" s="2703"/>
      <c r="O32" s="2761"/>
      <c r="P32" s="3675" t="s">
        <v>1696</v>
      </c>
      <c r="Q32" s="1351">
        <f t="shared" si="11"/>
        <v>111</v>
      </c>
      <c r="R32" s="705" t="s">
        <v>14</v>
      </c>
      <c r="S32" s="706">
        <f t="shared" si="12"/>
        <v>100</v>
      </c>
      <c r="T32" s="705" t="s">
        <v>14</v>
      </c>
      <c r="U32" s="706">
        <f t="shared" si="13"/>
        <v>100</v>
      </c>
      <c r="V32" s="705" t="s">
        <v>14</v>
      </c>
      <c r="W32" s="706">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9"/>
      <c r="M33" s="2703"/>
      <c r="N33" s="2703"/>
      <c r="O33" s="2761"/>
      <c r="P33" s="3675"/>
      <c r="Q33" s="1351">
        <f t="shared" si="11"/>
        <v>111</v>
      </c>
      <c r="R33" s="705" t="s">
        <v>14</v>
      </c>
      <c r="S33" s="706">
        <f t="shared" si="12"/>
        <v>100</v>
      </c>
      <c r="T33" s="705" t="s">
        <v>14</v>
      </c>
      <c r="U33" s="706">
        <f t="shared" si="13"/>
        <v>100</v>
      </c>
      <c r="V33" s="705" t="s">
        <v>14</v>
      </c>
      <c r="W33" s="706">
        <f t="shared" si="14"/>
        <v>100</v>
      </c>
      <c r="X33" s="1354"/>
      <c r="Y33" s="3675"/>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9"/>
      <c r="M34" s="2703"/>
      <c r="N34" s="2703"/>
      <c r="O34" s="2761"/>
      <c r="P34" s="3675"/>
      <c r="Q34" s="1351">
        <f t="shared" si="11"/>
        <v>111</v>
      </c>
      <c r="R34" s="705" t="s">
        <v>14</v>
      </c>
      <c r="S34" s="706">
        <f t="shared" si="12"/>
        <v>100</v>
      </c>
      <c r="T34" s="705" t="s">
        <v>14</v>
      </c>
      <c r="U34" s="706">
        <f t="shared" si="13"/>
        <v>100</v>
      </c>
      <c r="V34" s="705" t="s">
        <v>14</v>
      </c>
      <c r="W34" s="706">
        <f t="shared" si="14"/>
        <v>100</v>
      </c>
      <c r="X34" s="1354"/>
      <c r="Y34" s="3675"/>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11"/>
      <c r="M35" s="2712"/>
      <c r="N35" s="2703"/>
      <c r="O35" s="2712"/>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11"/>
      <c r="M36" s="2712"/>
      <c r="N36" s="2703"/>
      <c r="O36" s="2712"/>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11"/>
      <c r="M37" s="2712"/>
      <c r="N37" s="2712"/>
      <c r="O37" s="2712"/>
      <c r="P37" s="3665" t="str">
        <f>A37</f>
        <v>估价对象XX用房的比较价值（楼面单价，元/平方米）</v>
      </c>
      <c r="Q37" s="3666"/>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51" customFormat="1" ht="13.5" customHeight="1">
      <c r="A42" s="2715"/>
      <c r="B42" s="271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51"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2.2" thickBot="1">
      <c r="A45" s="694" t="s">
        <v>1798</v>
      </c>
      <c r="B45" s="690"/>
      <c r="C45" s="695"/>
      <c r="D45" s="695"/>
      <c r="E45" s="695"/>
      <c r="F45" s="696"/>
      <c r="G45" s="696"/>
      <c r="H45" s="695"/>
      <c r="I45" s="695"/>
      <c r="J45" s="695"/>
      <c r="K45" s="697"/>
      <c r="L45" s="698"/>
      <c r="M45" s="695"/>
      <c r="N45" s="2756"/>
      <c r="O45" s="2756"/>
      <c r="P45" s="2756"/>
      <c r="Q45" s="2726"/>
      <c r="R45" s="2712"/>
      <c r="S45" s="2712"/>
      <c r="T45" s="2712"/>
      <c r="U45" s="2712"/>
      <c r="V45" s="2712"/>
      <c r="W45" s="2712"/>
      <c r="X45" s="2712"/>
      <c r="Y45" s="2712"/>
      <c r="Z45" s="2712"/>
      <c r="AA45" s="2712"/>
      <c r="AB45" s="2712"/>
      <c r="AC45" s="2712"/>
      <c r="AD45" s="2712"/>
    </row>
    <row r="46" spans="1:30" s="457" customFormat="1" ht="14.4">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63"/>
      <c r="Q46" s="2728"/>
      <c r="R46" s="2728"/>
      <c r="S46" s="2728"/>
      <c r="T46" s="2728"/>
      <c r="U46" s="2728"/>
      <c r="V46" s="2728"/>
      <c r="W46" s="2728"/>
      <c r="X46" s="2728"/>
      <c r="Y46" s="2728"/>
      <c r="Z46" s="2728"/>
      <c r="AA46" s="2728"/>
      <c r="AB46" s="2728"/>
      <c r="AC46" s="2728"/>
      <c r="AD46" s="2728"/>
    </row>
    <row r="47" spans="1:30" s="108" customFormat="1">
      <c r="A47" s="458"/>
      <c r="B47" s="459"/>
      <c r="C47" s="1183">
        <v>100</v>
      </c>
      <c r="D47" s="461"/>
      <c r="E47" s="461"/>
      <c r="F47" s="461"/>
      <c r="G47" s="461"/>
      <c r="H47" s="461"/>
      <c r="I47" s="461"/>
      <c r="J47" s="461"/>
      <c r="K47" s="461"/>
      <c r="L47" s="461"/>
      <c r="M47" s="462"/>
      <c r="N47" s="461"/>
      <c r="O47" s="463"/>
      <c r="P47" s="2726"/>
      <c r="Q47" s="2650"/>
      <c r="R47" s="2650"/>
      <c r="S47" s="2650"/>
      <c r="T47" s="2650"/>
      <c r="U47" s="2650"/>
      <c r="V47" s="2650"/>
      <c r="W47" s="2650"/>
      <c r="X47" s="2650"/>
      <c r="Y47" s="2650"/>
      <c r="Z47" s="2650"/>
      <c r="AA47" s="2650"/>
      <c r="AB47" s="2650"/>
      <c r="AC47" s="2650"/>
      <c r="AD47" s="2650"/>
    </row>
    <row r="48" spans="1:30" s="108" customFormat="1" ht="15" thickBot="1">
      <c r="A48" s="464" t="s">
        <v>1716</v>
      </c>
      <c r="B48" s="465"/>
      <c r="C48" s="466"/>
      <c r="D48" s="467"/>
      <c r="E48" s="467"/>
      <c r="F48" s="467"/>
      <c r="G48" s="467"/>
      <c r="H48" s="467"/>
      <c r="I48" s="467"/>
      <c r="J48" s="467"/>
      <c r="K48" s="467"/>
      <c r="L48" s="467"/>
      <c r="M48" s="468"/>
      <c r="N48" s="467"/>
      <c r="O48" s="469"/>
      <c r="P48" s="2726"/>
      <c r="Q48" s="2726"/>
      <c r="R48" s="2650"/>
      <c r="S48" s="2650"/>
      <c r="T48" s="2650"/>
      <c r="U48" s="2650"/>
      <c r="V48" s="2650"/>
      <c r="W48" s="2650"/>
      <c r="X48" s="2650"/>
      <c r="Y48" s="2650"/>
      <c r="Z48" s="2650"/>
      <c r="AA48" s="2650"/>
      <c r="AB48" s="2650"/>
      <c r="AC48" s="2650"/>
      <c r="AD48" s="2650"/>
    </row>
    <row r="49" spans="1:30" s="108" customFormat="1" ht="14.4">
      <c r="A49" s="470" t="s">
        <v>1681</v>
      </c>
      <c r="B49" s="459"/>
      <c r="C49" s="471" t="s">
        <v>1776</v>
      </c>
      <c r="D49" s="472"/>
      <c r="E49" s="472"/>
      <c r="F49" s="472"/>
      <c r="G49" s="472"/>
      <c r="H49" s="472"/>
      <c r="I49" s="472"/>
      <c r="J49" s="472"/>
      <c r="K49" s="472"/>
      <c r="L49" s="473"/>
      <c r="M49" s="474"/>
      <c r="N49" s="2739"/>
      <c r="O49" s="2739"/>
      <c r="P49" s="2764"/>
      <c r="Q49" s="2726"/>
      <c r="R49" s="2650"/>
      <c r="S49" s="2650"/>
      <c r="T49" s="2650"/>
      <c r="U49" s="2650"/>
      <c r="V49" s="2650"/>
      <c r="W49" s="2650"/>
      <c r="X49" s="2650"/>
      <c r="Y49" s="2650"/>
      <c r="Z49" s="2650"/>
      <c r="AA49" s="2650"/>
      <c r="AB49" s="2650"/>
      <c r="AC49" s="2650"/>
      <c r="AD49" s="2650"/>
    </row>
    <row r="50" spans="1:30" s="108" customFormat="1" ht="14.4" thickBot="1">
      <c r="A50" s="470"/>
      <c r="B50" s="459"/>
      <c r="C50" s="587">
        <v>100</v>
      </c>
      <c r="D50" s="461"/>
      <c r="E50" s="461"/>
      <c r="F50" s="461"/>
      <c r="G50" s="461"/>
      <c r="H50" s="461"/>
      <c r="I50" s="461"/>
      <c r="J50" s="461"/>
      <c r="K50" s="461"/>
      <c r="L50" s="461"/>
      <c r="M50" s="463"/>
      <c r="N50" s="2739"/>
      <c r="O50" s="2739"/>
      <c r="P50" s="2726"/>
      <c r="Q50" s="2726"/>
      <c r="R50" s="2650"/>
      <c r="S50" s="2650"/>
      <c r="T50" s="2650"/>
      <c r="U50" s="2650"/>
      <c r="V50" s="2650"/>
      <c r="W50" s="2650"/>
      <c r="X50" s="2650"/>
      <c r="Y50" s="2650"/>
      <c r="Z50" s="2650"/>
      <c r="AA50" s="2650"/>
      <c r="AB50" s="2650"/>
      <c r="AC50" s="2650"/>
      <c r="AD50" s="2650"/>
    </row>
    <row r="51" spans="1:30" ht="14.4">
      <c r="A51" s="476" t="s">
        <v>1719</v>
      </c>
      <c r="B51" s="477" t="s">
        <v>1685</v>
      </c>
      <c r="C51" s="478">
        <f>C9</f>
        <v>0</v>
      </c>
      <c r="D51" s="479"/>
      <c r="E51" s="479"/>
      <c r="F51" s="479"/>
      <c r="G51" s="479"/>
      <c r="H51" s="479"/>
      <c r="I51" s="479"/>
      <c r="J51" s="479"/>
      <c r="K51" s="480"/>
      <c r="L51" s="481"/>
      <c r="M51" s="482"/>
      <c r="N51" s="2740"/>
      <c r="O51" s="2740"/>
      <c r="P51" s="2765"/>
      <c r="Q51" s="2726"/>
      <c r="R51" s="2712"/>
      <c r="S51" s="2712"/>
      <c r="T51" s="2712"/>
      <c r="U51" s="2712"/>
      <c r="V51" s="2712"/>
      <c r="W51" s="2712"/>
      <c r="X51" s="2712"/>
      <c r="Y51" s="2712"/>
      <c r="Z51" s="2712"/>
      <c r="AA51" s="2712"/>
      <c r="AB51" s="2712"/>
      <c r="AC51" s="2712"/>
      <c r="AD51" s="2712"/>
    </row>
    <row r="52" spans="1:30" ht="14.4" thickBot="1">
      <c r="A52" s="483"/>
      <c r="B52" s="484"/>
      <c r="C52" s="485">
        <v>100</v>
      </c>
      <c r="D52" s="485"/>
      <c r="E52" s="485"/>
      <c r="F52" s="485"/>
      <c r="G52" s="485"/>
      <c r="H52" s="485"/>
      <c r="I52" s="485"/>
      <c r="J52" s="485"/>
      <c r="K52" s="485"/>
      <c r="L52" s="485"/>
      <c r="M52" s="486"/>
      <c r="N52" s="2741"/>
      <c r="O52" s="2741"/>
      <c r="P52" s="2765"/>
      <c r="Q52" s="2726"/>
      <c r="R52" s="2712"/>
      <c r="S52" s="2712"/>
      <c r="T52" s="2712"/>
      <c r="U52" s="2712"/>
      <c r="V52" s="2712"/>
      <c r="W52" s="2712"/>
      <c r="X52" s="2712"/>
      <c r="Y52" s="2712"/>
      <c r="Z52" s="2712"/>
      <c r="AA52" s="2712"/>
      <c r="AB52" s="2712"/>
      <c r="AC52" s="2712"/>
      <c r="AD52" s="2712"/>
    </row>
    <row r="53" spans="1:30" ht="29.4" thickTop="1">
      <c r="A53" s="483"/>
      <c r="B53" s="487" t="s">
        <v>1688</v>
      </c>
      <c r="C53" s="532"/>
      <c r="D53" s="532"/>
      <c r="E53" s="532"/>
      <c r="F53" s="532"/>
      <c r="G53" s="532"/>
      <c r="H53" s="532"/>
      <c r="I53" s="532"/>
      <c r="J53" s="532"/>
      <c r="K53" s="533"/>
      <c r="L53" s="534"/>
      <c r="M53" s="535"/>
      <c r="N53" s="2740"/>
      <c r="O53" s="2740"/>
      <c r="P53" s="2765"/>
      <c r="Q53" s="2726"/>
      <c r="R53" s="2712"/>
      <c r="S53" s="2712"/>
      <c r="T53" s="2712"/>
      <c r="U53" s="2712"/>
      <c r="V53" s="2712"/>
      <c r="W53" s="2712"/>
      <c r="X53" s="2712"/>
      <c r="Y53" s="2712"/>
      <c r="Z53" s="2712"/>
      <c r="AA53" s="2712"/>
      <c r="AB53" s="2712"/>
      <c r="AC53" s="2712"/>
      <c r="AD53" s="2712"/>
    </row>
    <row r="54" spans="1:30" ht="14.4" thickBot="1">
      <c r="A54" s="483"/>
      <c r="B54" s="492"/>
      <c r="C54" s="485"/>
      <c r="D54" s="485"/>
      <c r="E54" s="485"/>
      <c r="F54" s="485"/>
      <c r="G54" s="485"/>
      <c r="H54" s="485"/>
      <c r="I54" s="485"/>
      <c r="J54" s="485"/>
      <c r="K54" s="485"/>
      <c r="L54" s="485"/>
      <c r="M54" s="486"/>
      <c r="N54" s="2741"/>
      <c r="O54" s="2741"/>
      <c r="P54" s="2765"/>
      <c r="Q54" s="2726"/>
      <c r="R54" s="2712"/>
      <c r="S54" s="2712"/>
      <c r="T54" s="2712"/>
      <c r="U54" s="2712"/>
      <c r="V54" s="2712"/>
      <c r="W54" s="2712"/>
      <c r="X54" s="2712"/>
      <c r="Y54" s="2712"/>
      <c r="Z54" s="2712"/>
      <c r="AA54" s="2712"/>
      <c r="AB54" s="2712"/>
      <c r="AC54" s="2712"/>
      <c r="AD54" s="2712"/>
    </row>
    <row r="55" spans="1:30" ht="14.4" thickTop="1">
      <c r="A55" s="483"/>
      <c r="B55" s="608">
        <f>B11</f>
        <v>111</v>
      </c>
      <c r="C55" s="498"/>
      <c r="D55" s="498"/>
      <c r="E55" s="498"/>
      <c r="F55" s="498"/>
      <c r="G55" s="498"/>
      <c r="H55" s="498"/>
      <c r="I55" s="498"/>
      <c r="J55" s="498"/>
      <c r="K55" s="499"/>
      <c r="L55" s="500"/>
      <c r="M55" s="501"/>
      <c r="N55" s="2740"/>
      <c r="O55" s="2740"/>
      <c r="P55" s="2765"/>
      <c r="Q55" s="2726"/>
      <c r="R55" s="2712"/>
      <c r="S55" s="2712"/>
      <c r="T55" s="2712"/>
      <c r="U55" s="2712"/>
      <c r="V55" s="2712"/>
      <c r="W55" s="2712"/>
      <c r="X55" s="2712"/>
      <c r="Y55" s="2712"/>
      <c r="Z55" s="2712"/>
      <c r="AA55" s="2712"/>
      <c r="AB55" s="2712"/>
      <c r="AC55" s="2712"/>
      <c r="AD55" s="2712"/>
    </row>
    <row r="56" spans="1:30" ht="14.4" thickBot="1">
      <c r="A56" s="483"/>
      <c r="B56" s="484"/>
      <c r="C56" s="509"/>
      <c r="D56" s="485"/>
      <c r="E56" s="485"/>
      <c r="F56" s="485"/>
      <c r="G56" s="485"/>
      <c r="H56" s="485"/>
      <c r="I56" s="485"/>
      <c r="J56" s="485"/>
      <c r="K56" s="485"/>
      <c r="L56" s="485"/>
      <c r="M56" s="486"/>
      <c r="N56" s="2741"/>
      <c r="O56" s="2741"/>
      <c r="P56" s="2765"/>
      <c r="Q56" s="2726"/>
      <c r="R56" s="2712"/>
      <c r="S56" s="2712"/>
      <c r="T56" s="2712"/>
      <c r="U56" s="2712"/>
      <c r="V56" s="2712"/>
      <c r="W56" s="2712"/>
      <c r="X56" s="2712"/>
      <c r="Y56" s="2712"/>
      <c r="Z56" s="2712"/>
      <c r="AA56" s="2712"/>
      <c r="AB56" s="2712"/>
      <c r="AC56" s="2712"/>
      <c r="AD56" s="2712"/>
    </row>
    <row r="57" spans="1:30" s="422" customFormat="1" ht="14.4" thickTop="1">
      <c r="A57" s="502"/>
      <c r="B57" s="487">
        <f>B12</f>
        <v>111</v>
      </c>
      <c r="C57" s="498"/>
      <c r="D57" s="498"/>
      <c r="E57" s="498"/>
      <c r="F57" s="498"/>
      <c r="G57" s="503"/>
      <c r="H57" s="504"/>
      <c r="I57" s="504"/>
      <c r="J57" s="504"/>
      <c r="K57" s="504"/>
      <c r="L57" s="505"/>
      <c r="M57" s="506"/>
      <c r="N57" s="2742"/>
      <c r="O57" s="2742"/>
      <c r="P57" s="2766"/>
      <c r="Q57" s="2733"/>
      <c r="R57" s="2734"/>
      <c r="S57" s="2734"/>
      <c r="T57" s="2734"/>
      <c r="U57" s="2734"/>
      <c r="V57" s="2734"/>
      <c r="W57" s="2734"/>
      <c r="X57" s="2734"/>
      <c r="Y57" s="2734"/>
      <c r="Z57" s="2734"/>
      <c r="AA57" s="2734"/>
      <c r="AB57" s="2734"/>
      <c r="AC57" s="2734"/>
      <c r="AD57" s="2734"/>
    </row>
    <row r="58" spans="1:30" s="422" customFormat="1" ht="14.4" thickBot="1">
      <c r="A58" s="502"/>
      <c r="B58" s="492"/>
      <c r="C58" s="509"/>
      <c r="D58" s="485"/>
      <c r="E58" s="485"/>
      <c r="F58" s="485"/>
      <c r="G58" s="485"/>
      <c r="H58" s="485"/>
      <c r="I58" s="485"/>
      <c r="J58" s="485"/>
      <c r="K58" s="485"/>
      <c r="L58" s="485"/>
      <c r="M58" s="486"/>
      <c r="N58" s="2741"/>
      <c r="O58" s="2741"/>
      <c r="P58" s="2766"/>
      <c r="Q58" s="2733"/>
      <c r="R58" s="2734"/>
      <c r="S58" s="2734"/>
      <c r="T58" s="2734"/>
      <c r="U58" s="2734"/>
      <c r="V58" s="2734"/>
      <c r="W58" s="2734"/>
      <c r="X58" s="2734"/>
      <c r="Y58" s="2734"/>
      <c r="Z58" s="2734"/>
      <c r="AA58" s="2734"/>
      <c r="AB58" s="2734"/>
      <c r="AC58" s="2734"/>
      <c r="AD58" s="2734"/>
    </row>
    <row r="59" spans="1:30" s="422" customFormat="1" ht="14.4" thickTop="1">
      <c r="A59" s="502"/>
      <c r="B59" s="487">
        <f>B13</f>
        <v>111</v>
      </c>
      <c r="C59" s="498"/>
      <c r="D59" s="498"/>
      <c r="E59" s="498"/>
      <c r="F59" s="498"/>
      <c r="G59" s="503"/>
      <c r="H59" s="504"/>
      <c r="I59" s="504"/>
      <c r="J59" s="504"/>
      <c r="K59" s="504"/>
      <c r="L59" s="505"/>
      <c r="M59" s="506"/>
      <c r="N59" s="2742"/>
      <c r="O59" s="2742"/>
      <c r="P59" s="2710"/>
      <c r="Q59" s="2736"/>
      <c r="R59" s="2734"/>
      <c r="S59" s="2734"/>
      <c r="T59" s="2734"/>
      <c r="U59" s="2734"/>
      <c r="V59" s="2734"/>
      <c r="W59" s="2734"/>
      <c r="X59" s="2734"/>
      <c r="Y59" s="2734"/>
      <c r="Z59" s="2734"/>
      <c r="AA59" s="2734"/>
      <c r="AB59" s="2734"/>
      <c r="AC59" s="2734"/>
      <c r="AD59" s="2734"/>
    </row>
    <row r="60" spans="1:30" s="422" customFormat="1" ht="14.4" thickBot="1">
      <c r="A60" s="502"/>
      <c r="B60" s="492"/>
      <c r="C60" s="509"/>
      <c r="D60" s="509"/>
      <c r="E60" s="509"/>
      <c r="F60" s="509"/>
      <c r="G60" s="509"/>
      <c r="H60" s="511"/>
      <c r="I60" s="511"/>
      <c r="J60" s="511"/>
      <c r="K60" s="511"/>
      <c r="L60" s="511"/>
      <c r="M60" s="512"/>
      <c r="N60" s="2742"/>
      <c r="O60" s="2742"/>
      <c r="P60" s="2766"/>
      <c r="Q60" s="2733"/>
      <c r="R60" s="2734"/>
      <c r="S60" s="2734"/>
      <c r="T60" s="2734"/>
      <c r="U60" s="2734"/>
      <c r="V60" s="2734"/>
      <c r="W60" s="2734"/>
      <c r="X60" s="2734"/>
      <c r="Y60" s="2734"/>
      <c r="Z60" s="2734"/>
      <c r="AA60" s="2734"/>
      <c r="AB60" s="2734"/>
      <c r="AC60" s="2734"/>
      <c r="AD60" s="273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0"/>
      <c r="O61" s="2740"/>
      <c r="P61" s="2767"/>
      <c r="Q61" s="2726"/>
      <c r="R61" s="2712"/>
      <c r="S61" s="2712"/>
      <c r="T61" s="2712"/>
      <c r="U61" s="2712"/>
      <c r="V61" s="2712"/>
      <c r="W61" s="2712"/>
      <c r="X61" s="2712"/>
      <c r="Y61" s="2712"/>
      <c r="Z61" s="2712"/>
      <c r="AA61" s="2712"/>
      <c r="AB61" s="2712"/>
      <c r="AC61" s="2712"/>
      <c r="AD61" s="271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1"/>
      <c r="O62" s="2741"/>
      <c r="P62" s="2765"/>
      <c r="Q62" s="2726"/>
      <c r="R62" s="2712"/>
      <c r="S62" s="2712"/>
      <c r="T62" s="2712"/>
      <c r="U62" s="2712"/>
      <c r="V62" s="2712"/>
      <c r="W62" s="2712"/>
      <c r="X62" s="2712"/>
      <c r="Y62" s="2712"/>
      <c r="Z62" s="2712"/>
      <c r="AA62" s="2712"/>
      <c r="AB62" s="2712"/>
      <c r="AC62" s="2712"/>
      <c r="AD62" s="2712"/>
    </row>
    <row r="63" spans="1:30" ht="29.4" thickTop="1">
      <c r="A63" s="483"/>
      <c r="B63" s="487" t="s">
        <v>1863</v>
      </c>
      <c r="C63" s="527" t="s">
        <v>1721</v>
      </c>
      <c r="D63" s="527" t="s">
        <v>1722</v>
      </c>
      <c r="E63" s="527" t="s">
        <v>1723</v>
      </c>
      <c r="F63" s="527" t="s">
        <v>1724</v>
      </c>
      <c r="G63" s="527" t="s">
        <v>1725</v>
      </c>
      <c r="H63" s="488"/>
      <c r="I63" s="488"/>
      <c r="J63" s="488"/>
      <c r="K63" s="489"/>
      <c r="L63" s="490"/>
      <c r="M63" s="491"/>
      <c r="N63" s="2740"/>
      <c r="O63" s="2740"/>
      <c r="P63" s="2765"/>
      <c r="Q63" s="2726"/>
      <c r="R63" s="2712"/>
      <c r="S63" s="2712"/>
      <c r="T63" s="2712"/>
      <c r="U63" s="2712"/>
      <c r="V63" s="2712"/>
      <c r="W63" s="2712"/>
      <c r="X63" s="2712"/>
      <c r="Y63" s="2712"/>
      <c r="Z63" s="2712"/>
      <c r="AA63" s="2712"/>
      <c r="AB63" s="2712"/>
      <c r="AC63" s="2712"/>
      <c r="AD63" s="271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1"/>
      <c r="O64" s="2741"/>
      <c r="P64" s="2765"/>
      <c r="Q64" s="2726"/>
      <c r="R64" s="2712"/>
      <c r="S64" s="2712"/>
      <c r="T64" s="2712"/>
      <c r="U64" s="2712"/>
      <c r="V64" s="2712"/>
      <c r="W64" s="2712"/>
      <c r="X64" s="2712"/>
      <c r="Y64" s="2712"/>
      <c r="Z64" s="2712"/>
      <c r="AA64" s="2712"/>
      <c r="AB64" s="2712"/>
      <c r="AC64" s="2712"/>
      <c r="AD64" s="2712"/>
    </row>
    <row r="65" spans="1:30" ht="15" thickTop="1">
      <c r="A65" s="483"/>
      <c r="B65" s="495" t="s">
        <v>1813</v>
      </c>
      <c r="C65" s="608" t="s">
        <v>1799</v>
      </c>
      <c r="D65" s="608" t="s">
        <v>1800</v>
      </c>
      <c r="E65" s="608" t="s">
        <v>1801</v>
      </c>
      <c r="F65" s="608" t="s">
        <v>1802</v>
      </c>
      <c r="G65" s="608" t="s">
        <v>1803</v>
      </c>
      <c r="H65" s="488"/>
      <c r="I65" s="488"/>
      <c r="J65" s="488"/>
      <c r="K65" s="488"/>
      <c r="L65" s="488"/>
      <c r="M65" s="1129"/>
      <c r="N65" s="2741"/>
      <c r="O65" s="2741"/>
      <c r="P65" s="2765"/>
      <c r="Q65" s="2726"/>
      <c r="R65" s="2712"/>
      <c r="S65" s="2712"/>
      <c r="T65" s="2712"/>
      <c r="U65" s="2712"/>
      <c r="V65" s="2712"/>
      <c r="W65" s="2712"/>
      <c r="X65" s="2712"/>
      <c r="Y65" s="2712"/>
      <c r="Z65" s="2712"/>
      <c r="AA65" s="2712"/>
      <c r="AB65" s="2712"/>
      <c r="AC65" s="2712"/>
      <c r="AD65" s="271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1"/>
      <c r="O66" s="2741"/>
      <c r="P66" s="2765"/>
      <c r="Q66" s="2726"/>
      <c r="R66" s="2712"/>
      <c r="S66" s="2712"/>
      <c r="T66" s="2712"/>
      <c r="U66" s="2712"/>
      <c r="V66" s="2712"/>
      <c r="W66" s="2712"/>
      <c r="X66" s="2712"/>
      <c r="Y66" s="2712"/>
      <c r="Z66" s="2712"/>
      <c r="AA66" s="2712"/>
      <c r="AB66" s="2712"/>
      <c r="AC66" s="2712"/>
      <c r="AD66" s="2712"/>
    </row>
    <row r="67" spans="1:30" ht="15" thickTop="1">
      <c r="A67" s="483"/>
      <c r="B67" s="487" t="s">
        <v>1733</v>
      </c>
      <c r="C67" s="527" t="s">
        <v>1721</v>
      </c>
      <c r="D67" s="527" t="s">
        <v>1722</v>
      </c>
      <c r="E67" s="527" t="s">
        <v>1723</v>
      </c>
      <c r="F67" s="527" t="s">
        <v>1724</v>
      </c>
      <c r="G67" s="527" t="s">
        <v>1725</v>
      </c>
      <c r="H67" s="488"/>
      <c r="I67" s="488"/>
      <c r="J67" s="488"/>
      <c r="K67" s="489"/>
      <c r="L67" s="490"/>
      <c r="M67" s="491"/>
      <c r="N67" s="2740"/>
      <c r="O67" s="2740"/>
      <c r="P67" s="2765"/>
      <c r="Q67" s="2726"/>
      <c r="R67" s="2712"/>
      <c r="S67" s="2712"/>
      <c r="T67" s="2712"/>
      <c r="U67" s="2712"/>
      <c r="V67" s="2712"/>
      <c r="W67" s="2712"/>
      <c r="X67" s="2712"/>
      <c r="Y67" s="2712"/>
      <c r="Z67" s="2712"/>
      <c r="AA67" s="2712"/>
      <c r="AB67" s="2712"/>
      <c r="AC67" s="2712"/>
      <c r="AD67" s="271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1"/>
      <c r="O68" s="2741"/>
      <c r="P68" s="2765"/>
      <c r="Q68" s="2726"/>
      <c r="R68" s="2712"/>
      <c r="S68" s="2712"/>
      <c r="T68" s="2712"/>
      <c r="U68" s="2712"/>
      <c r="V68" s="2712"/>
      <c r="W68" s="2712"/>
      <c r="X68" s="2712"/>
      <c r="Y68" s="2712"/>
      <c r="Z68" s="2712"/>
      <c r="AA68" s="2712"/>
      <c r="AB68" s="2712"/>
      <c r="AC68" s="2712"/>
      <c r="AD68" s="2712"/>
    </row>
    <row r="69" spans="1:30" ht="15" thickTop="1">
      <c r="A69" s="483"/>
      <c r="B69" s="487" t="s">
        <v>1852</v>
      </c>
      <c r="C69" s="503"/>
      <c r="D69" s="503"/>
      <c r="E69" s="503"/>
      <c r="F69" s="503"/>
      <c r="G69" s="503"/>
      <c r="H69" s="532"/>
      <c r="I69" s="532"/>
      <c r="J69" s="532"/>
      <c r="K69" s="533"/>
      <c r="L69" s="534"/>
      <c r="M69" s="535"/>
      <c r="N69" s="2740"/>
      <c r="O69" s="2740"/>
      <c r="P69" s="2765"/>
      <c r="Q69" s="2726"/>
      <c r="R69" s="2712"/>
      <c r="S69" s="2712"/>
      <c r="T69" s="2712"/>
      <c r="U69" s="2712"/>
      <c r="V69" s="2712"/>
      <c r="W69" s="2712"/>
      <c r="X69" s="2712"/>
      <c r="Y69" s="2712"/>
      <c r="Z69" s="2712"/>
      <c r="AA69" s="2712"/>
      <c r="AB69" s="2712"/>
      <c r="AC69" s="2712"/>
      <c r="AD69" s="2712"/>
    </row>
    <row r="70" spans="1:30" ht="14.4" thickBot="1">
      <c r="A70" s="483"/>
      <c r="B70" s="492"/>
      <c r="C70" s="493">
        <v>100</v>
      </c>
      <c r="D70" s="493">
        <f>C70-$K22</f>
        <v>100</v>
      </c>
      <c r="E70" s="493"/>
      <c r="F70" s="493"/>
      <c r="G70" s="493"/>
      <c r="H70" s="493"/>
      <c r="I70" s="493"/>
      <c r="J70" s="493"/>
      <c r="K70" s="493"/>
      <c r="L70" s="493"/>
      <c r="M70" s="494"/>
      <c r="N70" s="2741"/>
      <c r="O70" s="2741"/>
      <c r="P70" s="2765"/>
      <c r="Q70" s="2726"/>
      <c r="R70" s="2712"/>
      <c r="S70" s="2712"/>
      <c r="T70" s="2712"/>
      <c r="U70" s="2712"/>
      <c r="V70" s="2712"/>
      <c r="W70" s="2712"/>
      <c r="X70" s="2712"/>
      <c r="Y70" s="2712"/>
      <c r="Z70" s="2712"/>
      <c r="AA70" s="2712"/>
      <c r="AB70" s="2712"/>
      <c r="AC70" s="2712"/>
      <c r="AD70" s="2712"/>
    </row>
    <row r="71" spans="1:30" s="108" customFormat="1" ht="14.4" thickTop="1">
      <c r="A71" s="528"/>
      <c r="B71" s="487">
        <f>B23</f>
        <v>111</v>
      </c>
      <c r="C71" s="498"/>
      <c r="D71" s="498"/>
      <c r="E71" s="498"/>
      <c r="F71" s="498"/>
      <c r="G71" s="503"/>
      <c r="H71" s="503"/>
      <c r="I71" s="503"/>
      <c r="J71" s="503"/>
      <c r="K71" s="503"/>
      <c r="L71" s="529"/>
      <c r="M71" s="530"/>
      <c r="N71" s="2739"/>
      <c r="O71" s="2739"/>
      <c r="P71" s="2765"/>
      <c r="Q71" s="2726"/>
      <c r="R71" s="2650"/>
      <c r="S71" s="2650"/>
      <c r="T71" s="2650"/>
      <c r="U71" s="2650"/>
      <c r="V71" s="2650"/>
      <c r="W71" s="2650"/>
      <c r="X71" s="2650"/>
      <c r="Y71" s="2650"/>
      <c r="Z71" s="2650"/>
      <c r="AA71" s="2650"/>
      <c r="AB71" s="2650"/>
      <c r="AC71" s="2650"/>
      <c r="AD71" s="2650"/>
    </row>
    <row r="72" spans="1:30" s="108" customFormat="1" ht="14.4" thickBot="1">
      <c r="A72" s="528"/>
      <c r="B72" s="492"/>
      <c r="C72" s="509"/>
      <c r="D72" s="485"/>
      <c r="E72" s="485"/>
      <c r="F72" s="485"/>
      <c r="G72" s="485"/>
      <c r="H72" s="485"/>
      <c r="I72" s="485"/>
      <c r="J72" s="485"/>
      <c r="K72" s="485"/>
      <c r="L72" s="485"/>
      <c r="M72" s="486"/>
      <c r="N72" s="2741"/>
      <c r="O72" s="2741"/>
      <c r="P72" s="2765"/>
      <c r="Q72" s="2726"/>
      <c r="R72" s="2650"/>
      <c r="S72" s="2650"/>
      <c r="T72" s="2650"/>
      <c r="U72" s="2650"/>
      <c r="V72" s="2650"/>
      <c r="W72" s="2650"/>
      <c r="X72" s="2650"/>
      <c r="Y72" s="2650"/>
      <c r="Z72" s="2650"/>
      <c r="AA72" s="2650"/>
      <c r="AB72" s="2650"/>
      <c r="AC72" s="2650"/>
      <c r="AD72" s="2650"/>
    </row>
    <row r="73" spans="1:30" s="108" customFormat="1" ht="14.4" thickTop="1">
      <c r="A73" s="528"/>
      <c r="B73" s="487">
        <f>B24</f>
        <v>111</v>
      </c>
      <c r="C73" s="498"/>
      <c r="D73" s="498"/>
      <c r="E73" s="498"/>
      <c r="F73" s="498"/>
      <c r="G73" s="503"/>
      <c r="H73" s="503"/>
      <c r="I73" s="503"/>
      <c r="J73" s="503"/>
      <c r="K73" s="503"/>
      <c r="L73" s="503"/>
      <c r="M73" s="530"/>
      <c r="N73" s="2739"/>
      <c r="O73" s="2739"/>
      <c r="P73" s="2765"/>
      <c r="Q73" s="2726"/>
      <c r="R73" s="2650"/>
      <c r="S73" s="2650"/>
      <c r="T73" s="2650"/>
      <c r="U73" s="2650"/>
      <c r="V73" s="2650"/>
      <c r="W73" s="2650"/>
      <c r="X73" s="2650"/>
      <c r="Y73" s="2650"/>
      <c r="Z73" s="2650"/>
      <c r="AA73" s="2650"/>
      <c r="AB73" s="2650"/>
      <c r="AC73" s="2650"/>
      <c r="AD73" s="2650"/>
    </row>
    <row r="74" spans="1:30" s="108" customFormat="1" ht="14.4" thickBot="1">
      <c r="A74" s="528"/>
      <c r="B74" s="492"/>
      <c r="C74" s="509"/>
      <c r="D74" s="485"/>
      <c r="E74" s="485"/>
      <c r="F74" s="485"/>
      <c r="G74" s="485"/>
      <c r="H74" s="485"/>
      <c r="I74" s="485"/>
      <c r="J74" s="485"/>
      <c r="K74" s="485"/>
      <c r="L74" s="485"/>
      <c r="M74" s="486"/>
      <c r="N74" s="2741"/>
      <c r="O74" s="2741"/>
      <c r="P74" s="2765"/>
      <c r="Q74" s="2726"/>
      <c r="R74" s="2650"/>
      <c r="S74" s="2650"/>
      <c r="T74" s="2650"/>
      <c r="U74" s="2650"/>
      <c r="V74" s="2650"/>
      <c r="W74" s="2650"/>
      <c r="X74" s="2650"/>
      <c r="Y74" s="2650"/>
      <c r="Z74" s="2650"/>
      <c r="AA74" s="2650"/>
      <c r="AB74" s="2650"/>
      <c r="AC74" s="2650"/>
      <c r="AD74" s="2650"/>
    </row>
    <row r="75" spans="1:30" s="422" customFormat="1" ht="14.4" thickTop="1">
      <c r="A75" s="502"/>
      <c r="B75" s="487">
        <f>B25</f>
        <v>111</v>
      </c>
      <c r="C75" s="498"/>
      <c r="D75" s="498"/>
      <c r="E75" s="498"/>
      <c r="F75" s="498"/>
      <c r="G75" s="503"/>
      <c r="H75" s="504"/>
      <c r="I75" s="504"/>
      <c r="J75" s="504"/>
      <c r="K75" s="504"/>
      <c r="L75" s="505"/>
      <c r="M75" s="506"/>
      <c r="N75" s="2742"/>
      <c r="O75" s="2742"/>
      <c r="P75" s="2766"/>
      <c r="Q75" s="2733"/>
      <c r="R75" s="2734"/>
      <c r="S75" s="2734"/>
      <c r="T75" s="2734"/>
      <c r="U75" s="2734"/>
      <c r="V75" s="2734"/>
      <c r="W75" s="2734"/>
      <c r="X75" s="2734"/>
      <c r="Y75" s="2734"/>
      <c r="Z75" s="2734"/>
      <c r="AA75" s="2734"/>
      <c r="AB75" s="2734"/>
      <c r="AC75" s="2734"/>
      <c r="AD75" s="2734"/>
    </row>
    <row r="76" spans="1:30" s="422" customFormat="1" ht="14.4" thickBot="1">
      <c r="A76" s="502"/>
      <c r="B76" s="492"/>
      <c r="C76" s="509"/>
      <c r="D76" s="509"/>
      <c r="E76" s="509"/>
      <c r="F76" s="509"/>
      <c r="G76" s="485"/>
      <c r="H76" s="485"/>
      <c r="I76" s="485"/>
      <c r="J76" s="485"/>
      <c r="K76" s="485"/>
      <c r="L76" s="485"/>
      <c r="M76" s="486"/>
      <c r="N76" s="2742"/>
      <c r="O76" s="2742"/>
      <c r="P76" s="2766"/>
      <c r="Q76" s="2733"/>
      <c r="R76" s="2734"/>
      <c r="S76" s="2734"/>
      <c r="T76" s="2734"/>
      <c r="U76" s="2734"/>
      <c r="V76" s="2734"/>
      <c r="W76" s="2734"/>
      <c r="X76" s="2734"/>
      <c r="Y76" s="2734"/>
      <c r="Z76" s="2734"/>
      <c r="AA76" s="2734"/>
      <c r="AB76" s="2734"/>
      <c r="AC76" s="2734"/>
      <c r="AD76" s="2734"/>
    </row>
    <row r="77" spans="1:30" ht="15" thickTop="1">
      <c r="A77" s="476" t="s">
        <v>1694</v>
      </c>
      <c r="B77" s="477" t="s">
        <v>1740</v>
      </c>
      <c r="C77" s="503"/>
      <c r="D77" s="503"/>
      <c r="E77" s="479"/>
      <c r="F77" s="479"/>
      <c r="G77" s="479"/>
      <c r="H77" s="479"/>
      <c r="I77" s="479"/>
      <c r="J77" s="479"/>
      <c r="K77" s="480"/>
      <c r="L77" s="481"/>
      <c r="M77" s="482"/>
      <c r="N77" s="2740"/>
      <c r="O77" s="2740"/>
      <c r="P77" s="2765"/>
      <c r="Q77" s="2726"/>
      <c r="R77" s="2712"/>
      <c r="S77" s="2712"/>
      <c r="T77" s="2712"/>
      <c r="U77" s="2712"/>
      <c r="V77" s="2712"/>
      <c r="W77" s="2712"/>
      <c r="X77" s="2712"/>
      <c r="Y77" s="2712"/>
      <c r="Z77" s="2712"/>
      <c r="AA77" s="2712"/>
      <c r="AB77" s="2712"/>
      <c r="AC77" s="2712"/>
      <c r="AD77" s="271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1"/>
      <c r="O78" s="2741"/>
      <c r="P78" s="2765"/>
      <c r="Q78" s="2726"/>
      <c r="R78" s="2712"/>
      <c r="S78" s="2712"/>
      <c r="T78" s="2712"/>
      <c r="U78" s="2712"/>
      <c r="V78" s="2712"/>
      <c r="W78" s="2712"/>
      <c r="X78" s="2712"/>
      <c r="Y78" s="2712"/>
      <c r="Z78" s="2712"/>
      <c r="AA78" s="2712"/>
      <c r="AB78" s="2712"/>
      <c r="AC78" s="2712"/>
      <c r="AD78" s="271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9"/>
      <c r="O79" s="2739"/>
      <c r="P79" s="2765"/>
      <c r="Q79" s="2726"/>
      <c r="R79" s="2712"/>
      <c r="S79" s="2712"/>
      <c r="T79" s="2712"/>
      <c r="U79" s="2712"/>
      <c r="V79" s="2712"/>
      <c r="W79" s="2712"/>
      <c r="X79" s="2712"/>
      <c r="Y79" s="2712"/>
      <c r="Z79" s="2712"/>
      <c r="AA79" s="2712"/>
      <c r="AB79" s="2712"/>
      <c r="AC79" s="2712"/>
      <c r="AD79" s="2712"/>
    </row>
    <row r="80" spans="1:30">
      <c r="A80" s="483"/>
      <c r="B80" s="495"/>
      <c r="C80" s="552">
        <v>0.5</v>
      </c>
      <c r="D80" s="552">
        <v>0.6</v>
      </c>
      <c r="E80" s="552">
        <v>0.7</v>
      </c>
      <c r="F80" s="552">
        <v>0.8</v>
      </c>
      <c r="G80" s="552">
        <v>0.9</v>
      </c>
      <c r="H80" s="552">
        <v>1.0001</v>
      </c>
      <c r="I80" s="608"/>
      <c r="J80" s="608"/>
      <c r="K80" s="616"/>
      <c r="L80" s="617"/>
      <c r="M80" s="618"/>
      <c r="N80" s="2739"/>
      <c r="O80" s="2739"/>
      <c r="P80" s="2765"/>
      <c r="Q80" s="2726"/>
      <c r="R80" s="2712"/>
      <c r="S80" s="2712"/>
      <c r="T80" s="2712"/>
      <c r="U80" s="2712"/>
      <c r="V80" s="2712"/>
      <c r="W80" s="2712"/>
      <c r="X80" s="2712"/>
      <c r="Y80" s="2712"/>
      <c r="Z80" s="2712"/>
      <c r="AA80" s="2712"/>
      <c r="AB80" s="2712"/>
      <c r="AC80" s="2712"/>
      <c r="AD80" s="271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8"/>
      <c r="B82" s="495" t="s">
        <v>1856</v>
      </c>
      <c r="C82" s="503"/>
      <c r="D82" s="503"/>
      <c r="E82" s="532"/>
      <c r="F82" s="532"/>
      <c r="G82" s="532"/>
      <c r="H82" s="532"/>
      <c r="I82" s="532"/>
      <c r="J82" s="532"/>
      <c r="K82" s="533"/>
      <c r="L82" s="534"/>
      <c r="M82" s="535"/>
      <c r="N82" s="2740"/>
      <c r="O82" s="2740"/>
      <c r="P82" s="2765"/>
      <c r="Q82" s="2726"/>
      <c r="R82" s="2712"/>
      <c r="S82" s="2712"/>
      <c r="T82" s="2712"/>
      <c r="U82" s="2712"/>
      <c r="V82" s="2712"/>
      <c r="W82" s="2712"/>
      <c r="X82" s="2712"/>
      <c r="Y82" s="2712"/>
      <c r="Z82" s="2712"/>
      <c r="AA82" s="2712"/>
      <c r="AB82" s="2712"/>
      <c r="AC82" s="2712"/>
      <c r="AD82" s="271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8"/>
      <c r="B84" s="487" t="s">
        <v>1864</v>
      </c>
      <c r="C84" s="503"/>
      <c r="D84" s="503"/>
      <c r="E84" s="503"/>
      <c r="F84" s="503"/>
      <c r="G84" s="503"/>
      <c r="H84" s="503"/>
      <c r="I84" s="532"/>
      <c r="J84" s="532"/>
      <c r="K84" s="533"/>
      <c r="L84" s="534"/>
      <c r="M84" s="535"/>
      <c r="N84" s="2740"/>
      <c r="O84" s="2740"/>
      <c r="P84" s="2765"/>
      <c r="Q84" s="2726"/>
      <c r="R84" s="2712"/>
      <c r="S84" s="2712"/>
      <c r="T84" s="2712"/>
      <c r="U84" s="2712"/>
      <c r="V84" s="2712"/>
      <c r="W84" s="2712"/>
      <c r="X84" s="2712"/>
      <c r="Y84" s="2712"/>
      <c r="Z84" s="2712"/>
      <c r="AA84" s="2712"/>
      <c r="AB84" s="2712"/>
      <c r="AC84" s="2712"/>
      <c r="AD84" s="271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8"/>
      <c r="B87" s="495"/>
      <c r="C87" s="544"/>
      <c r="D87" s="544"/>
      <c r="E87" s="544"/>
      <c r="F87" s="544"/>
      <c r="G87" s="544"/>
      <c r="H87" s="544"/>
      <c r="I87" s="544"/>
      <c r="J87" s="545"/>
      <c r="K87" s="545"/>
      <c r="L87" s="546"/>
      <c r="M87" s="547"/>
      <c r="N87" s="2740"/>
      <c r="O87" s="2740"/>
      <c r="P87" s="2765"/>
      <c r="Q87" s="2726"/>
      <c r="R87" s="2712"/>
      <c r="S87" s="2712"/>
      <c r="T87" s="2712"/>
      <c r="U87" s="2712"/>
      <c r="V87" s="2712"/>
      <c r="W87" s="2712"/>
      <c r="X87" s="2712"/>
      <c r="Y87" s="2712"/>
      <c r="Z87" s="2712"/>
      <c r="AA87" s="2712"/>
      <c r="AB87" s="2712"/>
      <c r="AC87" s="2712"/>
      <c r="AD87" s="2712"/>
    </row>
    <row r="88" spans="1:30" ht="14.4" thickBot="1">
      <c r="A88" s="483"/>
      <c r="B88" s="492"/>
      <c r="C88" s="509"/>
      <c r="D88" s="485"/>
      <c r="E88" s="485"/>
      <c r="F88" s="485"/>
      <c r="G88" s="485"/>
      <c r="H88" s="485"/>
      <c r="I88" s="485"/>
      <c r="J88" s="485"/>
      <c r="K88" s="485"/>
      <c r="L88" s="485"/>
      <c r="M88" s="485"/>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2"/>
      <c r="B89" s="487" t="s">
        <v>1866</v>
      </c>
      <c r="C89" s="503"/>
      <c r="D89" s="503"/>
      <c r="E89" s="503"/>
      <c r="F89" s="503"/>
      <c r="G89" s="503"/>
      <c r="H89" s="503"/>
      <c r="I89" s="503"/>
      <c r="J89" s="503"/>
      <c r="K89" s="503"/>
      <c r="L89" s="503"/>
      <c r="M89" s="530"/>
      <c r="N89" s="2742"/>
      <c r="O89" s="2742"/>
      <c r="P89" s="2766"/>
      <c r="Q89" s="2733"/>
      <c r="R89" s="2734"/>
      <c r="S89" s="2734"/>
      <c r="T89" s="2734"/>
      <c r="U89" s="2734"/>
      <c r="V89" s="2734"/>
      <c r="W89" s="2734"/>
      <c r="X89" s="2734"/>
      <c r="Y89" s="2734"/>
      <c r="Z89" s="2734"/>
      <c r="AA89" s="2734"/>
      <c r="AB89" s="2734"/>
      <c r="AC89" s="2734"/>
      <c r="AD89" s="2734"/>
    </row>
    <row r="90" spans="1:30" s="422" customFormat="1" ht="14.4" thickBot="1">
      <c r="A90" s="502"/>
      <c r="B90" s="492"/>
      <c r="C90" s="509"/>
      <c r="D90" s="485"/>
      <c r="E90" s="485"/>
      <c r="F90" s="485"/>
      <c r="G90" s="485"/>
      <c r="H90" s="485"/>
      <c r="I90" s="485"/>
      <c r="J90" s="485"/>
      <c r="K90" s="485"/>
      <c r="L90" s="485"/>
      <c r="M90" s="486"/>
      <c r="N90" s="2742"/>
      <c r="O90" s="2742"/>
      <c r="P90" s="2766"/>
      <c r="Q90" s="2733"/>
      <c r="R90" s="2734"/>
      <c r="S90" s="2734"/>
      <c r="T90" s="2734"/>
      <c r="U90" s="2734"/>
      <c r="V90" s="2734"/>
      <c r="W90" s="2734"/>
      <c r="X90" s="2734"/>
      <c r="Y90" s="2734"/>
      <c r="Z90" s="2734"/>
      <c r="AA90" s="2734"/>
      <c r="AB90" s="2734"/>
      <c r="AC90" s="2734"/>
      <c r="AD90" s="2734"/>
    </row>
    <row r="91" spans="1:30" ht="14.4" thickTop="1">
      <c r="A91" s="548"/>
      <c r="B91" s="487">
        <f>B32</f>
        <v>111</v>
      </c>
      <c r="C91" s="498"/>
      <c r="D91" s="498"/>
      <c r="E91" s="498"/>
      <c r="F91" s="498"/>
      <c r="G91" s="503"/>
      <c r="H91" s="504"/>
      <c r="I91" s="504"/>
      <c r="J91" s="504"/>
      <c r="K91" s="504"/>
      <c r="L91" s="505"/>
      <c r="M91" s="506"/>
      <c r="N91" s="2740"/>
      <c r="O91" s="2740"/>
      <c r="P91" s="2765"/>
      <c r="Q91" s="2726"/>
      <c r="R91" s="2712"/>
      <c r="S91" s="2712"/>
      <c r="T91" s="2712"/>
      <c r="U91" s="2712"/>
      <c r="V91" s="2712"/>
      <c r="W91" s="2712"/>
      <c r="X91" s="2712"/>
      <c r="Y91" s="2712"/>
      <c r="Z91" s="2712"/>
      <c r="AA91" s="2712"/>
      <c r="AB91" s="2712"/>
      <c r="AC91" s="2712"/>
      <c r="AD91" s="2712"/>
    </row>
    <row r="92" spans="1:30" ht="14.4" thickBot="1">
      <c r="A92" s="483"/>
      <c r="B92" s="492"/>
      <c r="C92" s="509"/>
      <c r="D92" s="485"/>
      <c r="E92" s="485"/>
      <c r="F92" s="485"/>
      <c r="G92" s="509"/>
      <c r="H92" s="511"/>
      <c r="I92" s="511"/>
      <c r="J92" s="511"/>
      <c r="K92" s="511"/>
      <c r="L92" s="511"/>
      <c r="M92" s="512"/>
      <c r="N92" s="2741"/>
      <c r="O92" s="2741"/>
      <c r="P92" s="2765"/>
      <c r="Q92" s="2726"/>
      <c r="R92" s="2712"/>
      <c r="S92" s="2712"/>
      <c r="T92" s="2712"/>
      <c r="U92" s="2712"/>
      <c r="V92" s="2712"/>
      <c r="W92" s="2712"/>
      <c r="X92" s="2712"/>
      <c r="Y92" s="2712"/>
      <c r="Z92" s="2712"/>
      <c r="AA92" s="2712"/>
      <c r="AB92" s="2712"/>
      <c r="AC92" s="2712"/>
      <c r="AD92" s="2712"/>
    </row>
    <row r="93" spans="1:30" ht="14.4" thickTop="1">
      <c r="A93" s="548"/>
      <c r="B93" s="487">
        <f>B33</f>
        <v>111</v>
      </c>
      <c r="C93" s="498"/>
      <c r="D93" s="498"/>
      <c r="E93" s="498"/>
      <c r="F93" s="498"/>
      <c r="G93" s="503"/>
      <c r="H93" s="504"/>
      <c r="I93" s="504"/>
      <c r="J93" s="504"/>
      <c r="K93" s="504"/>
      <c r="L93" s="505"/>
      <c r="M93" s="506"/>
      <c r="N93" s="2740"/>
      <c r="O93" s="2740"/>
      <c r="P93" s="2765"/>
      <c r="Q93" s="2726"/>
      <c r="R93" s="2712"/>
      <c r="S93" s="2712"/>
      <c r="T93" s="2712"/>
      <c r="U93" s="2712"/>
      <c r="V93" s="2712"/>
      <c r="W93" s="2712"/>
      <c r="X93" s="2712"/>
      <c r="Y93" s="2712"/>
      <c r="Z93" s="2712"/>
      <c r="AA93" s="2712"/>
      <c r="AB93" s="2712"/>
      <c r="AC93" s="2712"/>
      <c r="AD93" s="2712"/>
    </row>
    <row r="94" spans="1:30" ht="14.4" thickBot="1">
      <c r="A94" s="483"/>
      <c r="B94" s="492"/>
      <c r="C94" s="509"/>
      <c r="D94" s="485"/>
      <c r="E94" s="485"/>
      <c r="F94" s="485"/>
      <c r="G94" s="509"/>
      <c r="H94" s="511"/>
      <c r="I94" s="511"/>
      <c r="J94" s="511"/>
      <c r="K94" s="511"/>
      <c r="L94" s="511"/>
      <c r="M94" s="512"/>
      <c r="N94" s="2741"/>
      <c r="O94" s="2741"/>
      <c r="P94" s="2765"/>
      <c r="Q94" s="2726"/>
      <c r="R94" s="2712"/>
      <c r="S94" s="2712"/>
      <c r="T94" s="2712"/>
      <c r="U94" s="2712"/>
      <c r="V94" s="2712"/>
      <c r="W94" s="2712"/>
      <c r="X94" s="2712"/>
      <c r="Y94" s="2712"/>
      <c r="Z94" s="2712"/>
      <c r="AA94" s="2712"/>
      <c r="AB94" s="2712"/>
      <c r="AC94" s="2712"/>
      <c r="AD94" s="2712"/>
    </row>
    <row r="95" spans="1:30" ht="14.4" thickTop="1">
      <c r="A95" s="548"/>
      <c r="B95" s="584">
        <f>B34</f>
        <v>111</v>
      </c>
      <c r="C95" s="498"/>
      <c r="D95" s="498"/>
      <c r="E95" s="498"/>
      <c r="F95" s="498"/>
      <c r="G95" s="503"/>
      <c r="H95" s="504"/>
      <c r="I95" s="504"/>
      <c r="J95" s="504"/>
      <c r="K95" s="504"/>
      <c r="L95" s="505"/>
      <c r="M95" s="506"/>
      <c r="N95" s="2741"/>
      <c r="O95" s="2741"/>
      <c r="P95" s="2768"/>
      <c r="Q95" s="2755"/>
      <c r="R95" s="2712"/>
      <c r="S95" s="2712"/>
      <c r="T95" s="2712"/>
      <c r="U95" s="2712"/>
      <c r="V95" s="2712"/>
      <c r="W95" s="2712"/>
      <c r="X95" s="2712"/>
      <c r="Y95" s="2712"/>
      <c r="Z95" s="2712"/>
      <c r="AA95" s="2712"/>
      <c r="AB95" s="2712"/>
      <c r="AC95" s="2712"/>
      <c r="AD95" s="2712"/>
    </row>
    <row r="96" spans="1:30" ht="14.4" thickBot="1">
      <c r="A96" s="483"/>
      <c r="B96" s="492"/>
      <c r="C96" s="509"/>
      <c r="D96" s="509"/>
      <c r="E96" s="509"/>
      <c r="F96" s="509"/>
      <c r="G96" s="509"/>
      <c r="H96" s="511"/>
      <c r="I96" s="511"/>
      <c r="J96" s="511"/>
      <c r="K96" s="511"/>
      <c r="L96" s="511"/>
      <c r="M96" s="512"/>
      <c r="N96" s="2741"/>
      <c r="O96" s="2741"/>
      <c r="P96" s="2765"/>
      <c r="Q96" s="2726"/>
      <c r="R96" s="2712"/>
      <c r="S96" s="2712"/>
      <c r="T96" s="2712"/>
      <c r="U96" s="2712"/>
      <c r="V96" s="2712"/>
      <c r="W96" s="2712"/>
      <c r="X96" s="2712"/>
      <c r="Y96" s="2712"/>
      <c r="Z96" s="2712"/>
      <c r="AA96" s="2712"/>
      <c r="AB96" s="2712"/>
      <c r="AC96" s="2712"/>
      <c r="AD96" s="2712"/>
    </row>
    <row r="97" spans="1:30" ht="14.4" thickTop="1">
      <c r="N97" s="2712"/>
      <c r="O97" s="2712"/>
      <c r="P97" s="2712"/>
      <c r="Q97" s="2712"/>
      <c r="R97" s="2712"/>
      <c r="S97" s="2712"/>
      <c r="T97" s="2712"/>
      <c r="U97" s="2712"/>
      <c r="V97" s="2712"/>
      <c r="W97" s="2712"/>
      <c r="X97" s="2712"/>
      <c r="Y97" s="2712"/>
      <c r="Z97" s="2712"/>
      <c r="AA97" s="2712"/>
      <c r="AB97" s="2712"/>
      <c r="AC97" s="2712"/>
      <c r="AD97" s="2712"/>
    </row>
    <row r="98" spans="1:30">
      <c r="A98" s="936"/>
      <c r="B98" s="936"/>
      <c r="C98" s="936"/>
      <c r="D98" s="936"/>
      <c r="E98" s="936"/>
      <c r="F98" s="936"/>
      <c r="G98" s="936"/>
      <c r="H98" s="936"/>
      <c r="I98" s="936"/>
      <c r="J98" s="936"/>
      <c r="K98" s="937"/>
      <c r="L98" s="938"/>
      <c r="M98" s="936"/>
      <c r="N98" s="2712"/>
      <c r="O98" s="2712"/>
      <c r="P98" s="2712"/>
      <c r="Q98" s="2712"/>
      <c r="R98" s="2712"/>
      <c r="S98" s="2712"/>
      <c r="T98" s="2712"/>
      <c r="U98" s="2712"/>
      <c r="V98" s="2712"/>
      <c r="W98" s="2712"/>
      <c r="X98" s="2712"/>
      <c r="Y98" s="2712"/>
      <c r="Z98" s="2712"/>
      <c r="AA98" s="2712"/>
      <c r="AB98" s="2712"/>
      <c r="AC98" s="2712"/>
      <c r="AD98" s="2712"/>
    </row>
    <row r="99" spans="1:30">
      <c r="A99" s="936"/>
      <c r="B99" s="936"/>
      <c r="C99" s="936"/>
      <c r="D99" s="936"/>
      <c r="E99" s="936"/>
      <c r="F99" s="936"/>
      <c r="G99" s="936"/>
      <c r="H99" s="936"/>
      <c r="I99" s="936"/>
      <c r="J99" s="936"/>
      <c r="K99" s="937"/>
      <c r="L99" s="938"/>
      <c r="M99" s="936"/>
      <c r="N99" s="2712"/>
      <c r="O99" s="2712"/>
      <c r="P99" s="2712"/>
      <c r="Q99" s="2712"/>
      <c r="R99" s="2712"/>
      <c r="S99" s="2712"/>
      <c r="T99" s="2712"/>
      <c r="U99" s="2712"/>
      <c r="V99" s="2712"/>
      <c r="W99" s="2712"/>
      <c r="X99" s="2712"/>
      <c r="Y99" s="2712"/>
      <c r="Z99" s="2712"/>
      <c r="AA99" s="2712"/>
      <c r="AB99" s="2712"/>
      <c r="AC99" s="2712"/>
      <c r="AD99" s="2712"/>
    </row>
    <row r="100" spans="1:30">
      <c r="A100" s="936"/>
      <c r="B100" s="936"/>
      <c r="C100" s="936"/>
      <c r="D100" s="936"/>
      <c r="E100" s="936"/>
      <c r="F100" s="936"/>
      <c r="G100" s="936"/>
      <c r="H100" s="936"/>
      <c r="I100" s="936"/>
      <c r="J100" s="936"/>
      <c r="K100" s="937"/>
      <c r="L100" s="938"/>
      <c r="M100" s="936"/>
      <c r="N100" s="2712"/>
      <c r="O100" s="2712"/>
      <c r="P100" s="2712"/>
      <c r="Q100" s="2712"/>
      <c r="R100" s="2712"/>
      <c r="S100" s="2712"/>
      <c r="T100" s="2712"/>
      <c r="U100" s="2712"/>
      <c r="V100" s="2712"/>
      <c r="W100" s="2712"/>
      <c r="X100" s="2712"/>
      <c r="Y100" s="2712"/>
      <c r="Z100" s="2712"/>
      <c r="AA100" s="2712"/>
      <c r="AB100" s="2712"/>
      <c r="AC100" s="2712"/>
      <c r="AD100" s="2712"/>
    </row>
    <row r="101" spans="1:30">
      <c r="A101" s="936"/>
      <c r="B101" s="936"/>
      <c r="C101" s="936"/>
      <c r="D101" s="936"/>
      <c r="E101" s="936"/>
      <c r="F101" s="936"/>
      <c r="G101" s="936"/>
      <c r="H101" s="936"/>
      <c r="I101" s="936"/>
      <c r="J101" s="936"/>
      <c r="K101" s="937"/>
      <c r="L101" s="938"/>
      <c r="M101" s="936"/>
      <c r="N101" s="2712"/>
      <c r="O101" s="2712"/>
      <c r="P101" s="2712"/>
      <c r="Q101" s="2712"/>
      <c r="R101" s="2712"/>
      <c r="S101" s="2712"/>
      <c r="T101" s="2712"/>
      <c r="U101" s="2712"/>
      <c r="V101" s="2712"/>
      <c r="W101" s="2712"/>
      <c r="X101" s="2712"/>
      <c r="Y101" s="2712"/>
      <c r="Z101" s="2712"/>
      <c r="AA101" s="2712"/>
      <c r="AB101" s="2712"/>
      <c r="AC101" s="2712"/>
      <c r="AD101" s="2712"/>
    </row>
    <row r="102" spans="1:30">
      <c r="A102" s="936"/>
      <c r="B102" s="936"/>
      <c r="C102" s="936"/>
      <c r="D102" s="936"/>
      <c r="E102" s="936"/>
      <c r="F102" s="936"/>
      <c r="G102" s="936"/>
      <c r="H102" s="936"/>
      <c r="I102" s="936"/>
      <c r="J102" s="936"/>
      <c r="K102" s="937"/>
      <c r="L102" s="938"/>
      <c r="M102" s="936"/>
      <c r="N102" s="2712"/>
      <c r="O102" s="2712"/>
      <c r="P102" s="2712"/>
      <c r="Q102" s="2712"/>
      <c r="R102" s="2712"/>
      <c r="S102" s="2712"/>
      <c r="T102" s="2712"/>
      <c r="U102" s="2712"/>
      <c r="V102" s="2712"/>
      <c r="W102" s="2712"/>
      <c r="X102" s="2712"/>
      <c r="Y102" s="2712"/>
      <c r="Z102" s="2712"/>
      <c r="AA102" s="2712"/>
      <c r="AB102" s="2712"/>
      <c r="AC102" s="2712"/>
      <c r="AD102" s="2712"/>
    </row>
    <row r="103" spans="1:30">
      <c r="A103" s="936"/>
      <c r="B103" s="936"/>
      <c r="C103" s="936"/>
      <c r="D103" s="936"/>
      <c r="E103" s="936"/>
      <c r="F103" s="936"/>
      <c r="G103" s="936"/>
      <c r="H103" s="936"/>
      <c r="I103" s="936"/>
      <c r="J103" s="936"/>
      <c r="K103" s="937"/>
      <c r="L103" s="938"/>
      <c r="M103" s="936"/>
      <c r="N103" s="936"/>
      <c r="O103" s="936"/>
      <c r="P103" s="2712"/>
      <c r="Q103" s="2712"/>
      <c r="R103" s="2712"/>
      <c r="S103" s="2712"/>
      <c r="T103" s="2712"/>
      <c r="U103" s="2712"/>
      <c r="V103" s="2712"/>
      <c r="W103" s="2712"/>
      <c r="X103" s="2712"/>
      <c r="Y103" s="2712"/>
      <c r="Z103" s="2712"/>
      <c r="AA103" s="2712"/>
      <c r="AB103" s="2712"/>
      <c r="AC103" s="2712"/>
      <c r="AD103" s="271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1"/>
      <c r="M2" s="2722"/>
      <c r="N2" s="2722"/>
      <c r="O2" s="272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1"/>
      <c r="M3" s="2722"/>
      <c r="N3" s="2722"/>
      <c r="O3" s="2722"/>
      <c r="P3" s="699"/>
      <c r="Q3" s="699"/>
      <c r="R3" s="699"/>
      <c r="S3" s="699"/>
      <c r="T3" s="699"/>
      <c r="U3" s="699"/>
      <c r="V3" s="699"/>
      <c r="W3" s="699"/>
      <c r="X3" s="699"/>
      <c r="Y3" s="699"/>
      <c r="Z3" s="699"/>
      <c r="AA3" s="699"/>
      <c r="AB3" s="716"/>
      <c r="AC3" s="713"/>
    </row>
    <row r="4" spans="1:30" ht="14.4">
      <c r="A4" s="355" t="s">
        <v>1769</v>
      </c>
      <c r="B4" s="356"/>
      <c r="C4" s="3683" t="s">
        <v>1770</v>
      </c>
      <c r="D4" s="3684"/>
      <c r="E4" s="3685" t="s">
        <v>1771</v>
      </c>
      <c r="F4" s="3686"/>
      <c r="G4" s="3683" t="s">
        <v>1772</v>
      </c>
      <c r="H4" s="3684"/>
      <c r="I4" s="3683" t="s">
        <v>1773</v>
      </c>
      <c r="J4" s="3684"/>
      <c r="K4" s="559" t="s">
        <v>1774</v>
      </c>
      <c r="L4" s="2702"/>
      <c r="M4" s="2703"/>
      <c r="N4" s="2703"/>
      <c r="O4" s="2703"/>
      <c r="P4" s="3687" t="s">
        <v>1775</v>
      </c>
      <c r="Q4" s="3688"/>
      <c r="R4" s="3693" t="s">
        <v>1771</v>
      </c>
      <c r="S4" s="3694"/>
      <c r="T4" s="3693" t="s">
        <v>1772</v>
      </c>
      <c r="U4" s="3694"/>
      <c r="V4" s="3699" t="s">
        <v>1773</v>
      </c>
      <c r="W4" s="3699"/>
      <c r="X4" s="1354"/>
      <c r="Y4" s="3693" t="s">
        <v>1775</v>
      </c>
      <c r="Z4" s="3694"/>
      <c r="AA4" s="3680" t="s">
        <v>1771</v>
      </c>
      <c r="AB4" s="3681" t="s">
        <v>1772</v>
      </c>
      <c r="AC4" s="3680" t="s">
        <v>1773</v>
      </c>
    </row>
    <row r="5" spans="1:30">
      <c r="A5" s="358"/>
      <c r="B5" s="359"/>
      <c r="C5" s="3702" t="s">
        <v>1673</v>
      </c>
      <c r="D5" s="3703"/>
      <c r="E5" s="3712" t="s">
        <v>1674</v>
      </c>
      <c r="F5" s="3711"/>
      <c r="G5" s="3702" t="s">
        <v>1675</v>
      </c>
      <c r="H5" s="3703"/>
      <c r="I5" s="3702" t="s">
        <v>1676</v>
      </c>
      <c r="J5" s="3703"/>
      <c r="K5" s="559"/>
      <c r="L5" s="2702"/>
      <c r="M5" s="2703"/>
      <c r="N5" s="2703"/>
      <c r="O5" s="2703"/>
      <c r="P5" s="3689"/>
      <c r="Q5" s="3690"/>
      <c r="R5" s="3695"/>
      <c r="S5" s="3696"/>
      <c r="T5" s="3695"/>
      <c r="U5" s="3696"/>
      <c r="V5" s="3699"/>
      <c r="W5" s="3699"/>
      <c r="X5" s="1354"/>
      <c r="Y5" s="3695"/>
      <c r="Z5" s="3696"/>
      <c r="AA5" s="3681"/>
      <c r="AB5" s="3681"/>
      <c r="AC5" s="3681"/>
    </row>
    <row r="6" spans="1:30" ht="15" thickBot="1">
      <c r="A6" s="360"/>
      <c r="B6" s="361"/>
      <c r="C6" s="3700" t="s">
        <v>1677</v>
      </c>
      <c r="D6" s="3701"/>
      <c r="E6" s="3708" t="s">
        <v>1677</v>
      </c>
      <c r="F6" s="3709"/>
      <c r="G6" s="3700" t="s">
        <v>1677</v>
      </c>
      <c r="H6" s="3701"/>
      <c r="I6" s="3700" t="s">
        <v>1677</v>
      </c>
      <c r="J6" s="3701"/>
      <c r="K6" s="559" t="s">
        <v>1678</v>
      </c>
      <c r="L6" s="2702"/>
      <c r="M6" s="2703"/>
      <c r="N6" s="2703"/>
      <c r="O6" s="2703"/>
      <c r="P6" s="3691"/>
      <c r="Q6" s="3692"/>
      <c r="R6" s="3695"/>
      <c r="S6" s="3696"/>
      <c r="T6" s="3697"/>
      <c r="U6" s="3698"/>
      <c r="V6" s="3699"/>
      <c r="W6" s="3699"/>
      <c r="X6" s="1354"/>
      <c r="Y6" s="3697"/>
      <c r="Z6" s="3698"/>
      <c r="AA6" s="3682"/>
      <c r="AB6" s="3682"/>
      <c r="AC6" s="3682"/>
    </row>
    <row r="7" spans="1:30" s="108" customFormat="1" ht="15" thickBot="1">
      <c r="A7" s="362" t="s">
        <v>1679</v>
      </c>
      <c r="B7" s="363"/>
      <c r="C7" s="364">
        <f>'数据-取费表'!B2</f>
        <v>45517</v>
      </c>
      <c r="D7" s="365">
        <v>100</v>
      </c>
      <c r="E7" s="366"/>
      <c r="F7" s="367">
        <f>SUMIF(69:69,YEAR(E7)&amp;"-"&amp;INT((MONTH(E7)+2)/3),70:70)</f>
        <v>0</v>
      </c>
      <c r="G7" s="1973"/>
      <c r="H7" s="365">
        <f>SUMIF(69:69,YEAR(G7)&amp;"-"&amp;INT((MONTH(G7)+2)/3),70:70)</f>
        <v>0</v>
      </c>
      <c r="I7" s="1973"/>
      <c r="J7" s="365">
        <f>SUMIF(69:69,YEAR(I7)&amp;"-"&amp;INT((MONTH(I7)+2)/3),70:70)</f>
        <v>0</v>
      </c>
      <c r="K7" s="560"/>
      <c r="L7" s="2704"/>
      <c r="M7" s="2705"/>
      <c r="N7" s="2705"/>
      <c r="O7" s="2705"/>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04"/>
      <c r="M8" s="2705"/>
      <c r="N8" s="2705"/>
      <c r="O8" s="2705"/>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04"/>
      <c r="M9" s="2705"/>
      <c r="N9" s="2705"/>
      <c r="O9" s="2759"/>
      <c r="P9" s="3668"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06"/>
      <c r="M10" s="2707"/>
      <c r="N10" s="2707"/>
      <c r="O10" s="2760"/>
      <c r="P10" s="3668"/>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8"/>
      <c r="M11" s="2703"/>
      <c r="N11" s="2703"/>
      <c r="O11" s="2761"/>
      <c r="P11" s="3668"/>
      <c r="Q11" s="1342"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4"/>
      <c r="M12" s="2705"/>
      <c r="N12" s="2705"/>
      <c r="O12" s="2759"/>
      <c r="P12" s="3668"/>
      <c r="Q12" s="1342"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9"/>
      <c r="M13" s="2703"/>
      <c r="N13" s="2703"/>
      <c r="O13" s="2761"/>
      <c r="P13" s="3668"/>
      <c r="Q13" s="1342">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9"/>
      <c r="M14" s="2703"/>
      <c r="N14" s="2703"/>
      <c r="O14" s="2761"/>
      <c r="P14" s="3668"/>
      <c r="Q14" s="1342">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138">
      <c r="A15" s="391" t="s">
        <v>1690</v>
      </c>
      <c r="B15" s="61" t="s">
        <v>1257</v>
      </c>
      <c r="C15" s="1895" t="str">
        <f>估价对象房地状况!C15</f>
        <v>估价对象周边有双清苑、清风华景园、逸成东苑、柏儒苑等，居住小区规模和社区发展完善程度较好，综合评价居住社区成熟度较好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09"/>
      <c r="M15" s="2703"/>
      <c r="N15" s="2703"/>
      <c r="O15" s="2761"/>
      <c r="P15" s="3670" t="s">
        <v>1691</v>
      </c>
      <c r="Q15" s="1351" t="str">
        <f t="shared" si="6"/>
        <v>居住社区成熟度</v>
      </c>
      <c r="R15" s="705" t="s">
        <v>14</v>
      </c>
      <c r="S15" s="706">
        <f t="shared" si="0"/>
        <v>100</v>
      </c>
      <c r="T15" s="705" t="s">
        <v>14</v>
      </c>
      <c r="U15" s="706">
        <f t="shared" si="1"/>
        <v>100</v>
      </c>
      <c r="V15" s="705" t="s">
        <v>14</v>
      </c>
      <c r="W15" s="706">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9"/>
      <c r="M16" s="2703"/>
      <c r="N16" s="2703"/>
      <c r="O16" s="2761"/>
      <c r="P16" s="3671"/>
      <c r="Q16" s="1351"/>
      <c r="R16" s="705"/>
      <c r="S16" s="706"/>
      <c r="T16" s="705"/>
      <c r="U16" s="706"/>
      <c r="V16" s="705"/>
      <c r="W16" s="706"/>
      <c r="X16" s="1354"/>
      <c r="Y16" s="3671"/>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9"/>
      <c r="M17" s="2703"/>
      <c r="N17" s="2703"/>
      <c r="O17" s="2761"/>
      <c r="P17" s="3671"/>
      <c r="Q17" s="1351" t="str">
        <f>B17</f>
        <v>商业繁华度</v>
      </c>
      <c r="R17" s="705" t="s">
        <v>14</v>
      </c>
      <c r="S17" s="706">
        <f>F17</f>
        <v>100</v>
      </c>
      <c r="T17" s="705" t="s">
        <v>14</v>
      </c>
      <c r="U17" s="706">
        <f>H17</f>
        <v>100</v>
      </c>
      <c r="V17" s="705" t="s">
        <v>14</v>
      </c>
      <c r="W17" s="706">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9"/>
      <c r="M18" s="2703"/>
      <c r="N18" s="2703"/>
      <c r="O18" s="2761"/>
      <c r="P18" s="3671"/>
      <c r="Q18" s="1351"/>
      <c r="R18" s="705"/>
      <c r="S18" s="706"/>
      <c r="T18" s="705"/>
      <c r="U18" s="706"/>
      <c r="V18" s="705"/>
      <c r="W18" s="706"/>
      <c r="X18" s="1354"/>
      <c r="Y18" s="3671"/>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9"/>
      <c r="M19" s="2703"/>
      <c r="N19" s="2703"/>
      <c r="O19" s="2761"/>
      <c r="P19" s="3671"/>
      <c r="Q19" s="1351" t="str">
        <f>B19</f>
        <v>办公集聚程度</v>
      </c>
      <c r="R19" s="705" t="s">
        <v>14</v>
      </c>
      <c r="S19" s="706">
        <f>F19</f>
        <v>100</v>
      </c>
      <c r="T19" s="705" t="s">
        <v>14</v>
      </c>
      <c r="U19" s="706">
        <f>H19</f>
        <v>100</v>
      </c>
      <c r="V19" s="705" t="s">
        <v>14</v>
      </c>
      <c r="W19" s="706">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9"/>
      <c r="M20" s="2703"/>
      <c r="N20" s="2703"/>
      <c r="O20" s="2761"/>
      <c r="P20" s="3671"/>
      <c r="Q20" s="1351"/>
      <c r="R20" s="705"/>
      <c r="S20" s="706"/>
      <c r="T20" s="705"/>
      <c r="U20" s="706"/>
      <c r="V20" s="705"/>
      <c r="W20" s="706"/>
      <c r="X20" s="1354"/>
      <c r="Y20" s="3671"/>
      <c r="Z20" s="1355"/>
      <c r="AA20" s="1352">
        <v>1</v>
      </c>
      <c r="AB20" s="1352">
        <v>1</v>
      </c>
      <c r="AC20" s="1352">
        <v>1</v>
      </c>
    </row>
    <row r="21" spans="1:29" ht="138">
      <c r="A21" s="379"/>
      <c r="B21" s="402" t="s">
        <v>1833</v>
      </c>
      <c r="C21" s="1899" t="str">
        <f>估价对象房地状况!C18</f>
        <v>估价对象周边有392路、466路、577路、专12路等多条公交线路，距地铁15号线（清华东路西口站）约700米，综合评价交通便捷度较好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9"/>
      <c r="M21" s="2703"/>
      <c r="N21" s="2703"/>
      <c r="O21" s="2761"/>
      <c r="P21" s="3671"/>
      <c r="Q21" s="1351" t="str">
        <f>B21</f>
        <v>交通便捷度</v>
      </c>
      <c r="R21" s="705" t="s">
        <v>14</v>
      </c>
      <c r="S21" s="706">
        <f>F21</f>
        <v>100</v>
      </c>
      <c r="T21" s="705" t="s">
        <v>14</v>
      </c>
      <c r="U21" s="706">
        <f>H21</f>
        <v>100</v>
      </c>
      <c r="V21" s="705" t="s">
        <v>14</v>
      </c>
      <c r="W21" s="706">
        <f>J21</f>
        <v>100</v>
      </c>
      <c r="X21" s="1354"/>
      <c r="Y21" s="367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09"/>
      <c r="M22" s="2703"/>
      <c r="N22" s="2703"/>
      <c r="O22" s="2761"/>
      <c r="P22" s="3671"/>
      <c r="Q22" s="1351"/>
      <c r="R22" s="705"/>
      <c r="S22" s="706"/>
      <c r="T22" s="705"/>
      <c r="U22" s="706"/>
      <c r="V22" s="705"/>
      <c r="W22" s="706"/>
      <c r="X22" s="1354"/>
      <c r="Y22" s="3671"/>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9"/>
      <c r="M23" s="2703"/>
      <c r="N23" s="2703"/>
      <c r="O23" s="2761"/>
      <c r="P23" s="3671"/>
      <c r="Q23" s="1351" t="str">
        <f t="shared" ref="Q23:Q37" si="8">B23</f>
        <v>区域土地利用方向</v>
      </c>
      <c r="R23" s="705" t="s">
        <v>14</v>
      </c>
      <c r="S23" s="706">
        <f>F23</f>
        <v>100</v>
      </c>
      <c r="T23" s="705" t="s">
        <v>14</v>
      </c>
      <c r="U23" s="706">
        <f>H23</f>
        <v>100</v>
      </c>
      <c r="V23" s="705" t="s">
        <v>14</v>
      </c>
      <c r="W23" s="706">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09"/>
      <c r="M24" s="2703"/>
      <c r="N24" s="2703"/>
      <c r="O24" s="2761"/>
      <c r="P24" s="3671"/>
      <c r="Q24" s="1351"/>
      <c r="R24" s="705"/>
      <c r="S24" s="706"/>
      <c r="T24" s="705"/>
      <c r="U24" s="706"/>
      <c r="V24" s="705"/>
      <c r="W24" s="706"/>
      <c r="X24" s="1354"/>
      <c r="Y24" s="3671"/>
      <c r="Z24" s="1355"/>
      <c r="AA24" s="1352"/>
      <c r="AB24" s="1352"/>
      <c r="AC24" s="1352"/>
    </row>
    <row r="25" spans="1:29" ht="151.80000000000001">
      <c r="A25" s="358"/>
      <c r="B25" s="1131" t="s">
        <v>1872</v>
      </c>
      <c r="C25" s="1954" t="str">
        <f>估价对象房地状况!C20</f>
        <v>区域自然环境：北京东升花园中心、东升八家郊野公园；人文环境：北京林业大学、北京农业大学、清华大学；综合评价环境状况较好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09"/>
      <c r="M25" s="2703"/>
      <c r="N25" s="2703"/>
      <c r="O25" s="2761"/>
      <c r="P25" s="3671"/>
      <c r="Q25" s="1351" t="str">
        <f t="shared" si="8"/>
        <v>自然及人文环境状况</v>
      </c>
      <c r="R25" s="705" t="s">
        <v>14</v>
      </c>
      <c r="S25" s="706">
        <f>F25</f>
        <v>100</v>
      </c>
      <c r="T25" s="705" t="s">
        <v>14</v>
      </c>
      <c r="U25" s="706">
        <f>H25</f>
        <v>100</v>
      </c>
      <c r="V25" s="705" t="s">
        <v>14</v>
      </c>
      <c r="W25" s="706">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9"/>
      <c r="M26" s="2703"/>
      <c r="N26" s="2703"/>
      <c r="O26" s="2761"/>
      <c r="P26" s="3671"/>
      <c r="Q26" s="1351"/>
      <c r="R26" s="705"/>
      <c r="S26" s="706"/>
      <c r="T26" s="705"/>
      <c r="U26" s="706"/>
      <c r="V26" s="705"/>
      <c r="W26" s="706"/>
      <c r="X26" s="1354"/>
      <c r="Y26" s="3671"/>
      <c r="Z26" s="1355"/>
      <c r="AA26" s="1352">
        <v>1</v>
      </c>
      <c r="AB26" s="1352">
        <v>1</v>
      </c>
      <c r="AC26" s="1352">
        <v>1</v>
      </c>
    </row>
    <row r="27" spans="1:29" s="108" customFormat="1" ht="55.2">
      <c r="A27" s="597"/>
      <c r="B27" s="1131" t="s">
        <v>1778</v>
      </c>
      <c r="C27" s="1899"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04"/>
      <c r="M27" s="2705"/>
      <c r="N27" s="2705"/>
      <c r="O27" s="2759"/>
      <c r="P27" s="3671"/>
      <c r="Q27" s="1342" t="str">
        <f t="shared" si="8"/>
        <v>公共配套设施</v>
      </c>
      <c r="R27" s="701" t="s">
        <v>14</v>
      </c>
      <c r="S27" s="702">
        <f>F27</f>
        <v>100</v>
      </c>
      <c r="T27" s="701" t="s">
        <v>14</v>
      </c>
      <c r="U27" s="702">
        <f>H27</f>
        <v>100</v>
      </c>
      <c r="V27" s="701" t="s">
        <v>14</v>
      </c>
      <c r="W27" s="702">
        <f>J27</f>
        <v>100</v>
      </c>
      <c r="X27" s="703"/>
      <c r="Y27" s="367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4"/>
      <c r="M28" s="2705"/>
      <c r="N28" s="2705"/>
      <c r="O28" s="2759"/>
      <c r="P28" s="3671"/>
      <c r="Q28" s="1342"/>
      <c r="R28" s="701"/>
      <c r="S28" s="702"/>
      <c r="T28" s="701"/>
      <c r="U28" s="702"/>
      <c r="V28" s="701"/>
      <c r="W28" s="702"/>
      <c r="X28" s="703"/>
      <c r="Y28" s="3671"/>
      <c r="Z28" s="52"/>
      <c r="AA28" s="1352">
        <v>1</v>
      </c>
      <c r="AB28" s="1352">
        <v>1</v>
      </c>
      <c r="AC28" s="1352">
        <v>1</v>
      </c>
    </row>
    <row r="29" spans="1:29" s="108" customFormat="1" ht="15">
      <c r="A29" s="597"/>
      <c r="B29" s="1131"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4"/>
      <c r="M29" s="2705"/>
      <c r="N29" s="2705"/>
      <c r="O29" s="2759"/>
      <c r="P29" s="3671"/>
      <c r="Q29" s="1342"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4"/>
      <c r="M30" s="2705"/>
      <c r="N30" s="2705"/>
      <c r="O30" s="2759"/>
      <c r="P30" s="3671"/>
      <c r="Q30" s="1342"/>
      <c r="R30" s="701"/>
      <c r="S30" s="702"/>
      <c r="T30" s="701"/>
      <c r="U30" s="702"/>
      <c r="V30" s="701"/>
      <c r="W30" s="702"/>
      <c r="X30" s="703"/>
      <c r="Y30" s="367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9"/>
      <c r="M31" s="2703"/>
      <c r="N31" s="2703"/>
      <c r="O31" s="2761"/>
      <c r="P31" s="367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1"/>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9"/>
      <c r="M32" s="2703"/>
      <c r="N32" s="2703"/>
      <c r="O32" s="2761"/>
      <c r="P32" s="3671"/>
      <c r="Q32" s="1351" t="str">
        <f t="shared" si="8"/>
        <v>毗邻道路的类型与等级</v>
      </c>
      <c r="R32" s="705" t="s">
        <v>14</v>
      </c>
      <c r="S32" s="706">
        <f t="shared" si="10"/>
        <v>100</v>
      </c>
      <c r="T32" s="705" t="s">
        <v>14</v>
      </c>
      <c r="U32" s="706">
        <f t="shared" si="11"/>
        <v>100</v>
      </c>
      <c r="V32" s="705" t="s">
        <v>14</v>
      </c>
      <c r="W32" s="706">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9"/>
      <c r="M33" s="2703"/>
      <c r="N33" s="2703"/>
      <c r="O33" s="2761"/>
      <c r="P33" s="3671"/>
      <c r="Q33" s="1351"/>
      <c r="R33" s="705"/>
      <c r="S33" s="706"/>
      <c r="T33" s="705"/>
      <c r="U33" s="706"/>
      <c r="V33" s="705"/>
      <c r="W33" s="706"/>
      <c r="X33" s="1354"/>
      <c r="Y33" s="367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9"/>
      <c r="M34" s="2703"/>
      <c r="N34" s="2703"/>
      <c r="O34" s="2761"/>
      <c r="P34" s="3671"/>
      <c r="Q34" s="1351" t="str">
        <f t="shared" si="8"/>
        <v>土地级别</v>
      </c>
      <c r="R34" s="705" t="s">
        <v>14</v>
      </c>
      <c r="S34" s="706">
        <f t="shared" si="10"/>
        <v>100</v>
      </c>
      <c r="T34" s="705" t="s">
        <v>14</v>
      </c>
      <c r="U34" s="706">
        <f t="shared" si="11"/>
        <v>100</v>
      </c>
      <c r="V34" s="705" t="s">
        <v>14</v>
      </c>
      <c r="W34" s="706">
        <f t="shared" si="12"/>
        <v>100</v>
      </c>
      <c r="X34" s="1354"/>
      <c r="Y34" s="367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9"/>
      <c r="M35" s="2703"/>
      <c r="N35" s="2703"/>
      <c r="O35" s="2761"/>
      <c r="P35" s="3671"/>
      <c r="Q35" s="1351">
        <f t="shared" si="8"/>
        <v>111</v>
      </c>
      <c r="R35" s="705" t="s">
        <v>14</v>
      </c>
      <c r="S35" s="706">
        <f t="shared" si="10"/>
        <v>100</v>
      </c>
      <c r="T35" s="705" t="s">
        <v>14</v>
      </c>
      <c r="U35" s="706">
        <f t="shared" si="11"/>
        <v>100</v>
      </c>
      <c r="V35" s="705" t="s">
        <v>14</v>
      </c>
      <c r="W35" s="706">
        <f t="shared" si="12"/>
        <v>100</v>
      </c>
      <c r="X35" s="1354"/>
      <c r="Y35" s="367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9"/>
      <c r="M36" s="2703"/>
      <c r="N36" s="2703"/>
      <c r="O36" s="2761"/>
      <c r="P36" s="3728" t="s">
        <v>1696</v>
      </c>
      <c r="Q36" s="1351">
        <f t="shared" si="8"/>
        <v>111</v>
      </c>
      <c r="R36" s="705" t="s">
        <v>14</v>
      </c>
      <c r="S36" s="706">
        <f t="shared" si="10"/>
        <v>100</v>
      </c>
      <c r="T36" s="705" t="s">
        <v>14</v>
      </c>
      <c r="U36" s="706">
        <f t="shared" si="11"/>
        <v>100</v>
      </c>
      <c r="V36" s="705" t="s">
        <v>14</v>
      </c>
      <c r="W36" s="706">
        <f t="shared" si="12"/>
        <v>100</v>
      </c>
      <c r="X36" s="1354"/>
      <c r="Y36" s="3675"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8"/>
      <c r="M37" s="2710"/>
      <c r="N37" s="2710"/>
      <c r="O37" s="2762"/>
      <c r="P37" s="3675"/>
      <c r="Q37" s="1351">
        <f t="shared" si="8"/>
        <v>111</v>
      </c>
      <c r="R37" s="708" t="s">
        <v>14</v>
      </c>
      <c r="S37" s="709">
        <f t="shared" si="10"/>
        <v>100</v>
      </c>
      <c r="T37" s="708" t="s">
        <v>14</v>
      </c>
      <c r="U37" s="709">
        <f t="shared" si="11"/>
        <v>100</v>
      </c>
      <c r="V37" s="708" t="s">
        <v>14</v>
      </c>
      <c r="W37" s="709">
        <f t="shared" si="12"/>
        <v>100</v>
      </c>
      <c r="X37" s="710"/>
      <c r="Y37" s="3675"/>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9"/>
      <c r="M38" s="2703"/>
      <c r="N38" s="2703"/>
      <c r="O38" s="2761"/>
      <c r="P38" s="3675"/>
      <c r="Q38" s="1351" t="str">
        <f>B38</f>
        <v>宗地面积</v>
      </c>
      <c r="R38" s="705" t="s">
        <v>14</v>
      </c>
      <c r="S38" s="706" t="e">
        <f t="shared" si="10"/>
        <v>#N/A</v>
      </c>
      <c r="T38" s="705" t="s">
        <v>14</v>
      </c>
      <c r="U38" s="706" t="e">
        <f t="shared" si="11"/>
        <v>#N/A</v>
      </c>
      <c r="V38" s="705" t="s">
        <v>14</v>
      </c>
      <c r="W38" s="706"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9"/>
      <c r="M39" s="2703"/>
      <c r="N39" s="2703"/>
      <c r="O39" s="2761"/>
      <c r="P39" s="3675"/>
      <c r="Q39" s="1351" t="str">
        <f t="shared" ref="Q39:Q45" si="14">B39</f>
        <v>宗地形状</v>
      </c>
      <c r="R39" s="705" t="s">
        <v>14</v>
      </c>
      <c r="S39" s="706">
        <f t="shared" si="10"/>
        <v>100</v>
      </c>
      <c r="T39" s="705" t="s">
        <v>14</v>
      </c>
      <c r="U39" s="706">
        <f t="shared" si="11"/>
        <v>100</v>
      </c>
      <c r="V39" s="705" t="s">
        <v>14</v>
      </c>
      <c r="W39" s="706">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9"/>
      <c r="M40" s="2703"/>
      <c r="N40" s="2703"/>
      <c r="O40" s="2761"/>
      <c r="P40" s="3675"/>
      <c r="Q40" s="1351" t="str">
        <f t="shared" si="14"/>
        <v>临街宽度及深度</v>
      </c>
      <c r="R40" s="705" t="s">
        <v>14</v>
      </c>
      <c r="S40" s="706">
        <f t="shared" si="10"/>
        <v>100</v>
      </c>
      <c r="T40" s="705" t="s">
        <v>14</v>
      </c>
      <c r="U40" s="706">
        <f t="shared" si="11"/>
        <v>100</v>
      </c>
      <c r="V40" s="705" t="s">
        <v>14</v>
      </c>
      <c r="W40" s="706">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4"/>
      <c r="M41" s="2705"/>
      <c r="N41" s="2705"/>
      <c r="O41" s="2759"/>
      <c r="P41" s="3675"/>
      <c r="Q41" s="1351"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9"/>
      <c r="M42" s="2703"/>
      <c r="N42" s="2703"/>
      <c r="O42" s="2761"/>
      <c r="P42" s="3675" t="s">
        <v>1696</v>
      </c>
      <c r="Q42" s="1351" t="str">
        <f t="shared" si="14"/>
        <v>工程地质条件</v>
      </c>
      <c r="R42" s="705" t="s">
        <v>14</v>
      </c>
      <c r="S42" s="706">
        <f t="shared" si="10"/>
        <v>100</v>
      </c>
      <c r="T42" s="705" t="s">
        <v>14</v>
      </c>
      <c r="U42" s="706">
        <f t="shared" si="11"/>
        <v>100</v>
      </c>
      <c r="V42" s="705" t="s">
        <v>14</v>
      </c>
      <c r="W42" s="706">
        <f t="shared" si="12"/>
        <v>100</v>
      </c>
      <c r="X42" s="1354"/>
      <c r="Y42" s="367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9"/>
      <c r="M43" s="2703"/>
      <c r="N43" s="2703"/>
      <c r="O43" s="2761"/>
      <c r="P43" s="3675"/>
      <c r="Q43" s="1351">
        <f t="shared" si="14"/>
        <v>111</v>
      </c>
      <c r="R43" s="705" t="s">
        <v>14</v>
      </c>
      <c r="S43" s="706">
        <f t="shared" si="10"/>
        <v>100</v>
      </c>
      <c r="T43" s="705" t="s">
        <v>14</v>
      </c>
      <c r="U43" s="706">
        <f t="shared" si="11"/>
        <v>100</v>
      </c>
      <c r="V43" s="705" t="s">
        <v>14</v>
      </c>
      <c r="W43" s="706">
        <f t="shared" si="12"/>
        <v>100</v>
      </c>
      <c r="X43" s="1354"/>
      <c r="Y43" s="367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9"/>
      <c r="M44" s="2703"/>
      <c r="N44" s="2703"/>
      <c r="O44" s="2761"/>
      <c r="P44" s="3675"/>
      <c r="Q44" s="1351">
        <f t="shared" si="14"/>
        <v>111</v>
      </c>
      <c r="R44" s="705" t="s">
        <v>14</v>
      </c>
      <c r="S44" s="706">
        <f t="shared" si="10"/>
        <v>100</v>
      </c>
      <c r="T44" s="705" t="s">
        <v>14</v>
      </c>
      <c r="U44" s="706">
        <f t="shared" si="11"/>
        <v>100</v>
      </c>
      <c r="V44" s="705" t="s">
        <v>14</v>
      </c>
      <c r="W44" s="706">
        <f t="shared" si="12"/>
        <v>100</v>
      </c>
      <c r="X44" s="1354"/>
      <c r="Y44" s="3675"/>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8"/>
      <c r="M45" s="2710"/>
      <c r="N45" s="2710"/>
      <c r="O45" s="2762"/>
      <c r="P45" s="3675"/>
      <c r="Q45" s="1351">
        <f t="shared" si="14"/>
        <v>111</v>
      </c>
      <c r="R45" s="708" t="s">
        <v>14</v>
      </c>
      <c r="S45" s="709">
        <f t="shared" si="10"/>
        <v>100</v>
      </c>
      <c r="T45" s="708" t="s">
        <v>14</v>
      </c>
      <c r="U45" s="709">
        <f t="shared" si="11"/>
        <v>100</v>
      </c>
      <c r="V45" s="708" t="s">
        <v>14</v>
      </c>
      <c r="W45" s="709">
        <f t="shared" si="12"/>
        <v>100</v>
      </c>
      <c r="X45" s="710"/>
      <c r="Y45" s="3675"/>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11"/>
      <c r="M46" s="2712"/>
      <c r="N46" s="2703"/>
      <c r="O46" s="2712"/>
      <c r="P46" s="3668" t="str">
        <f>A46</f>
        <v>成交单价</v>
      </c>
      <c r="Q46" s="3668"/>
      <c r="R46" s="3699">
        <f>E46</f>
        <v>0</v>
      </c>
      <c r="S46" s="3699"/>
      <c r="T46" s="3699">
        <f>G46</f>
        <v>0</v>
      </c>
      <c r="U46" s="3699"/>
      <c r="V46" s="3699">
        <f>I46</f>
        <v>0</v>
      </c>
      <c r="W46" s="3699"/>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11"/>
      <c r="M47" s="2712"/>
      <c r="N47" s="2712"/>
      <c r="O47" s="2712"/>
      <c r="P47" s="3668" t="str">
        <f>A47</f>
        <v>比较价值（元/平方米）</v>
      </c>
      <c r="Q47" s="3668"/>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11"/>
      <c r="M48" s="2712"/>
      <c r="N48" s="2712"/>
      <c r="O48" s="2712"/>
      <c r="P48" s="3665" t="str">
        <f>A48</f>
        <v>估价对象XX用房的比较价值（楼面单价，元/平方米）</v>
      </c>
      <c r="Q48" s="3666"/>
      <c r="R48" s="3731" t="e">
        <f>ROUND(IF(D47="简单平均",AVERAGE(R47:W47),R47*F47+T47*H47+V47*J47),0)</f>
        <v>#DIV/0!</v>
      </c>
      <c r="S48" s="3731"/>
      <c r="T48" s="3731"/>
      <c r="U48" s="3731"/>
      <c r="V48" s="3731"/>
      <c r="W48" s="3731"/>
      <c r="X48" s="690"/>
      <c r="Y48" s="690"/>
      <c r="Z48" s="690"/>
      <c r="AA48" s="690"/>
      <c r="AB48" s="690"/>
      <c r="AC48" s="690"/>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51" customFormat="1" ht="13.5" customHeight="1">
      <c r="A53" s="2715"/>
      <c r="B53" s="271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51" customFormat="1" ht="14.4" thickBot="1">
      <c r="A54" s="2715"/>
      <c r="B54" s="2718"/>
      <c r="C54" s="693"/>
      <c r="D54" s="691"/>
      <c r="E54" s="691"/>
      <c r="F54" s="691"/>
      <c r="G54" s="691"/>
      <c r="H54" s="691"/>
      <c r="I54" s="691"/>
      <c r="J54" s="691"/>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32" t="s">
        <v>1881</v>
      </c>
      <c r="B55" s="633" t="s">
        <v>1882</v>
      </c>
      <c r="C55" s="1982" t="s">
        <v>1883</v>
      </c>
      <c r="D55" s="1983" t="s">
        <v>1884</v>
      </c>
      <c r="E55" s="634" t="s">
        <v>1885</v>
      </c>
      <c r="F55" s="890" t="s">
        <v>1886</v>
      </c>
      <c r="G55" s="3683" t="s">
        <v>1887</v>
      </c>
      <c r="H55" s="3732"/>
      <c r="I55" s="135" t="s">
        <v>1888</v>
      </c>
      <c r="J55" s="1984">
        <f>项目基本情况!F35</f>
        <v>0</v>
      </c>
      <c r="K55" s="1985" t="s">
        <v>1889</v>
      </c>
      <c r="L55" s="2713"/>
      <c r="M55" s="2712"/>
      <c r="N55" s="2712"/>
      <c r="O55" s="2712"/>
      <c r="P55" s="2712"/>
      <c r="Q55" s="2712"/>
      <c r="R55" s="2712"/>
      <c r="S55" s="2712"/>
      <c r="T55" s="2712"/>
      <c r="U55" s="2712"/>
      <c r="V55" s="2712"/>
      <c r="W55" s="2712"/>
      <c r="X55" s="2712"/>
      <c r="Y55" s="2712"/>
      <c r="Z55" s="2712"/>
      <c r="AA55" s="2712"/>
      <c r="AB55" s="2712"/>
      <c r="AC55" s="2712"/>
    </row>
    <row r="56" spans="1:29" s="640" customFormat="1">
      <c r="A56" s="636" t="s">
        <v>1890</v>
      </c>
      <c r="B56" s="637" t="e">
        <f>C48</f>
        <v>#DIV/0!</v>
      </c>
      <c r="C56" s="638">
        <v>1</v>
      </c>
      <c r="D56" s="944">
        <v>1</v>
      </c>
      <c r="E56" s="638">
        <f>'数据-汇总表'!E8+'数据-汇总表'!E9</f>
        <v>55.9</v>
      </c>
      <c r="F56" s="886" t="e">
        <f t="shared" ref="F56:F64" si="15">ROUND(B56*E56/10000,0)</f>
        <v>#DIV/0!</v>
      </c>
      <c r="G56" s="3679"/>
      <c r="H56" s="3668"/>
      <c r="I56" s="891">
        <v>1</v>
      </c>
      <c r="J56" s="894">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40" customFormat="1">
      <c r="A57" s="641" t="s">
        <v>1891</v>
      </c>
      <c r="B57" s="218" t="e">
        <f>ROUND($C$48*C57*D57,0)</f>
        <v>#DIV/0!</v>
      </c>
      <c r="C57" s="171">
        <f t="shared" ref="C57:C64" si="16">IF($C$55="北京市系数",I57,J57)</f>
        <v>0</v>
      </c>
      <c r="D57" s="945">
        <v>0.25</v>
      </c>
      <c r="E57" s="642"/>
      <c r="F57" s="886" t="e">
        <f t="shared" si="15"/>
        <v>#DIV/0!</v>
      </c>
      <c r="G57" s="2993" t="s">
        <v>1892</v>
      </c>
      <c r="H57" s="887">
        <f>项目基本情况!B37</f>
        <v>0</v>
      </c>
      <c r="I57" s="891">
        <f>SUMIF(修正!A57:A68,H57,修正!B57:B68)</f>
        <v>0</v>
      </c>
      <c r="J57" s="895"/>
      <c r="K57" s="2712"/>
      <c r="L57" s="2769"/>
      <c r="M57" s="2769"/>
      <c r="N57" s="2769"/>
      <c r="O57" s="2769"/>
      <c r="P57" s="2769"/>
      <c r="Q57" s="2769"/>
      <c r="R57" s="2769"/>
      <c r="S57" s="2769"/>
      <c r="T57" s="2769"/>
      <c r="U57" s="2769"/>
      <c r="V57" s="2769"/>
      <c r="W57" s="2769"/>
      <c r="X57" s="2769"/>
      <c r="Y57" s="2769"/>
      <c r="Z57" s="2769"/>
      <c r="AA57" s="2769"/>
      <c r="AB57" s="2769"/>
      <c r="AC57" s="2769"/>
    </row>
    <row r="58" spans="1:29" s="640" customFormat="1">
      <c r="A58" s="641" t="s">
        <v>1893</v>
      </c>
      <c r="B58" s="218" t="e">
        <f t="shared" ref="B58:B64" si="17">ROUND($C$48*C58*D58,0)</f>
        <v>#DIV/0!</v>
      </c>
      <c r="C58" s="171">
        <f t="shared" si="16"/>
        <v>0</v>
      </c>
      <c r="D58" s="945">
        <v>0.25</v>
      </c>
      <c r="E58" s="642"/>
      <c r="F58" s="886" t="e">
        <f t="shared" si="15"/>
        <v>#DIV/0!</v>
      </c>
      <c r="G58" s="2994"/>
      <c r="H58" s="887">
        <f>项目基本情况!B37</f>
        <v>0</v>
      </c>
      <c r="I58" s="891">
        <f>SUMIF(修正!A57:A68,H58,修正!C57:C68)</f>
        <v>0</v>
      </c>
      <c r="J58" s="895"/>
      <c r="K58" s="2715"/>
      <c r="L58" s="2769"/>
      <c r="M58" s="2769"/>
      <c r="N58" s="2769"/>
      <c r="O58" s="2769"/>
      <c r="P58" s="2769"/>
      <c r="Q58" s="2769"/>
      <c r="R58" s="2769"/>
      <c r="S58" s="2769"/>
      <c r="T58" s="2769"/>
      <c r="U58" s="2769"/>
      <c r="V58" s="2769"/>
      <c r="W58" s="2769"/>
      <c r="X58" s="2769"/>
      <c r="Y58" s="2769"/>
      <c r="Z58" s="2769"/>
      <c r="AA58" s="2769"/>
      <c r="AB58" s="2769"/>
      <c r="AC58" s="2769"/>
    </row>
    <row r="59" spans="1:29" s="640" customFormat="1">
      <c r="A59" s="641" t="s">
        <v>1894</v>
      </c>
      <c r="B59" s="218" t="e">
        <f t="shared" si="17"/>
        <v>#DIV/0!</v>
      </c>
      <c r="C59" s="171">
        <f t="shared" si="16"/>
        <v>0</v>
      </c>
      <c r="D59" s="945">
        <v>0.25</v>
      </c>
      <c r="E59" s="642"/>
      <c r="F59" s="886" t="e">
        <f t="shared" si="15"/>
        <v>#DIV/0!</v>
      </c>
      <c r="G59" s="2994"/>
      <c r="H59" s="887">
        <f>项目基本情况!B37</f>
        <v>0</v>
      </c>
      <c r="I59" s="891">
        <f>SUMIF(修正!A57:A68,H59,修正!D57:D68)</f>
        <v>0</v>
      </c>
      <c r="J59" s="895"/>
      <c r="K59" s="2712"/>
      <c r="L59" s="2769"/>
      <c r="M59" s="2769"/>
      <c r="N59" s="2769"/>
      <c r="O59" s="2769"/>
      <c r="P59" s="2769"/>
      <c r="Q59" s="2769"/>
      <c r="R59" s="2769"/>
      <c r="S59" s="2769"/>
      <c r="T59" s="2769"/>
      <c r="U59" s="2769"/>
      <c r="V59" s="2769"/>
      <c r="W59" s="2769"/>
      <c r="X59" s="2769"/>
      <c r="Y59" s="2769"/>
      <c r="Z59" s="2769"/>
      <c r="AA59" s="2769"/>
      <c r="AB59" s="2769"/>
      <c r="AC59" s="2769"/>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12"/>
      <c r="L60" s="2769"/>
      <c r="M60" s="2769"/>
      <c r="N60" s="2769"/>
      <c r="O60" s="2769"/>
      <c r="P60" s="2769"/>
      <c r="Q60" s="2769"/>
      <c r="R60" s="2769"/>
      <c r="S60" s="2769"/>
      <c r="T60" s="2769"/>
      <c r="U60" s="2769"/>
      <c r="V60" s="2769"/>
      <c r="W60" s="2769"/>
      <c r="X60" s="2769"/>
      <c r="Y60" s="2769"/>
      <c r="Z60" s="2769"/>
      <c r="AA60" s="2769"/>
      <c r="AB60" s="2769"/>
      <c r="AC60" s="276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15"/>
      <c r="L61" s="2769"/>
      <c r="M61" s="2769"/>
      <c r="N61" s="2769"/>
      <c r="O61" s="2769"/>
      <c r="P61" s="2769"/>
      <c r="Q61" s="2769"/>
      <c r="R61" s="2769"/>
      <c r="S61" s="2769"/>
      <c r="T61" s="2769"/>
      <c r="U61" s="2769"/>
      <c r="V61" s="2769"/>
      <c r="W61" s="2769"/>
      <c r="X61" s="2769"/>
      <c r="Y61" s="2769"/>
      <c r="Z61" s="2769"/>
      <c r="AA61" s="2769"/>
      <c r="AB61" s="2769"/>
      <c r="AC61" s="2769"/>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12"/>
      <c r="L62" s="2769"/>
      <c r="M62" s="2769"/>
      <c r="N62" s="2769"/>
      <c r="O62" s="2769"/>
      <c r="P62" s="2769"/>
      <c r="Q62" s="2769"/>
      <c r="R62" s="2769"/>
      <c r="S62" s="2769"/>
      <c r="T62" s="2769"/>
      <c r="U62" s="2769"/>
      <c r="V62" s="2769"/>
      <c r="W62" s="2769"/>
      <c r="X62" s="2769"/>
      <c r="Y62" s="2769"/>
      <c r="Z62" s="2769"/>
      <c r="AA62" s="2769"/>
      <c r="AB62" s="2769"/>
      <c r="AC62" s="2769"/>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15"/>
      <c r="L63" s="2769"/>
      <c r="M63" s="2769"/>
      <c r="N63" s="2769"/>
      <c r="O63" s="2769"/>
      <c r="P63" s="2769"/>
      <c r="Q63" s="2769"/>
      <c r="R63" s="2769"/>
      <c r="S63" s="2769"/>
      <c r="T63" s="2769"/>
      <c r="U63" s="2769"/>
      <c r="V63" s="2769"/>
      <c r="W63" s="2769"/>
      <c r="X63" s="2769"/>
      <c r="Y63" s="2769"/>
      <c r="Z63" s="2769"/>
      <c r="AA63" s="2769"/>
      <c r="AB63" s="2769"/>
      <c r="AC63" s="2769"/>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12"/>
      <c r="L64" s="2769"/>
      <c r="M64" s="2769"/>
      <c r="N64" s="2769"/>
      <c r="O64" s="2769"/>
      <c r="P64" s="2769"/>
      <c r="Q64" s="2769"/>
      <c r="R64" s="2769"/>
      <c r="S64" s="2769"/>
      <c r="T64" s="2769"/>
      <c r="U64" s="2769"/>
      <c r="V64" s="2769"/>
      <c r="W64" s="2769"/>
      <c r="X64" s="2769"/>
      <c r="Y64" s="2769"/>
      <c r="Z64" s="2769"/>
      <c r="AA64" s="2769"/>
      <c r="AB64" s="2769"/>
      <c r="AC64" s="2769"/>
    </row>
    <row r="65" spans="1:29" s="640" customFormat="1" thickBot="1">
      <c r="A65" s="643" t="s">
        <v>1903</v>
      </c>
      <c r="B65" s="644" t="s">
        <v>22</v>
      </c>
      <c r="C65" s="644" t="s">
        <v>23</v>
      </c>
      <c r="D65" s="644" t="s">
        <v>392</v>
      </c>
      <c r="E65" s="644">
        <f>IF(B46="楼面地价",SUM(E56:E64),'数据-汇总表'!D3)</f>
        <v>55.9</v>
      </c>
      <c r="F65" s="645" t="e">
        <f>IF(B46="楼面地价",SUM(F56:F64),ROUND(C48*E65/10000,0))</f>
        <v>#DIV/0!</v>
      </c>
      <c r="G65" s="717"/>
      <c r="H65" s="717"/>
      <c r="I65" s="717"/>
      <c r="J65" s="717"/>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90"/>
      <c r="B66" s="692"/>
      <c r="C66" s="693"/>
      <c r="D66" s="690"/>
      <c r="E66" s="690"/>
      <c r="F66" s="690"/>
      <c r="G66" s="690"/>
      <c r="H66" s="690"/>
      <c r="I66" s="690"/>
      <c r="J66" s="927"/>
      <c r="K66" s="888"/>
      <c r="L66" s="889"/>
      <c r="M66" s="927"/>
      <c r="N66" s="927"/>
      <c r="O66" s="927"/>
      <c r="P66" s="2712"/>
      <c r="Q66" s="2712"/>
      <c r="R66" s="2712"/>
      <c r="S66" s="2712"/>
      <c r="T66" s="2712"/>
      <c r="U66" s="2712"/>
      <c r="V66" s="2712"/>
      <c r="W66" s="2712"/>
      <c r="X66" s="2712"/>
      <c r="Y66" s="2712"/>
      <c r="Z66" s="2712"/>
      <c r="AA66" s="2712"/>
      <c r="AB66" s="2712"/>
      <c r="AC66" s="2712"/>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12"/>
      <c r="Q67" s="2712"/>
      <c r="R67" s="2712"/>
      <c r="S67" s="2712"/>
      <c r="T67" s="2712"/>
      <c r="U67" s="2712"/>
      <c r="V67" s="2712"/>
      <c r="W67" s="2712"/>
      <c r="X67" s="2712"/>
      <c r="Y67" s="2712"/>
      <c r="Z67" s="2712"/>
      <c r="AA67" s="2712"/>
      <c r="AB67" s="2712"/>
      <c r="AC67" s="2712"/>
    </row>
    <row r="68" spans="1:29" ht="22.2" thickBot="1">
      <c r="A68" s="694" t="s">
        <v>1798</v>
      </c>
      <c r="B68" s="690"/>
      <c r="C68" s="695"/>
      <c r="D68" s="695"/>
      <c r="E68" s="695"/>
      <c r="F68" s="696"/>
      <c r="G68" s="696"/>
      <c r="H68" s="695"/>
      <c r="I68" s="695"/>
      <c r="J68" s="940"/>
      <c r="K68" s="941"/>
      <c r="L68" s="942"/>
      <c r="M68" s="940"/>
      <c r="N68" s="2756"/>
      <c r="O68" s="2756"/>
      <c r="P68" s="2756"/>
      <c r="Q68" s="2726"/>
      <c r="R68" s="2712"/>
      <c r="S68" s="2712"/>
      <c r="T68" s="2712"/>
      <c r="U68" s="2712"/>
      <c r="V68" s="2712"/>
      <c r="W68" s="2712"/>
      <c r="X68" s="2712"/>
      <c r="Y68" s="2712"/>
      <c r="Z68" s="2712"/>
      <c r="AA68" s="2712"/>
      <c r="AB68" s="2712"/>
      <c r="AC68" s="2712"/>
    </row>
    <row r="69" spans="1:29" s="457" customFormat="1" ht="14.4">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63"/>
      <c r="Q69" s="2728"/>
      <c r="R69" s="2728"/>
      <c r="S69" s="2728"/>
      <c r="T69" s="2728"/>
      <c r="U69" s="2728"/>
      <c r="V69" s="2728"/>
      <c r="W69" s="2728"/>
      <c r="X69" s="2728"/>
      <c r="Y69" s="2728"/>
      <c r="Z69" s="2728"/>
      <c r="AA69" s="2728"/>
      <c r="AB69" s="2728"/>
      <c r="AC69" s="272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6"/>
      <c r="Q70" s="2650"/>
      <c r="R70" s="2650"/>
      <c r="S70" s="2650"/>
      <c r="T70" s="2650"/>
      <c r="U70" s="2650"/>
      <c r="V70" s="2650"/>
      <c r="W70" s="2650"/>
      <c r="X70" s="2650"/>
      <c r="Y70" s="2650"/>
      <c r="Z70" s="2650"/>
      <c r="AA70" s="2650"/>
      <c r="AB70" s="2650"/>
      <c r="AC70" s="2650"/>
    </row>
    <row r="71" spans="1:29" s="108" customFormat="1" ht="15" thickBot="1">
      <c r="A71" s="464" t="s">
        <v>1716</v>
      </c>
      <c r="B71" s="465"/>
      <c r="C71" s="466"/>
      <c r="D71" s="467"/>
      <c r="E71" s="467"/>
      <c r="F71" s="467"/>
      <c r="G71" s="467"/>
      <c r="H71" s="467"/>
      <c r="I71" s="467"/>
      <c r="J71" s="467"/>
      <c r="K71" s="467"/>
      <c r="L71" s="467"/>
      <c r="M71" s="468"/>
      <c r="N71" s="467"/>
      <c r="O71" s="943"/>
      <c r="P71" s="2726"/>
      <c r="Q71" s="2726"/>
      <c r="R71" s="2650"/>
      <c r="S71" s="2650"/>
      <c r="T71" s="2650"/>
      <c r="U71" s="2650"/>
      <c r="V71" s="2650"/>
      <c r="W71" s="2650"/>
      <c r="X71" s="2650"/>
      <c r="Y71" s="2650"/>
      <c r="Z71" s="2650"/>
      <c r="AA71" s="2650"/>
      <c r="AB71" s="2650"/>
      <c r="AC71" s="2650"/>
    </row>
    <row r="72" spans="1:29" s="108" customFormat="1" ht="14.4">
      <c r="A72" s="470" t="s">
        <v>1681</v>
      </c>
      <c r="B72" s="459"/>
      <c r="C72" s="471" t="s">
        <v>1776</v>
      </c>
      <c r="D72" s="472"/>
      <c r="E72" s="472"/>
      <c r="F72" s="472"/>
      <c r="G72" s="472"/>
      <c r="H72" s="472"/>
      <c r="I72" s="472"/>
      <c r="J72" s="472"/>
      <c r="K72" s="472"/>
      <c r="L72" s="473"/>
      <c r="M72" s="474"/>
      <c r="N72" s="2739"/>
      <c r="O72" s="2739"/>
      <c r="P72" s="2764"/>
      <c r="Q72" s="2726"/>
      <c r="R72" s="2650"/>
      <c r="S72" s="2650"/>
      <c r="T72" s="2650"/>
      <c r="U72" s="2650"/>
      <c r="V72" s="2650"/>
      <c r="W72" s="2650"/>
      <c r="X72" s="2650"/>
      <c r="Y72" s="2650"/>
      <c r="Z72" s="2650"/>
      <c r="AA72" s="2650"/>
      <c r="AB72" s="2650"/>
      <c r="AC72" s="2650"/>
    </row>
    <row r="73" spans="1:29" s="108" customFormat="1" ht="14.4" thickBot="1">
      <c r="A73" s="470"/>
      <c r="B73" s="459"/>
      <c r="C73" s="587">
        <v>100</v>
      </c>
      <c r="D73" s="461"/>
      <c r="E73" s="461"/>
      <c r="F73" s="461"/>
      <c r="G73" s="461"/>
      <c r="H73" s="461"/>
      <c r="I73" s="461"/>
      <c r="J73" s="461"/>
      <c r="K73" s="461"/>
      <c r="L73" s="461"/>
      <c r="M73" s="463"/>
      <c r="N73" s="2739"/>
      <c r="O73" s="2739"/>
      <c r="P73" s="2726"/>
      <c r="Q73" s="2726"/>
      <c r="R73" s="2650"/>
      <c r="S73" s="2650"/>
      <c r="T73" s="2650"/>
      <c r="U73" s="2650"/>
      <c r="V73" s="2650"/>
      <c r="W73" s="2650"/>
      <c r="X73" s="2650"/>
      <c r="Y73" s="2650"/>
      <c r="Z73" s="2650"/>
      <c r="AA73" s="2650"/>
      <c r="AB73" s="2650"/>
      <c r="AC73" s="2650"/>
    </row>
    <row r="74" spans="1:29" ht="14.4">
      <c r="A74" s="476" t="s">
        <v>1719</v>
      </c>
      <c r="B74" s="477" t="s">
        <v>1685</v>
      </c>
      <c r="C74" s="479"/>
      <c r="D74" s="479"/>
      <c r="E74" s="479"/>
      <c r="F74" s="479"/>
      <c r="G74" s="479"/>
      <c r="H74" s="479"/>
      <c r="I74" s="479"/>
      <c r="J74" s="479"/>
      <c r="K74" s="480"/>
      <c r="L74" s="481"/>
      <c r="M74" s="482"/>
      <c r="N74" s="2740"/>
      <c r="O74" s="2740"/>
      <c r="P74" s="2765"/>
      <c r="Q74" s="2726"/>
      <c r="R74" s="2712"/>
      <c r="S74" s="2712"/>
      <c r="T74" s="2712"/>
      <c r="U74" s="2712"/>
      <c r="V74" s="2712"/>
      <c r="W74" s="2712"/>
      <c r="X74" s="2712"/>
      <c r="Y74" s="2712"/>
      <c r="Z74" s="2712"/>
      <c r="AA74" s="2712"/>
      <c r="AB74" s="2712"/>
      <c r="AC74" s="2712"/>
    </row>
    <row r="75" spans="1:29" ht="14.4" thickBot="1">
      <c r="A75" s="483"/>
      <c r="B75" s="484"/>
      <c r="C75" s="485"/>
      <c r="D75" s="485"/>
      <c r="E75" s="485"/>
      <c r="F75" s="485"/>
      <c r="G75" s="485"/>
      <c r="H75" s="485"/>
      <c r="I75" s="485"/>
      <c r="J75" s="485"/>
      <c r="K75" s="485"/>
      <c r="L75" s="485"/>
      <c r="M75" s="486"/>
      <c r="N75" s="2741"/>
      <c r="O75" s="2741"/>
      <c r="P75" s="2765"/>
      <c r="Q75" s="2726"/>
      <c r="R75" s="2712"/>
      <c r="S75" s="2712"/>
      <c r="T75" s="2712"/>
      <c r="U75" s="2712"/>
      <c r="V75" s="2712"/>
      <c r="W75" s="2712"/>
      <c r="X75" s="2712"/>
      <c r="Y75" s="2712"/>
      <c r="Z75" s="2712"/>
      <c r="AA75" s="2712"/>
      <c r="AB75" s="2712"/>
      <c r="AC75" s="2712"/>
    </row>
    <row r="76" spans="1:29" ht="29.4" thickTop="1">
      <c r="A76" s="483"/>
      <c r="B76" s="487" t="s">
        <v>1688</v>
      </c>
      <c r="C76" s="488"/>
      <c r="D76" s="488"/>
      <c r="E76" s="488"/>
      <c r="F76" s="488"/>
      <c r="G76" s="488"/>
      <c r="H76" s="488"/>
      <c r="I76" s="488"/>
      <c r="J76" s="488"/>
      <c r="K76" s="489"/>
      <c r="L76" s="490"/>
      <c r="M76" s="491"/>
      <c r="N76" s="2740"/>
      <c r="O76" s="2740"/>
      <c r="P76" s="2765"/>
      <c r="Q76" s="2726"/>
      <c r="R76" s="2712"/>
      <c r="S76" s="2712"/>
      <c r="T76" s="2712"/>
      <c r="U76" s="2712"/>
      <c r="V76" s="2712"/>
      <c r="W76" s="2712"/>
      <c r="X76" s="2712"/>
      <c r="Y76" s="2712"/>
      <c r="Z76" s="2712"/>
      <c r="AA76" s="2712"/>
      <c r="AB76" s="2712"/>
      <c r="AC76" s="2712"/>
    </row>
    <row r="77" spans="1:29" ht="14.4" thickBot="1">
      <c r="A77" s="483"/>
      <c r="B77" s="492"/>
      <c r="C77" s="493"/>
      <c r="D77" s="493"/>
      <c r="E77" s="493"/>
      <c r="F77" s="493"/>
      <c r="G77" s="493"/>
      <c r="H77" s="493"/>
      <c r="I77" s="493"/>
      <c r="J77" s="493"/>
      <c r="K77" s="493"/>
      <c r="L77" s="493"/>
      <c r="M77" s="494"/>
      <c r="N77" s="2741"/>
      <c r="O77" s="2741"/>
      <c r="P77" s="2765"/>
      <c r="Q77" s="2726"/>
      <c r="R77" s="2712"/>
      <c r="S77" s="2712"/>
      <c r="T77" s="2712"/>
      <c r="U77" s="2712"/>
      <c r="V77" s="2712"/>
      <c r="W77" s="2712"/>
      <c r="X77" s="2712"/>
      <c r="Y77" s="2712"/>
      <c r="Z77" s="2712"/>
      <c r="AA77" s="2712"/>
      <c r="AB77" s="2712"/>
      <c r="AC77" s="271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c r="A79" s="483"/>
      <c r="B79" s="497"/>
      <c r="C79" s="498"/>
      <c r="D79" s="498"/>
      <c r="E79" s="498"/>
      <c r="F79" s="498"/>
      <c r="G79" s="498"/>
      <c r="H79" s="498"/>
      <c r="I79" s="498"/>
      <c r="J79" s="498"/>
      <c r="K79" s="499"/>
      <c r="L79" s="500"/>
      <c r="M79" s="501"/>
      <c r="N79" s="2740"/>
      <c r="O79" s="2740"/>
      <c r="P79" s="2765"/>
      <c r="Q79" s="2726"/>
      <c r="R79" s="2712"/>
      <c r="S79" s="2712"/>
      <c r="T79" s="2712"/>
      <c r="U79" s="2712"/>
      <c r="V79" s="2712"/>
      <c r="W79" s="2712"/>
      <c r="X79" s="2712"/>
      <c r="Y79" s="2712"/>
      <c r="Z79" s="2712"/>
      <c r="AA79" s="2712"/>
      <c r="AB79" s="2712"/>
      <c r="AC79" s="271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1"/>
      <c r="O80" s="2741"/>
      <c r="P80" s="2765"/>
      <c r="Q80" s="2726"/>
      <c r="R80" s="2712"/>
      <c r="S80" s="2712"/>
      <c r="T80" s="2712"/>
      <c r="U80" s="2712"/>
      <c r="V80" s="2712"/>
      <c r="W80" s="2712"/>
      <c r="X80" s="2712"/>
      <c r="Y80" s="2712"/>
      <c r="Z80" s="2712"/>
      <c r="AA80" s="2712"/>
      <c r="AB80" s="2712"/>
      <c r="AC80" s="2712"/>
    </row>
    <row r="81" spans="1:29" s="422" customFormat="1" ht="14.4" thickTop="1">
      <c r="A81" s="502"/>
      <c r="B81" s="487" t="str">
        <f>B12</f>
        <v>配建</v>
      </c>
      <c r="C81" s="503"/>
      <c r="D81" s="503"/>
      <c r="E81" s="503"/>
      <c r="F81" s="503"/>
      <c r="G81" s="503"/>
      <c r="H81" s="504"/>
      <c r="I81" s="504"/>
      <c r="J81" s="504"/>
      <c r="K81" s="504"/>
      <c r="L81" s="505"/>
      <c r="M81" s="506"/>
      <c r="N81" s="2742"/>
      <c r="O81" s="2742"/>
      <c r="P81" s="2766"/>
      <c r="Q81" s="2733"/>
      <c r="R81" s="2734"/>
      <c r="S81" s="2734"/>
      <c r="T81" s="2734"/>
      <c r="U81" s="2734"/>
      <c r="V81" s="2734"/>
      <c r="W81" s="2734"/>
      <c r="X81" s="2734"/>
      <c r="Y81" s="2734"/>
      <c r="Z81" s="2734"/>
      <c r="AA81" s="2734"/>
      <c r="AB81" s="2734"/>
      <c r="AC81" s="2734"/>
    </row>
    <row r="82" spans="1:29" s="422" customFormat="1" ht="14.4" thickBot="1">
      <c r="A82" s="502"/>
      <c r="B82" s="492"/>
      <c r="C82" s="509"/>
      <c r="D82" s="485"/>
      <c r="E82" s="485"/>
      <c r="F82" s="485"/>
      <c r="G82" s="485"/>
      <c r="H82" s="485"/>
      <c r="I82" s="485"/>
      <c r="J82" s="485"/>
      <c r="K82" s="485"/>
      <c r="L82" s="485"/>
      <c r="M82" s="486"/>
      <c r="N82" s="2741"/>
      <c r="O82" s="2741"/>
      <c r="P82" s="2766"/>
      <c r="Q82" s="2733"/>
      <c r="R82" s="2734"/>
      <c r="S82" s="2734"/>
      <c r="T82" s="2734"/>
      <c r="U82" s="2734"/>
      <c r="V82" s="2734"/>
      <c r="W82" s="2734"/>
      <c r="X82" s="2734"/>
      <c r="Y82" s="2734"/>
      <c r="Z82" s="2734"/>
      <c r="AA82" s="2734"/>
      <c r="AB82" s="2734"/>
      <c r="AC82" s="2734"/>
    </row>
    <row r="83" spans="1:29" s="422" customFormat="1" ht="14.4" thickTop="1">
      <c r="A83" s="502"/>
      <c r="B83" s="487">
        <f>B13</f>
        <v>111</v>
      </c>
      <c r="C83" s="503"/>
      <c r="D83" s="503"/>
      <c r="E83" s="503"/>
      <c r="F83" s="503"/>
      <c r="G83" s="503"/>
      <c r="H83" s="504"/>
      <c r="I83" s="504"/>
      <c r="J83" s="504"/>
      <c r="K83" s="504"/>
      <c r="L83" s="505"/>
      <c r="M83" s="506"/>
      <c r="N83" s="2742"/>
      <c r="O83" s="2742"/>
      <c r="P83" s="2710"/>
      <c r="Q83" s="2736"/>
      <c r="R83" s="2734"/>
      <c r="S83" s="2734"/>
      <c r="T83" s="2734"/>
      <c r="U83" s="2734"/>
      <c r="V83" s="2734"/>
      <c r="W83" s="2734"/>
      <c r="X83" s="2734"/>
      <c r="Y83" s="2734"/>
      <c r="Z83" s="2734"/>
      <c r="AA83" s="2734"/>
      <c r="AB83" s="2734"/>
      <c r="AC83" s="2734"/>
    </row>
    <row r="84" spans="1:29" s="422" customFormat="1" ht="14.4" thickBot="1">
      <c r="A84" s="502"/>
      <c r="B84" s="492"/>
      <c r="C84" s="509"/>
      <c r="D84" s="509"/>
      <c r="E84" s="509"/>
      <c r="F84" s="509"/>
      <c r="G84" s="509"/>
      <c r="H84" s="511"/>
      <c r="I84" s="511"/>
      <c r="J84" s="511"/>
      <c r="K84" s="511"/>
      <c r="L84" s="511"/>
      <c r="M84" s="512"/>
      <c r="N84" s="2742"/>
      <c r="O84" s="2742"/>
      <c r="P84" s="2766"/>
      <c r="Q84" s="2733"/>
      <c r="R84" s="2734"/>
      <c r="S84" s="2734"/>
      <c r="T84" s="2734"/>
      <c r="U84" s="2734"/>
      <c r="V84" s="2734"/>
      <c r="W84" s="2734"/>
      <c r="X84" s="2734"/>
      <c r="Y84" s="2734"/>
      <c r="Z84" s="2734"/>
      <c r="AA84" s="2734"/>
      <c r="AB84" s="2734"/>
      <c r="AC84" s="2734"/>
    </row>
    <row r="85" spans="1:29" s="422" customFormat="1" ht="14.4" thickTop="1">
      <c r="A85" s="502"/>
      <c r="B85" s="495">
        <f>B14</f>
        <v>111</v>
      </c>
      <c r="C85" s="472"/>
      <c r="D85" s="472"/>
      <c r="E85" s="472"/>
      <c r="F85" s="472"/>
      <c r="G85" s="472"/>
      <c r="H85" s="513"/>
      <c r="I85" s="513"/>
      <c r="J85" s="513"/>
      <c r="K85" s="513"/>
      <c r="L85" s="514"/>
      <c r="M85" s="515"/>
      <c r="N85" s="2742"/>
      <c r="O85" s="2742"/>
      <c r="P85" s="2771"/>
      <c r="Q85" s="2733"/>
      <c r="R85" s="2734"/>
      <c r="S85" s="2734"/>
      <c r="T85" s="2734"/>
      <c r="U85" s="2734"/>
      <c r="V85" s="2734"/>
      <c r="W85" s="2734"/>
      <c r="X85" s="2734"/>
      <c r="Y85" s="2734"/>
      <c r="Z85" s="2734"/>
      <c r="AA85" s="2734"/>
      <c r="AB85" s="2734"/>
      <c r="AC85" s="2734"/>
    </row>
    <row r="86" spans="1:29" s="422" customFormat="1" ht="14.4" thickBot="1">
      <c r="A86" s="517"/>
      <c r="B86" s="518"/>
      <c r="C86" s="519"/>
      <c r="D86" s="519"/>
      <c r="E86" s="519"/>
      <c r="F86" s="519"/>
      <c r="G86" s="519"/>
      <c r="H86" s="520"/>
      <c r="I86" s="520"/>
      <c r="J86" s="520"/>
      <c r="K86" s="520"/>
      <c r="L86" s="520"/>
      <c r="M86" s="521"/>
      <c r="N86" s="2742"/>
      <c r="O86" s="2742"/>
      <c r="P86" s="2766"/>
      <c r="Q86" s="2733"/>
      <c r="R86" s="2734"/>
      <c r="S86" s="2734"/>
      <c r="T86" s="2734"/>
      <c r="U86" s="2734"/>
      <c r="V86" s="2734"/>
      <c r="W86" s="2734"/>
      <c r="X86" s="2734"/>
      <c r="Y86" s="2734"/>
      <c r="Z86" s="2734"/>
      <c r="AA86" s="2734"/>
      <c r="AB86" s="2734"/>
      <c r="AC86" s="2734"/>
    </row>
    <row r="87" spans="1:29" ht="14.4">
      <c r="A87" s="476" t="s">
        <v>1690</v>
      </c>
      <c r="B87" s="477" t="s">
        <v>1720</v>
      </c>
      <c r="C87" s="522" t="s">
        <v>1721</v>
      </c>
      <c r="D87" s="522" t="s">
        <v>1722</v>
      </c>
      <c r="E87" s="522" t="s">
        <v>1723</v>
      </c>
      <c r="F87" s="522" t="s">
        <v>1724</v>
      </c>
      <c r="G87" s="522" t="s">
        <v>1725</v>
      </c>
      <c r="H87" s="478"/>
      <c r="I87" s="478"/>
      <c r="J87" s="478"/>
      <c r="K87" s="523"/>
      <c r="L87" s="524"/>
      <c r="M87" s="525"/>
      <c r="N87" s="2740"/>
      <c r="O87" s="2740"/>
      <c r="P87" s="2767"/>
      <c r="Q87" s="2726"/>
      <c r="R87" s="2712"/>
      <c r="S87" s="2712"/>
      <c r="T87" s="2712"/>
      <c r="U87" s="2712"/>
      <c r="V87" s="2712"/>
      <c r="W87" s="2712"/>
      <c r="X87" s="2712"/>
      <c r="Y87" s="2712"/>
      <c r="Z87" s="2712"/>
      <c r="AA87" s="2712"/>
      <c r="AB87" s="2712"/>
      <c r="AC87" s="271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1"/>
      <c r="O88" s="2741"/>
      <c r="P88" s="2765"/>
      <c r="Q88" s="2726"/>
      <c r="R88" s="2712"/>
      <c r="S88" s="2712"/>
      <c r="T88" s="2712"/>
      <c r="U88" s="2712"/>
      <c r="V88" s="2712"/>
      <c r="W88" s="2712"/>
      <c r="X88" s="2712"/>
      <c r="Y88" s="2712"/>
      <c r="Z88" s="2712"/>
      <c r="AA88" s="2712"/>
      <c r="AB88" s="2712"/>
      <c r="AC88" s="2712"/>
    </row>
    <row r="89" spans="1:29" ht="15" thickTop="1">
      <c r="A89" s="483"/>
      <c r="B89" s="487" t="s">
        <v>1906</v>
      </c>
      <c r="C89" s="527" t="s">
        <v>1721</v>
      </c>
      <c r="D89" s="527" t="s">
        <v>1722</v>
      </c>
      <c r="E89" s="527" t="s">
        <v>1723</v>
      </c>
      <c r="F89" s="527" t="s">
        <v>1724</v>
      </c>
      <c r="G89" s="527" t="s">
        <v>1725</v>
      </c>
      <c r="H89" s="488"/>
      <c r="I89" s="488"/>
      <c r="J89" s="488"/>
      <c r="K89" s="489"/>
      <c r="L89" s="490"/>
      <c r="M89" s="491"/>
      <c r="N89" s="2740"/>
      <c r="O89" s="2740"/>
      <c r="P89" s="2765"/>
      <c r="Q89" s="2726"/>
      <c r="R89" s="2712"/>
      <c r="S89" s="2712"/>
      <c r="T89" s="2712"/>
      <c r="U89" s="2712"/>
      <c r="V89" s="2712"/>
      <c r="W89" s="2712"/>
      <c r="X89" s="2712"/>
      <c r="Y89" s="2712"/>
      <c r="Z89" s="2712"/>
      <c r="AA89" s="2712"/>
      <c r="AB89" s="2712"/>
      <c r="AC89" s="271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1"/>
      <c r="O90" s="2741"/>
      <c r="P90" s="2765"/>
      <c r="Q90" s="2726"/>
      <c r="R90" s="2712"/>
      <c r="S90" s="2712"/>
      <c r="T90" s="2712"/>
      <c r="U90" s="2712"/>
      <c r="V90" s="2712"/>
      <c r="W90" s="2712"/>
      <c r="X90" s="2712"/>
      <c r="Y90" s="2712"/>
      <c r="Z90" s="2712"/>
      <c r="AA90" s="2712"/>
      <c r="AB90" s="2712"/>
      <c r="AC90" s="2712"/>
    </row>
    <row r="91" spans="1:29" ht="15" thickTop="1">
      <c r="A91" s="483"/>
      <c r="B91" s="487" t="s">
        <v>1821</v>
      </c>
      <c r="C91" s="527" t="s">
        <v>1721</v>
      </c>
      <c r="D91" s="527" t="s">
        <v>1722</v>
      </c>
      <c r="E91" s="527" t="s">
        <v>1723</v>
      </c>
      <c r="F91" s="527" t="s">
        <v>1724</v>
      </c>
      <c r="G91" s="527" t="s">
        <v>1725</v>
      </c>
      <c r="H91" s="488"/>
      <c r="I91" s="488"/>
      <c r="J91" s="488"/>
      <c r="K91" s="489"/>
      <c r="L91" s="490"/>
      <c r="M91" s="491"/>
      <c r="N91" s="2740"/>
      <c r="O91" s="2740"/>
      <c r="P91" s="2765"/>
      <c r="Q91" s="2726"/>
      <c r="R91" s="2712"/>
      <c r="S91" s="2712"/>
      <c r="T91" s="2712"/>
      <c r="U91" s="2712"/>
      <c r="V91" s="2712"/>
      <c r="W91" s="2712"/>
      <c r="X91" s="2712"/>
      <c r="Y91" s="2712"/>
      <c r="Z91" s="2712"/>
      <c r="AA91" s="2712"/>
      <c r="AB91" s="2712"/>
      <c r="AC91" s="271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1"/>
      <c r="O92" s="2741"/>
      <c r="P92" s="2765"/>
      <c r="Q92" s="2726"/>
      <c r="R92" s="2712"/>
      <c r="S92" s="2712"/>
      <c r="T92" s="2712"/>
      <c r="U92" s="2712"/>
      <c r="V92" s="2712"/>
      <c r="W92" s="2712"/>
      <c r="X92" s="2712"/>
      <c r="Y92" s="2712"/>
      <c r="Z92" s="2712"/>
      <c r="AA92" s="2712"/>
      <c r="AB92" s="2712"/>
      <c r="AC92" s="2712"/>
    </row>
    <row r="93" spans="1:29" ht="15" thickTop="1">
      <c r="A93" s="483"/>
      <c r="B93" s="487" t="s">
        <v>1726</v>
      </c>
      <c r="C93" s="527" t="s">
        <v>1721</v>
      </c>
      <c r="D93" s="527" t="s">
        <v>1722</v>
      </c>
      <c r="E93" s="527" t="s">
        <v>1723</v>
      </c>
      <c r="F93" s="527" t="s">
        <v>1724</v>
      </c>
      <c r="G93" s="527" t="s">
        <v>1725</v>
      </c>
      <c r="H93" s="488"/>
      <c r="I93" s="488"/>
      <c r="J93" s="488"/>
      <c r="K93" s="489"/>
      <c r="L93" s="490"/>
      <c r="M93" s="491"/>
      <c r="N93" s="2740"/>
      <c r="O93" s="2740"/>
      <c r="P93" s="2765"/>
      <c r="Q93" s="2726"/>
      <c r="R93" s="2712"/>
      <c r="S93" s="2712"/>
      <c r="T93" s="2712"/>
      <c r="U93" s="2712"/>
      <c r="V93" s="2712"/>
      <c r="W93" s="2712"/>
      <c r="X93" s="2712"/>
      <c r="Y93" s="2712"/>
      <c r="Z93" s="2712"/>
      <c r="AA93" s="2712"/>
      <c r="AB93" s="2712"/>
      <c r="AC93" s="271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1"/>
      <c r="O94" s="2741"/>
      <c r="P94" s="2765"/>
      <c r="Q94" s="2726"/>
      <c r="R94" s="2712"/>
      <c r="S94" s="2712"/>
      <c r="T94" s="2712"/>
      <c r="U94" s="2712"/>
      <c r="V94" s="2712"/>
      <c r="W94" s="2712"/>
      <c r="X94" s="2712"/>
      <c r="Y94" s="2712"/>
      <c r="Z94" s="2712"/>
      <c r="AA94" s="2712"/>
      <c r="AB94" s="2712"/>
      <c r="AC94" s="271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39"/>
      <c r="O95" s="2739"/>
      <c r="P95" s="2765"/>
      <c r="Q95" s="2726"/>
      <c r="R95" s="2650"/>
      <c r="S95" s="2650"/>
      <c r="T95" s="2650"/>
      <c r="U95" s="2650"/>
      <c r="V95" s="2650"/>
      <c r="W95" s="2650"/>
      <c r="X95" s="2650"/>
      <c r="Y95" s="2650"/>
      <c r="Z95" s="2650"/>
      <c r="AA95" s="2650"/>
      <c r="AB95" s="2650"/>
      <c r="AC95" s="265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1"/>
      <c r="O96" s="2741"/>
      <c r="P96" s="2765"/>
      <c r="Q96" s="2726"/>
      <c r="R96" s="2650"/>
      <c r="S96" s="2650"/>
      <c r="T96" s="2650"/>
      <c r="U96" s="2650"/>
      <c r="V96" s="2650"/>
      <c r="W96" s="2650"/>
      <c r="X96" s="2650"/>
      <c r="Y96" s="2650"/>
      <c r="Z96" s="2650"/>
      <c r="AA96" s="2650"/>
      <c r="AB96" s="2650"/>
      <c r="AC96" s="265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39"/>
      <c r="O97" s="2739"/>
      <c r="P97" s="2765"/>
      <c r="Q97" s="2726"/>
      <c r="R97" s="2650"/>
      <c r="S97" s="2650"/>
      <c r="T97" s="2650"/>
      <c r="U97" s="2650"/>
      <c r="V97" s="2650"/>
      <c r="W97" s="2650"/>
      <c r="X97" s="2650"/>
      <c r="Y97" s="2650"/>
      <c r="Z97" s="2650"/>
      <c r="AA97" s="2650"/>
      <c r="AB97" s="2650"/>
      <c r="AC97" s="265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1"/>
      <c r="O98" s="2741"/>
      <c r="P98" s="2765"/>
      <c r="Q98" s="2726"/>
      <c r="R98" s="2650"/>
      <c r="S98" s="2650"/>
      <c r="T98" s="2650"/>
      <c r="U98" s="2650"/>
      <c r="V98" s="2650"/>
      <c r="W98" s="2650"/>
      <c r="X98" s="2650"/>
      <c r="Y98" s="2650"/>
      <c r="Z98" s="2650"/>
      <c r="AA98" s="2650"/>
      <c r="AB98" s="2650"/>
      <c r="AC98" s="265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2"/>
      <c r="O99" s="2742"/>
      <c r="P99" s="2766"/>
      <c r="Q99" s="2733"/>
      <c r="R99" s="2734"/>
      <c r="S99" s="2734"/>
      <c r="T99" s="2734"/>
      <c r="U99" s="2734"/>
      <c r="V99" s="2734"/>
      <c r="W99" s="2734"/>
      <c r="X99" s="2734"/>
      <c r="Y99" s="2734"/>
      <c r="Z99" s="2734"/>
      <c r="AA99" s="2734"/>
      <c r="AB99" s="2734"/>
      <c r="AC99" s="273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2"/>
      <c r="O100" s="2742"/>
      <c r="P100" s="2766"/>
      <c r="Q100" s="2733"/>
      <c r="R100" s="2734"/>
      <c r="S100" s="2734"/>
      <c r="T100" s="2734"/>
      <c r="U100" s="2734"/>
      <c r="V100" s="2734"/>
      <c r="W100" s="2734"/>
      <c r="X100" s="2734"/>
      <c r="Y100" s="2734"/>
      <c r="Z100" s="2734"/>
      <c r="AA100" s="2734"/>
      <c r="AB100" s="2734"/>
      <c r="AC100" s="273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42"/>
      <c r="O101" s="2742"/>
      <c r="P101" s="2766"/>
      <c r="Q101" s="2733"/>
      <c r="R101" s="2734"/>
      <c r="S101" s="2734"/>
      <c r="T101" s="2734"/>
      <c r="U101" s="2734"/>
      <c r="V101" s="2734"/>
      <c r="W101" s="2734"/>
      <c r="X101" s="2734"/>
      <c r="Y101" s="2734"/>
      <c r="Z101" s="2734"/>
      <c r="AA101" s="2734"/>
      <c r="AB101" s="2734"/>
      <c r="AC101" s="273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42"/>
      <c r="O102" s="2742"/>
      <c r="P102" s="2766"/>
      <c r="Q102" s="2733"/>
      <c r="R102" s="2734"/>
      <c r="S102" s="2734"/>
      <c r="T102" s="2734"/>
      <c r="U102" s="2734"/>
      <c r="V102" s="2734"/>
      <c r="W102" s="2734"/>
      <c r="X102" s="2734"/>
      <c r="Y102" s="2734"/>
      <c r="Z102" s="2734"/>
      <c r="AA102" s="2734"/>
      <c r="AB102" s="2734"/>
      <c r="AC102" s="273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0"/>
      <c r="O103" s="2740"/>
      <c r="P103" s="2765"/>
      <c r="Q103" s="2726"/>
      <c r="R103" s="2712"/>
      <c r="S103" s="2712"/>
      <c r="T103" s="2712"/>
      <c r="U103" s="2712"/>
      <c r="V103" s="2712"/>
      <c r="W103" s="2712"/>
      <c r="X103" s="2712"/>
      <c r="Y103" s="2712"/>
      <c r="Z103" s="2712"/>
      <c r="AA103" s="2712"/>
      <c r="AB103" s="2712"/>
      <c r="AC103" s="271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1"/>
      <c r="O104" s="2741"/>
      <c r="P104" s="2765"/>
      <c r="Q104" s="2726"/>
      <c r="R104" s="2712"/>
      <c r="S104" s="2712"/>
      <c r="T104" s="2712"/>
      <c r="U104" s="2712"/>
      <c r="V104" s="2712"/>
      <c r="W104" s="2712"/>
      <c r="X104" s="2712"/>
      <c r="Y104" s="2712"/>
      <c r="Z104" s="2712"/>
      <c r="AA104" s="2712"/>
      <c r="AB104" s="2712"/>
      <c r="AC104" s="2712"/>
    </row>
    <row r="105" spans="1:29" ht="29.4" thickTop="1">
      <c r="A105" s="483"/>
      <c r="B105" s="487" t="s">
        <v>1815</v>
      </c>
      <c r="C105" s="503"/>
      <c r="D105" s="503"/>
      <c r="E105" s="503"/>
      <c r="F105" s="503"/>
      <c r="G105" s="503"/>
      <c r="H105" s="532"/>
      <c r="I105" s="532"/>
      <c r="J105" s="532"/>
      <c r="K105" s="533"/>
      <c r="L105" s="534"/>
      <c r="M105" s="535"/>
      <c r="N105" s="2740"/>
      <c r="O105" s="2740"/>
      <c r="P105" s="2765"/>
      <c r="Q105" s="2726"/>
      <c r="R105" s="2712"/>
      <c r="S105" s="2712"/>
      <c r="T105" s="2712"/>
      <c r="U105" s="2712"/>
      <c r="V105" s="2712"/>
      <c r="W105" s="2712"/>
      <c r="X105" s="2712"/>
      <c r="Y105" s="2712"/>
      <c r="Z105" s="2712"/>
      <c r="AA105" s="2712"/>
      <c r="AB105" s="2712"/>
      <c r="AC105" s="271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1"/>
      <c r="O106" s="2741"/>
      <c r="P106" s="2765"/>
      <c r="Q106" s="2726"/>
      <c r="R106" s="2712"/>
      <c r="S106" s="2712"/>
      <c r="T106" s="2712"/>
      <c r="U106" s="2712"/>
      <c r="V106" s="2712"/>
      <c r="W106" s="2712"/>
      <c r="X106" s="2712"/>
      <c r="Y106" s="2712"/>
      <c r="Z106" s="2712"/>
      <c r="AA106" s="2712"/>
      <c r="AB106" s="2712"/>
      <c r="AC106" s="2712"/>
    </row>
    <row r="107" spans="1:29" ht="15" thickTop="1">
      <c r="A107" s="483"/>
      <c r="B107" s="487" t="s">
        <v>1873</v>
      </c>
      <c r="C107" s="532"/>
      <c r="D107" s="532"/>
      <c r="E107" s="532"/>
      <c r="F107" s="532"/>
      <c r="G107" s="532"/>
      <c r="H107" s="532"/>
      <c r="I107" s="532"/>
      <c r="J107" s="532"/>
      <c r="K107" s="533"/>
      <c r="L107" s="534"/>
      <c r="M107" s="535"/>
      <c r="N107" s="2740"/>
      <c r="O107" s="2740"/>
      <c r="P107" s="2765"/>
      <c r="Q107" s="2726"/>
      <c r="R107" s="2712"/>
      <c r="S107" s="2712"/>
      <c r="T107" s="2712"/>
      <c r="U107" s="2712"/>
      <c r="V107" s="2712"/>
      <c r="W107" s="2712"/>
      <c r="X107" s="2712"/>
      <c r="Y107" s="2712"/>
      <c r="Z107" s="2712"/>
      <c r="AA107" s="2712"/>
      <c r="AB107" s="2712"/>
      <c r="AC107" s="271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1"/>
      <c r="O108" s="2741"/>
      <c r="P108" s="2765"/>
      <c r="Q108" s="2726"/>
      <c r="R108" s="2712"/>
      <c r="S108" s="2712"/>
      <c r="T108" s="2712"/>
      <c r="U108" s="2712"/>
      <c r="V108" s="2712"/>
      <c r="W108" s="2712"/>
      <c r="X108" s="2712"/>
      <c r="Y108" s="2712"/>
      <c r="Z108" s="2712"/>
      <c r="AA108" s="2712"/>
      <c r="AB108" s="2712"/>
      <c r="AC108" s="2712"/>
    </row>
    <row r="109" spans="1:29" ht="14.4" thickTop="1">
      <c r="A109" s="483"/>
      <c r="B109" s="495">
        <f>B35</f>
        <v>111</v>
      </c>
      <c r="C109" s="503"/>
      <c r="D109" s="503"/>
      <c r="E109" s="503"/>
      <c r="F109" s="503"/>
      <c r="G109" s="536"/>
      <c r="H109" s="536"/>
      <c r="I109" s="536"/>
      <c r="J109" s="536"/>
      <c r="K109" s="537"/>
      <c r="L109" s="538"/>
      <c r="M109" s="539"/>
      <c r="N109" s="2740"/>
      <c r="O109" s="2740"/>
      <c r="P109" s="2765"/>
      <c r="Q109" s="2726"/>
      <c r="R109" s="2712"/>
      <c r="S109" s="2712"/>
      <c r="T109" s="2712"/>
      <c r="U109" s="2712"/>
      <c r="V109" s="2712"/>
      <c r="W109" s="2712"/>
      <c r="X109" s="2712"/>
      <c r="Y109" s="2712"/>
      <c r="Z109" s="2712"/>
      <c r="AA109" s="2712"/>
      <c r="AB109" s="2712"/>
      <c r="AC109" s="2712"/>
    </row>
    <row r="110" spans="1:29" ht="14.4" thickBot="1">
      <c r="A110" s="483"/>
      <c r="B110" s="518"/>
      <c r="C110" s="509"/>
      <c r="D110" s="509"/>
      <c r="E110" s="509"/>
      <c r="F110" s="509"/>
      <c r="G110" s="540"/>
      <c r="H110" s="540"/>
      <c r="I110" s="540"/>
      <c r="J110" s="540"/>
      <c r="K110" s="540"/>
      <c r="L110" s="540"/>
      <c r="M110" s="541"/>
      <c r="N110" s="2741"/>
      <c r="O110" s="2741"/>
      <c r="P110" s="2765"/>
      <c r="Q110" s="2726"/>
      <c r="R110" s="2712"/>
      <c r="S110" s="2712"/>
      <c r="T110" s="2712"/>
      <c r="U110" s="2712"/>
      <c r="V110" s="2712"/>
      <c r="W110" s="2712"/>
      <c r="X110" s="2712"/>
      <c r="Y110" s="2712"/>
      <c r="Z110" s="2712"/>
      <c r="AA110" s="2712"/>
      <c r="AB110" s="2712"/>
      <c r="AC110" s="2712"/>
    </row>
    <row r="111" spans="1:29" ht="14.4" thickTop="1">
      <c r="A111" s="623"/>
      <c r="B111" s="487">
        <f>B36</f>
        <v>111</v>
      </c>
      <c r="C111" s="472"/>
      <c r="D111" s="472"/>
      <c r="E111" s="472"/>
      <c r="F111" s="472"/>
      <c r="G111" s="532"/>
      <c r="H111" s="532"/>
      <c r="I111" s="532"/>
      <c r="J111" s="532"/>
      <c r="K111" s="533"/>
      <c r="L111" s="534"/>
      <c r="M111" s="535"/>
      <c r="N111" s="2740"/>
      <c r="O111" s="2740"/>
      <c r="P111" s="2765"/>
      <c r="Q111" s="2726"/>
      <c r="R111" s="2712"/>
      <c r="S111" s="2712"/>
      <c r="T111" s="2712"/>
      <c r="U111" s="2712"/>
      <c r="V111" s="2712"/>
      <c r="W111" s="2712"/>
      <c r="X111" s="2712"/>
      <c r="Y111" s="2712"/>
      <c r="Z111" s="2712"/>
      <c r="AA111" s="2712"/>
      <c r="AB111" s="2712"/>
      <c r="AC111" s="2712"/>
    </row>
    <row r="112" spans="1:29" ht="14.4" thickBot="1">
      <c r="A112" s="483"/>
      <c r="B112" s="492"/>
      <c r="C112" s="519"/>
      <c r="D112" s="519"/>
      <c r="E112" s="519"/>
      <c r="F112" s="519"/>
      <c r="G112" s="485"/>
      <c r="H112" s="485"/>
      <c r="I112" s="485"/>
      <c r="J112" s="485"/>
      <c r="K112" s="485"/>
      <c r="L112" s="485"/>
      <c r="M112" s="486"/>
      <c r="N112" s="2741"/>
      <c r="O112" s="2741"/>
      <c r="P112" s="2765"/>
      <c r="Q112" s="2726"/>
      <c r="R112" s="2712"/>
      <c r="S112" s="2712"/>
      <c r="T112" s="2712"/>
      <c r="U112" s="2712"/>
      <c r="V112" s="2712"/>
      <c r="W112" s="2712"/>
      <c r="X112" s="2712"/>
      <c r="Y112" s="2712"/>
      <c r="Z112" s="2712"/>
      <c r="AA112" s="2712"/>
      <c r="AB112" s="2712"/>
      <c r="AC112" s="2712"/>
    </row>
    <row r="113" spans="1:29" s="422" customFormat="1" ht="14.4" thickTop="1">
      <c r="A113" s="542"/>
      <c r="B113" s="543">
        <f>B37</f>
        <v>111</v>
      </c>
      <c r="C113" s="544"/>
      <c r="D113" s="544"/>
      <c r="E113" s="544"/>
      <c r="F113" s="544"/>
      <c r="G113" s="544"/>
      <c r="H113" s="544"/>
      <c r="I113" s="544"/>
      <c r="J113" s="545"/>
      <c r="K113" s="545"/>
      <c r="L113" s="546"/>
      <c r="M113" s="547"/>
      <c r="N113" s="2742"/>
      <c r="O113" s="2742"/>
      <c r="P113" s="2766"/>
      <c r="Q113" s="2733"/>
      <c r="R113" s="2734"/>
      <c r="S113" s="2734"/>
      <c r="T113" s="2734"/>
      <c r="U113" s="2734"/>
      <c r="V113" s="2734"/>
      <c r="W113" s="2734"/>
      <c r="X113" s="2734"/>
      <c r="Y113" s="2734"/>
      <c r="Z113" s="2734"/>
      <c r="AA113" s="2734"/>
      <c r="AB113" s="2734"/>
      <c r="AC113" s="2734"/>
    </row>
    <row r="114" spans="1:29" s="422" customFormat="1" ht="14.4" thickBot="1">
      <c r="A114" s="502"/>
      <c r="B114" s="495"/>
      <c r="C114" s="461"/>
      <c r="D114" s="625"/>
      <c r="E114" s="625"/>
      <c r="F114" s="625"/>
      <c r="G114" s="625"/>
      <c r="H114" s="625"/>
      <c r="I114" s="625"/>
      <c r="J114" s="625"/>
      <c r="K114" s="625"/>
      <c r="L114" s="625"/>
      <c r="M114" s="647"/>
      <c r="N114" s="2741"/>
      <c r="O114" s="2741"/>
      <c r="P114" s="2766"/>
      <c r="Q114" s="2733"/>
      <c r="R114" s="2734"/>
      <c r="S114" s="2734"/>
      <c r="T114" s="2734"/>
      <c r="U114" s="2734"/>
      <c r="V114" s="2734"/>
      <c r="W114" s="2734"/>
      <c r="X114" s="2734"/>
      <c r="Y114" s="2734"/>
      <c r="Z114" s="2734"/>
      <c r="AA114" s="2734"/>
      <c r="AB114" s="2734"/>
      <c r="AC114" s="273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0"/>
      <c r="O115" s="2740"/>
      <c r="P115" s="2765"/>
      <c r="Q115" s="2726"/>
      <c r="R115" s="2712"/>
      <c r="S115" s="2712"/>
      <c r="T115" s="2712"/>
      <c r="U115" s="2712"/>
      <c r="V115" s="2712"/>
      <c r="W115" s="2712"/>
      <c r="X115" s="2712"/>
      <c r="Y115" s="2712"/>
      <c r="Z115" s="2712"/>
      <c r="AA115" s="2712"/>
      <c r="AB115" s="2712"/>
      <c r="AC115" s="2712"/>
    </row>
    <row r="116" spans="1:29">
      <c r="A116" s="483"/>
      <c r="B116" s="495"/>
      <c r="C116" s="544"/>
      <c r="D116" s="544"/>
      <c r="E116" s="544"/>
      <c r="F116" s="544"/>
      <c r="G116" s="544"/>
      <c r="H116" s="544"/>
      <c r="I116" s="544"/>
      <c r="J116" s="545"/>
      <c r="K116" s="545"/>
      <c r="L116" s="546"/>
      <c r="M116" s="547"/>
      <c r="N116" s="2740"/>
      <c r="O116" s="2740"/>
      <c r="P116" s="2765"/>
      <c r="Q116" s="2726"/>
      <c r="R116" s="2712"/>
      <c r="S116" s="2712"/>
      <c r="T116" s="2712"/>
      <c r="U116" s="2712"/>
      <c r="V116" s="2712"/>
      <c r="W116" s="2712"/>
      <c r="X116" s="2712"/>
      <c r="Y116" s="2712"/>
      <c r="Z116" s="2712"/>
      <c r="AA116" s="2712"/>
      <c r="AB116" s="2712"/>
      <c r="AC116" s="2712"/>
    </row>
    <row r="117" spans="1:29" ht="14.4" thickBot="1">
      <c r="A117" s="483"/>
      <c r="B117" s="492"/>
      <c r="C117" s="519"/>
      <c r="D117" s="540"/>
      <c r="E117" s="540"/>
      <c r="F117" s="540"/>
      <c r="G117" s="540"/>
      <c r="H117" s="540"/>
      <c r="I117" s="540"/>
      <c r="J117" s="540"/>
      <c r="K117" s="540"/>
      <c r="L117" s="540"/>
      <c r="M117" s="541"/>
      <c r="N117" s="2741"/>
      <c r="O117" s="2741"/>
      <c r="P117" s="2765"/>
      <c r="Q117" s="2726"/>
      <c r="R117" s="2712"/>
      <c r="S117" s="2712"/>
      <c r="T117" s="2712"/>
      <c r="U117" s="2712"/>
      <c r="V117" s="2712"/>
      <c r="W117" s="2712"/>
      <c r="X117" s="2712"/>
      <c r="Y117" s="2712"/>
      <c r="Z117" s="2712"/>
      <c r="AA117" s="2712"/>
      <c r="AB117" s="2712"/>
      <c r="AC117" s="2712"/>
    </row>
    <row r="118" spans="1:29" ht="15" thickTop="1">
      <c r="A118" s="548"/>
      <c r="B118" s="487" t="s">
        <v>1914</v>
      </c>
      <c r="C118" s="532"/>
      <c r="D118" s="532"/>
      <c r="E118" s="532"/>
      <c r="F118" s="532"/>
      <c r="G118" s="532"/>
      <c r="H118" s="532"/>
      <c r="I118" s="532"/>
      <c r="J118" s="532"/>
      <c r="K118" s="533"/>
      <c r="L118" s="534"/>
      <c r="M118" s="535"/>
      <c r="N118" s="2740"/>
      <c r="O118" s="2740"/>
      <c r="P118" s="2765"/>
      <c r="Q118" s="2726"/>
      <c r="R118" s="2712"/>
      <c r="S118" s="2712"/>
      <c r="T118" s="2712"/>
      <c r="U118" s="2712"/>
      <c r="V118" s="2712"/>
      <c r="W118" s="2712"/>
      <c r="X118" s="2712"/>
      <c r="Y118" s="2712"/>
      <c r="Z118" s="2712"/>
      <c r="AA118" s="2712"/>
      <c r="AB118" s="2712"/>
      <c r="AC118" s="271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8"/>
      <c r="B120" s="487" t="s">
        <v>1915</v>
      </c>
      <c r="C120" s="503"/>
      <c r="D120" s="503"/>
      <c r="E120" s="503"/>
      <c r="F120" s="532"/>
      <c r="G120" s="532"/>
      <c r="H120" s="532"/>
      <c r="I120" s="532"/>
      <c r="J120" s="532"/>
      <c r="K120" s="533"/>
      <c r="L120" s="534"/>
      <c r="M120" s="535"/>
      <c r="N120" s="2740"/>
      <c r="O120" s="2740"/>
      <c r="P120" s="2765"/>
      <c r="Q120" s="2726"/>
      <c r="R120" s="2712"/>
      <c r="S120" s="2712"/>
      <c r="T120" s="2712"/>
      <c r="U120" s="2712"/>
      <c r="V120" s="2712"/>
      <c r="W120" s="2712"/>
      <c r="X120" s="2712"/>
      <c r="Y120" s="2712"/>
      <c r="Z120" s="2712"/>
      <c r="AA120" s="2712"/>
      <c r="AB120" s="2712"/>
      <c r="AC120" s="271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2"/>
      <c r="B122" s="487" t="s">
        <v>1916</v>
      </c>
      <c r="C122" s="503"/>
      <c r="D122" s="503"/>
      <c r="E122" s="503"/>
      <c r="F122" s="503"/>
      <c r="G122" s="503"/>
      <c r="H122" s="532"/>
      <c r="I122" s="532"/>
      <c r="J122" s="532"/>
      <c r="K122" s="533"/>
      <c r="L122" s="534"/>
      <c r="M122" s="535"/>
      <c r="N122" s="2742"/>
      <c r="O122" s="2742"/>
      <c r="P122" s="2766"/>
      <c r="Q122" s="2733"/>
      <c r="R122" s="2734"/>
      <c r="S122" s="2734"/>
      <c r="T122" s="2734"/>
      <c r="U122" s="2734"/>
      <c r="V122" s="2734"/>
      <c r="W122" s="2734"/>
      <c r="X122" s="2734"/>
      <c r="Y122" s="2734"/>
      <c r="Z122" s="2734"/>
      <c r="AA122" s="2734"/>
      <c r="AB122" s="2734"/>
      <c r="AC122" s="273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8"/>
      <c r="B124" s="487" t="s">
        <v>1917</v>
      </c>
      <c r="C124" s="503"/>
      <c r="D124" s="503"/>
      <c r="E124" s="532"/>
      <c r="F124" s="532"/>
      <c r="G124" s="532"/>
      <c r="H124" s="532"/>
      <c r="I124" s="532"/>
      <c r="J124" s="532"/>
      <c r="K124" s="533"/>
      <c r="L124" s="534"/>
      <c r="M124" s="535"/>
      <c r="N124" s="2740"/>
      <c r="O124" s="2740"/>
      <c r="P124" s="2765"/>
      <c r="Q124" s="2726"/>
      <c r="R124" s="2712"/>
      <c r="S124" s="2712"/>
      <c r="T124" s="2712"/>
      <c r="U124" s="2712"/>
      <c r="V124" s="2712"/>
      <c r="W124" s="2712"/>
      <c r="X124" s="2712"/>
      <c r="Y124" s="2712"/>
      <c r="Z124" s="2712"/>
      <c r="AA124" s="2712"/>
      <c r="AB124" s="2712"/>
      <c r="AC124" s="271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1"/>
      <c r="O125" s="2741"/>
      <c r="P125" s="2765"/>
      <c r="Q125" s="2726"/>
      <c r="R125" s="2712"/>
      <c r="S125" s="2712"/>
      <c r="T125" s="2712"/>
      <c r="U125" s="2712"/>
      <c r="V125" s="2712"/>
      <c r="W125" s="2712"/>
      <c r="X125" s="2712"/>
      <c r="Y125" s="2712"/>
      <c r="Z125" s="2712"/>
      <c r="AA125" s="2712"/>
      <c r="AB125" s="2712"/>
      <c r="AC125" s="2712"/>
    </row>
    <row r="126" spans="1:29" ht="14.4" thickTop="1">
      <c r="A126" s="548"/>
      <c r="B126" s="487">
        <f>B43</f>
        <v>111</v>
      </c>
      <c r="C126" s="503"/>
      <c r="D126" s="503"/>
      <c r="E126" s="503"/>
      <c r="F126" s="503"/>
      <c r="G126" s="503"/>
      <c r="H126" s="532"/>
      <c r="I126" s="532"/>
      <c r="J126" s="532"/>
      <c r="K126" s="533"/>
      <c r="L126" s="534"/>
      <c r="M126" s="535"/>
      <c r="N126" s="2740"/>
      <c r="O126" s="2740"/>
      <c r="P126" s="2765"/>
      <c r="Q126" s="2726"/>
      <c r="R126" s="2712"/>
      <c r="S126" s="2712"/>
      <c r="T126" s="2712"/>
      <c r="U126" s="2712"/>
      <c r="V126" s="2712"/>
      <c r="W126" s="2712"/>
      <c r="X126" s="2712"/>
      <c r="Y126" s="2712"/>
      <c r="Z126" s="2712"/>
      <c r="AA126" s="2712"/>
      <c r="AB126" s="2712"/>
      <c r="AC126" s="2712"/>
    </row>
    <row r="127" spans="1:29" ht="14.4" thickBot="1">
      <c r="A127" s="483"/>
      <c r="B127" s="492"/>
      <c r="C127" s="509"/>
      <c r="D127" s="509"/>
      <c r="E127" s="509"/>
      <c r="F127" s="509"/>
      <c r="G127" s="485"/>
      <c r="H127" s="485"/>
      <c r="I127" s="485"/>
      <c r="J127" s="485"/>
      <c r="K127" s="485"/>
      <c r="L127" s="485"/>
      <c r="M127" s="486"/>
      <c r="N127" s="2741"/>
      <c r="O127" s="2741"/>
      <c r="P127" s="2765"/>
      <c r="Q127" s="2726"/>
      <c r="R127" s="2712"/>
      <c r="S127" s="2712"/>
      <c r="T127" s="2712"/>
      <c r="U127" s="2712"/>
      <c r="V127" s="2712"/>
      <c r="W127" s="2712"/>
      <c r="X127" s="2712"/>
      <c r="Y127" s="2712"/>
      <c r="Z127" s="2712"/>
      <c r="AA127" s="2712"/>
      <c r="AB127" s="2712"/>
      <c r="AC127" s="2712"/>
    </row>
    <row r="128" spans="1:29" ht="14.4" thickTop="1">
      <c r="A128" s="548"/>
      <c r="B128" s="487">
        <f>B44</f>
        <v>111</v>
      </c>
      <c r="C128" s="472"/>
      <c r="D128" s="472"/>
      <c r="E128" s="472"/>
      <c r="F128" s="472"/>
      <c r="G128" s="532"/>
      <c r="H128" s="532"/>
      <c r="I128" s="532"/>
      <c r="J128" s="532"/>
      <c r="K128" s="533"/>
      <c r="L128" s="534"/>
      <c r="M128" s="535"/>
      <c r="N128" s="2740"/>
      <c r="O128" s="2740"/>
      <c r="P128" s="2765"/>
      <c r="Q128" s="2726"/>
      <c r="R128" s="2712"/>
      <c r="S128" s="2712"/>
      <c r="T128" s="2712"/>
      <c r="U128" s="2712"/>
      <c r="V128" s="2712"/>
      <c r="W128" s="2712"/>
      <c r="X128" s="2712"/>
      <c r="Y128" s="2712"/>
      <c r="Z128" s="2712"/>
      <c r="AA128" s="2712"/>
      <c r="AB128" s="2712"/>
      <c r="AC128" s="2712"/>
    </row>
    <row r="129" spans="1:29" ht="14.4" thickBot="1">
      <c r="A129" s="483"/>
      <c r="B129" s="492"/>
      <c r="C129" s="519"/>
      <c r="D129" s="519"/>
      <c r="E129" s="519"/>
      <c r="F129" s="519"/>
      <c r="G129" s="485"/>
      <c r="H129" s="485"/>
      <c r="I129" s="485"/>
      <c r="J129" s="485"/>
      <c r="K129" s="485"/>
      <c r="L129" s="485"/>
      <c r="M129" s="486"/>
      <c r="N129" s="2741"/>
      <c r="O129" s="2741"/>
      <c r="P129" s="2765"/>
      <c r="Q129" s="2726"/>
      <c r="R129" s="2712"/>
      <c r="S129" s="2712"/>
      <c r="T129" s="2712"/>
      <c r="U129" s="2712"/>
      <c r="V129" s="2712"/>
      <c r="W129" s="2712"/>
      <c r="X129" s="2712"/>
      <c r="Y129" s="2712"/>
      <c r="Z129" s="2712"/>
      <c r="AA129" s="2712"/>
      <c r="AB129" s="2712"/>
      <c r="AC129" s="2712"/>
    </row>
    <row r="130" spans="1:29" s="422" customFormat="1" ht="14.4" thickTop="1">
      <c r="A130" s="542"/>
      <c r="B130" s="487">
        <f>B45</f>
        <v>111</v>
      </c>
      <c r="C130" s="472"/>
      <c r="D130" s="472"/>
      <c r="E130" s="472"/>
      <c r="F130" s="472"/>
      <c r="G130" s="504"/>
      <c r="H130" s="504"/>
      <c r="I130" s="504"/>
      <c r="J130" s="504"/>
      <c r="K130" s="504"/>
      <c r="L130" s="505"/>
      <c r="M130" s="506"/>
      <c r="N130" s="2742"/>
      <c r="O130" s="2742"/>
      <c r="P130" s="2766"/>
      <c r="Q130" s="2733"/>
      <c r="R130" s="2734"/>
      <c r="S130" s="2734"/>
      <c r="T130" s="2734"/>
      <c r="U130" s="2734"/>
      <c r="V130" s="2734"/>
      <c r="W130" s="2734"/>
      <c r="X130" s="2734"/>
      <c r="Y130" s="2734"/>
      <c r="Z130" s="2734"/>
      <c r="AA130" s="2734"/>
      <c r="AB130" s="2734"/>
      <c r="AC130" s="2734"/>
    </row>
    <row r="131" spans="1:29" s="422" customFormat="1" ht="14.4" thickBot="1">
      <c r="A131" s="517"/>
      <c r="B131" s="648"/>
      <c r="C131" s="519"/>
      <c r="D131" s="519"/>
      <c r="E131" s="519"/>
      <c r="F131" s="519"/>
      <c r="G131" s="540"/>
      <c r="H131" s="540"/>
      <c r="I131" s="540"/>
      <c r="J131" s="540"/>
      <c r="K131" s="540"/>
      <c r="L131" s="540"/>
      <c r="M131" s="541"/>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1"/>
      <c r="M2" s="2722"/>
      <c r="N2" s="2722"/>
      <c r="O2" s="272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1"/>
      <c r="M3" s="2722"/>
      <c r="N3" s="2722"/>
      <c r="O3" s="2722"/>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02"/>
      <c r="M4" s="2703"/>
      <c r="N4" s="2703"/>
      <c r="O4" s="2703"/>
      <c r="P4" s="3687" t="s">
        <v>1775</v>
      </c>
      <c r="Q4" s="3688"/>
      <c r="R4" s="3693" t="s">
        <v>1771</v>
      </c>
      <c r="S4" s="3694"/>
      <c r="T4" s="3693" t="s">
        <v>1772</v>
      </c>
      <c r="U4" s="3694"/>
      <c r="V4" s="3699" t="s">
        <v>1773</v>
      </c>
      <c r="W4" s="3699"/>
      <c r="X4" s="1354"/>
      <c r="Y4" s="3693" t="s">
        <v>1775</v>
      </c>
      <c r="Z4" s="3694"/>
      <c r="AA4" s="3680" t="s">
        <v>1771</v>
      </c>
      <c r="AB4" s="3681" t="s">
        <v>1772</v>
      </c>
      <c r="AC4" s="3680" t="s">
        <v>1773</v>
      </c>
    </row>
    <row r="5" spans="1:29">
      <c r="A5" s="358"/>
      <c r="B5" s="359"/>
      <c r="C5" s="3702" t="s">
        <v>1673</v>
      </c>
      <c r="D5" s="3703"/>
      <c r="E5" s="3712" t="s">
        <v>1674</v>
      </c>
      <c r="F5" s="3711"/>
      <c r="G5" s="3702" t="s">
        <v>1675</v>
      </c>
      <c r="H5" s="3703"/>
      <c r="I5" s="3702" t="s">
        <v>1676</v>
      </c>
      <c r="J5" s="3703"/>
      <c r="K5" s="559"/>
      <c r="L5" s="2702"/>
      <c r="M5" s="2703"/>
      <c r="N5" s="2703"/>
      <c r="O5" s="2703"/>
      <c r="P5" s="3689"/>
      <c r="Q5" s="3690"/>
      <c r="R5" s="3695"/>
      <c r="S5" s="3696"/>
      <c r="T5" s="3695"/>
      <c r="U5" s="3696"/>
      <c r="V5" s="3699"/>
      <c r="W5" s="3699"/>
      <c r="X5" s="1354"/>
      <c r="Y5" s="3695"/>
      <c r="Z5" s="3696"/>
      <c r="AA5" s="3681"/>
      <c r="AB5" s="3681"/>
      <c r="AC5" s="3681"/>
    </row>
    <row r="6" spans="1:29" ht="15" thickBot="1">
      <c r="A6" s="360"/>
      <c r="B6" s="361"/>
      <c r="C6" s="3733" t="s">
        <v>1919</v>
      </c>
      <c r="D6" s="3734"/>
      <c r="E6" s="3735" t="s">
        <v>1919</v>
      </c>
      <c r="F6" s="3736"/>
      <c r="G6" s="3733" t="s">
        <v>1919</v>
      </c>
      <c r="H6" s="3734"/>
      <c r="I6" s="3733" t="s">
        <v>1919</v>
      </c>
      <c r="J6" s="3734"/>
      <c r="K6" s="559" t="s">
        <v>1678</v>
      </c>
      <c r="L6" s="2702"/>
      <c r="M6" s="2703"/>
      <c r="N6" s="2703"/>
      <c r="O6" s="2703"/>
      <c r="P6" s="3691"/>
      <c r="Q6" s="3692"/>
      <c r="R6" s="3695"/>
      <c r="S6" s="3696"/>
      <c r="T6" s="3697"/>
      <c r="U6" s="3698"/>
      <c r="V6" s="3699"/>
      <c r="W6" s="3699"/>
      <c r="X6" s="1354"/>
      <c r="Y6" s="3697"/>
      <c r="Z6" s="3698"/>
      <c r="AA6" s="3682"/>
      <c r="AB6" s="3682"/>
      <c r="AC6" s="3682"/>
    </row>
    <row r="7" spans="1:29" s="108" customFormat="1" ht="15" thickBot="1">
      <c r="A7" s="362" t="s">
        <v>1679</v>
      </c>
      <c r="B7" s="363"/>
      <c r="C7" s="364">
        <f>'数据-取费表'!B2</f>
        <v>45517</v>
      </c>
      <c r="D7" s="365">
        <v>100</v>
      </c>
      <c r="E7" s="366"/>
      <c r="F7" s="367">
        <f>SUMIF(65:65,YEAR(E7)&amp;"-"&amp;INT((MONTH(E7)+2)/3),66:66)</f>
        <v>0</v>
      </c>
      <c r="G7" s="1973"/>
      <c r="H7" s="365">
        <f>SUMIF(65:65,YEAR(G7)&amp;"-"&amp;INT((MONTH(G7)+2)/3),66:66)</f>
        <v>0</v>
      </c>
      <c r="I7" s="1973"/>
      <c r="J7" s="365">
        <f>SUMIF(65:65,YEAR(I7)&amp;"-"&amp;INT((MONTH(I7)+2)/3),66:66)</f>
        <v>0</v>
      </c>
      <c r="K7" s="560"/>
      <c r="L7" s="2704"/>
      <c r="M7" s="2705"/>
      <c r="N7" s="2705"/>
      <c r="O7" s="2705"/>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4"/>
      <c r="M8" s="2705"/>
      <c r="N8" s="2705"/>
      <c r="O8" s="2705"/>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04"/>
      <c r="M9" s="2705"/>
      <c r="N9" s="2705"/>
      <c r="O9" s="2759"/>
      <c r="P9" s="3668" t="s">
        <v>1686</v>
      </c>
      <c r="Q9" s="1342"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06"/>
      <c r="M10" s="2707"/>
      <c r="N10" s="2707"/>
      <c r="O10" s="2760"/>
      <c r="P10" s="3668"/>
      <c r="Q10" s="1342"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8"/>
      <c r="M11" s="2703"/>
      <c r="N11" s="2703"/>
      <c r="O11" s="2761"/>
      <c r="P11" s="3668"/>
      <c r="Q11" s="1342"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4"/>
      <c r="M12" s="2705"/>
      <c r="N12" s="2705"/>
      <c r="O12" s="2759"/>
      <c r="P12" s="3668"/>
      <c r="Q12" s="1342">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9"/>
      <c r="M13" s="2703"/>
      <c r="N13" s="2703"/>
      <c r="O13" s="2761"/>
      <c r="P13" s="3668"/>
      <c r="Q13" s="1342">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9"/>
      <c r="M14" s="2703"/>
      <c r="N14" s="2703"/>
      <c r="O14" s="2761"/>
      <c r="P14" s="3668"/>
      <c r="Q14" s="1342">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9"/>
      <c r="M15" s="2703"/>
      <c r="N15" s="2703"/>
      <c r="O15" s="2761"/>
      <c r="P15" s="3670" t="s">
        <v>1691</v>
      </c>
      <c r="Q15" s="1351" t="str">
        <f t="shared" si="6"/>
        <v>产业集聚程度</v>
      </c>
      <c r="R15" s="705" t="s">
        <v>14</v>
      </c>
      <c r="S15" s="706">
        <f t="shared" si="0"/>
        <v>100</v>
      </c>
      <c r="T15" s="705" t="s">
        <v>14</v>
      </c>
      <c r="U15" s="706">
        <f t="shared" si="1"/>
        <v>100</v>
      </c>
      <c r="V15" s="705" t="s">
        <v>14</v>
      </c>
      <c r="W15" s="706">
        <f t="shared" si="2"/>
        <v>100</v>
      </c>
      <c r="X15" s="1354"/>
      <c r="Y15" s="367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9"/>
      <c r="M16" s="2703"/>
      <c r="N16" s="2703"/>
      <c r="O16" s="2761"/>
      <c r="P16" s="3671"/>
      <c r="Q16" s="1351"/>
      <c r="R16" s="705"/>
      <c r="S16" s="706"/>
      <c r="T16" s="705"/>
      <c r="U16" s="706"/>
      <c r="V16" s="705"/>
      <c r="W16" s="706"/>
      <c r="X16" s="1354"/>
      <c r="Y16" s="3671"/>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9"/>
      <c r="M17" s="2703"/>
      <c r="N17" s="2703"/>
      <c r="O17" s="2761"/>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9"/>
      <c r="M18" s="2703"/>
      <c r="N18" s="2703"/>
      <c r="O18" s="2761"/>
      <c r="P18" s="3671"/>
      <c r="Q18" s="1351"/>
      <c r="R18" s="705"/>
      <c r="S18" s="706"/>
      <c r="T18" s="705"/>
      <c r="U18" s="706"/>
      <c r="V18" s="705"/>
      <c r="W18" s="706"/>
      <c r="X18" s="1354"/>
      <c r="Y18" s="3671"/>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9"/>
      <c r="M19" s="2703"/>
      <c r="N19" s="2703"/>
      <c r="O19" s="2761"/>
      <c r="P19" s="3671"/>
      <c r="Q19" s="1351" t="str">
        <f t="shared" ref="Q19:Q33" si="8">B19</f>
        <v>区域土地利用方向</v>
      </c>
      <c r="R19" s="705" t="s">
        <v>14</v>
      </c>
      <c r="S19" s="706">
        <f>F19</f>
        <v>100</v>
      </c>
      <c r="T19" s="705" t="s">
        <v>14</v>
      </c>
      <c r="U19" s="706">
        <f>H19</f>
        <v>100</v>
      </c>
      <c r="V19" s="705" t="s">
        <v>14</v>
      </c>
      <c r="W19" s="706">
        <f>J19</f>
        <v>100</v>
      </c>
      <c r="X19" s="1354"/>
      <c r="Y19" s="36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09"/>
      <c r="M20" s="2703"/>
      <c r="N20" s="2703"/>
      <c r="O20" s="2761"/>
      <c r="P20" s="3671"/>
      <c r="Q20" s="1351"/>
      <c r="R20" s="705"/>
      <c r="S20" s="706"/>
      <c r="T20" s="705"/>
      <c r="U20" s="706"/>
      <c r="V20" s="705"/>
      <c r="W20" s="706"/>
      <c r="X20" s="1354"/>
      <c r="Y20" s="3671"/>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9"/>
      <c r="M21" s="2703"/>
      <c r="N21" s="2703"/>
      <c r="O21" s="2761"/>
      <c r="P21" s="3671"/>
      <c r="Q21" s="1351" t="str">
        <f t="shared" si="8"/>
        <v>环境状况</v>
      </c>
      <c r="R21" s="705" t="s">
        <v>14</v>
      </c>
      <c r="S21" s="706">
        <f>F21</f>
        <v>100</v>
      </c>
      <c r="T21" s="705" t="s">
        <v>14</v>
      </c>
      <c r="U21" s="706">
        <f>H21</f>
        <v>100</v>
      </c>
      <c r="V21" s="705" t="s">
        <v>14</v>
      </c>
      <c r="W21" s="706">
        <f>J21</f>
        <v>100</v>
      </c>
      <c r="X21" s="1354"/>
      <c r="Y21" s="36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9"/>
      <c r="M22" s="2703"/>
      <c r="N22" s="2703"/>
      <c r="O22" s="2761"/>
      <c r="P22" s="3671"/>
      <c r="Q22" s="1351"/>
      <c r="R22" s="705"/>
      <c r="S22" s="706"/>
      <c r="T22" s="705"/>
      <c r="U22" s="706"/>
      <c r="V22" s="705"/>
      <c r="W22" s="706"/>
      <c r="X22" s="1354"/>
      <c r="Y22" s="3671"/>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4"/>
      <c r="M23" s="2705"/>
      <c r="N23" s="2705"/>
      <c r="O23" s="2759"/>
      <c r="P23" s="3671"/>
      <c r="Q23" s="1342" t="str">
        <f t="shared" si="8"/>
        <v>公共配套设施</v>
      </c>
      <c r="R23" s="701" t="s">
        <v>14</v>
      </c>
      <c r="S23" s="702">
        <f>F23</f>
        <v>100</v>
      </c>
      <c r="T23" s="701" t="s">
        <v>14</v>
      </c>
      <c r="U23" s="702">
        <f>H23</f>
        <v>100</v>
      </c>
      <c r="V23" s="701" t="s">
        <v>14</v>
      </c>
      <c r="W23" s="702">
        <f>J23</f>
        <v>100</v>
      </c>
      <c r="X23" s="703"/>
      <c r="Y23" s="367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04"/>
      <c r="M24" s="2705"/>
      <c r="N24" s="2705"/>
      <c r="O24" s="2759"/>
      <c r="P24" s="3671"/>
      <c r="Q24" s="1342"/>
      <c r="R24" s="701"/>
      <c r="S24" s="702"/>
      <c r="T24" s="701"/>
      <c r="U24" s="702"/>
      <c r="V24" s="701"/>
      <c r="W24" s="702"/>
      <c r="X24" s="703"/>
      <c r="Y24" s="3671"/>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4"/>
      <c r="M25" s="2705"/>
      <c r="N25" s="2705"/>
      <c r="O25" s="2759"/>
      <c r="P25" s="3671"/>
      <c r="Q25" s="1342"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04"/>
      <c r="M26" s="2705"/>
      <c r="N26" s="2705"/>
      <c r="O26" s="2759"/>
      <c r="P26" s="3671"/>
      <c r="Q26" s="1342"/>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9"/>
      <c r="M27" s="2703"/>
      <c r="N27" s="2703"/>
      <c r="O27" s="2761"/>
      <c r="P27" s="367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1"/>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9"/>
      <c r="M28" s="2703"/>
      <c r="N28" s="2703"/>
      <c r="O28" s="2761"/>
      <c r="P28" s="3671"/>
      <c r="Q28" s="1351" t="str">
        <f t="shared" si="8"/>
        <v>毗邻道路的类型与等级</v>
      </c>
      <c r="R28" s="705" t="s">
        <v>14</v>
      </c>
      <c r="S28" s="706">
        <f t="shared" si="10"/>
        <v>100</v>
      </c>
      <c r="T28" s="705" t="s">
        <v>14</v>
      </c>
      <c r="U28" s="706">
        <f t="shared" si="11"/>
        <v>100</v>
      </c>
      <c r="V28" s="705" t="s">
        <v>14</v>
      </c>
      <c r="W28" s="706">
        <f t="shared" si="12"/>
        <v>100</v>
      </c>
      <c r="X28" s="1354"/>
      <c r="Y28" s="36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9"/>
      <c r="M29" s="2703"/>
      <c r="N29" s="2703"/>
      <c r="O29" s="2761"/>
      <c r="P29" s="3671"/>
      <c r="Q29" s="1351"/>
      <c r="R29" s="705"/>
      <c r="S29" s="706"/>
      <c r="T29" s="705"/>
      <c r="U29" s="706"/>
      <c r="V29" s="705"/>
      <c r="W29" s="706"/>
      <c r="X29" s="1354"/>
      <c r="Y29" s="367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9"/>
      <c r="M30" s="2703"/>
      <c r="N30" s="2703"/>
      <c r="O30" s="2761"/>
      <c r="P30" s="3671"/>
      <c r="Q30" s="1351" t="str">
        <f t="shared" si="8"/>
        <v>土地级别</v>
      </c>
      <c r="R30" s="705" t="s">
        <v>14</v>
      </c>
      <c r="S30" s="706">
        <f t="shared" si="10"/>
        <v>100</v>
      </c>
      <c r="T30" s="705" t="s">
        <v>14</v>
      </c>
      <c r="U30" s="706">
        <f t="shared" si="11"/>
        <v>100</v>
      </c>
      <c r="V30" s="705" t="s">
        <v>14</v>
      </c>
      <c r="W30" s="706">
        <f t="shared" si="12"/>
        <v>100</v>
      </c>
      <c r="X30" s="1354"/>
      <c r="Y30" s="367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9"/>
      <c r="M31" s="2703"/>
      <c r="N31" s="2703"/>
      <c r="O31" s="2761"/>
      <c r="P31" s="3671"/>
      <c r="Q31" s="1351">
        <f t="shared" si="8"/>
        <v>111</v>
      </c>
      <c r="R31" s="705" t="s">
        <v>14</v>
      </c>
      <c r="S31" s="706">
        <f t="shared" si="10"/>
        <v>100</v>
      </c>
      <c r="T31" s="705" t="s">
        <v>14</v>
      </c>
      <c r="U31" s="706">
        <f t="shared" si="11"/>
        <v>100</v>
      </c>
      <c r="V31" s="705" t="s">
        <v>14</v>
      </c>
      <c r="W31" s="706">
        <f t="shared" si="12"/>
        <v>100</v>
      </c>
      <c r="X31" s="1354"/>
      <c r="Y31" s="367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9"/>
      <c r="M32" s="2703"/>
      <c r="N32" s="2703"/>
      <c r="O32" s="2761"/>
      <c r="P32" s="3728" t="s">
        <v>1696</v>
      </c>
      <c r="Q32" s="1351">
        <f t="shared" si="8"/>
        <v>111</v>
      </c>
      <c r="R32" s="705" t="s">
        <v>14</v>
      </c>
      <c r="S32" s="706">
        <f t="shared" si="10"/>
        <v>100</v>
      </c>
      <c r="T32" s="705" t="s">
        <v>14</v>
      </c>
      <c r="U32" s="706">
        <f t="shared" si="11"/>
        <v>100</v>
      </c>
      <c r="V32" s="705" t="s">
        <v>14</v>
      </c>
      <c r="W32" s="706">
        <f t="shared" si="12"/>
        <v>100</v>
      </c>
      <c r="X32" s="1354"/>
      <c r="Y32" s="3675"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8"/>
      <c r="M33" s="2710"/>
      <c r="N33" s="2710"/>
      <c r="O33" s="2762"/>
      <c r="P33" s="3675"/>
      <c r="Q33" s="1351">
        <f t="shared" si="8"/>
        <v>111</v>
      </c>
      <c r="R33" s="708" t="s">
        <v>14</v>
      </c>
      <c r="S33" s="709">
        <f t="shared" si="10"/>
        <v>100</v>
      </c>
      <c r="T33" s="708" t="s">
        <v>14</v>
      </c>
      <c r="U33" s="709">
        <f t="shared" si="11"/>
        <v>100</v>
      </c>
      <c r="V33" s="708" t="s">
        <v>14</v>
      </c>
      <c r="W33" s="709">
        <f t="shared" si="12"/>
        <v>100</v>
      </c>
      <c r="X33" s="710"/>
      <c r="Y33" s="367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9"/>
      <c r="M34" s="2703"/>
      <c r="N34" s="2703"/>
      <c r="O34" s="2761"/>
      <c r="P34" s="3675"/>
      <c r="Q34" s="1351" t="str">
        <f>B34</f>
        <v>宗地面积</v>
      </c>
      <c r="R34" s="705" t="s">
        <v>14</v>
      </c>
      <c r="S34" s="706" t="e">
        <f t="shared" si="10"/>
        <v>#N/A</v>
      </c>
      <c r="T34" s="705" t="s">
        <v>14</v>
      </c>
      <c r="U34" s="706" t="e">
        <f t="shared" si="11"/>
        <v>#N/A</v>
      </c>
      <c r="V34" s="705" t="s">
        <v>14</v>
      </c>
      <c r="W34" s="706"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9"/>
      <c r="M35" s="2703"/>
      <c r="N35" s="2703"/>
      <c r="O35" s="2761"/>
      <c r="P35" s="3675"/>
      <c r="Q35" s="1351" t="str">
        <f t="shared" ref="Q35:Q40" si="14">B35</f>
        <v>宗地形状</v>
      </c>
      <c r="R35" s="705" t="s">
        <v>14</v>
      </c>
      <c r="S35" s="706">
        <f t="shared" si="10"/>
        <v>100</v>
      </c>
      <c r="T35" s="705" t="s">
        <v>14</v>
      </c>
      <c r="U35" s="706">
        <f t="shared" si="11"/>
        <v>100</v>
      </c>
      <c r="V35" s="705" t="s">
        <v>14</v>
      </c>
      <c r="W35" s="706">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04"/>
      <c r="M36" s="2705"/>
      <c r="N36" s="2705"/>
      <c r="O36" s="2759"/>
      <c r="P36" s="3675"/>
      <c r="Q36" s="1351"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9"/>
      <c r="M37" s="2703"/>
      <c r="N37" s="2703"/>
      <c r="O37" s="2761"/>
      <c r="P37" s="3675" t="s">
        <v>1696</v>
      </c>
      <c r="Q37" s="1351" t="str">
        <f t="shared" si="14"/>
        <v>工程地质条件</v>
      </c>
      <c r="R37" s="705" t="s">
        <v>14</v>
      </c>
      <c r="S37" s="706">
        <f t="shared" si="10"/>
        <v>100</v>
      </c>
      <c r="T37" s="705" t="s">
        <v>14</v>
      </c>
      <c r="U37" s="706">
        <f t="shared" si="11"/>
        <v>100</v>
      </c>
      <c r="V37" s="705" t="s">
        <v>14</v>
      </c>
      <c r="W37" s="706">
        <f t="shared" si="12"/>
        <v>100</v>
      </c>
      <c r="X37" s="1354"/>
      <c r="Y37" s="367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9"/>
      <c r="M38" s="2703"/>
      <c r="N38" s="2703"/>
      <c r="O38" s="2761"/>
      <c r="P38" s="3675"/>
      <c r="Q38" s="1351">
        <f t="shared" si="14"/>
        <v>111</v>
      </c>
      <c r="R38" s="705" t="s">
        <v>14</v>
      </c>
      <c r="S38" s="706">
        <f t="shared" si="10"/>
        <v>100</v>
      </c>
      <c r="T38" s="705" t="s">
        <v>14</v>
      </c>
      <c r="U38" s="706">
        <f t="shared" si="11"/>
        <v>100</v>
      </c>
      <c r="V38" s="705" t="s">
        <v>14</v>
      </c>
      <c r="W38" s="706">
        <f t="shared" si="12"/>
        <v>100</v>
      </c>
      <c r="X38" s="1354"/>
      <c r="Y38" s="367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9"/>
      <c r="M39" s="2703"/>
      <c r="N39" s="2703"/>
      <c r="O39" s="2761"/>
      <c r="P39" s="3675"/>
      <c r="Q39" s="1351">
        <f t="shared" si="14"/>
        <v>111</v>
      </c>
      <c r="R39" s="705" t="s">
        <v>14</v>
      </c>
      <c r="S39" s="706">
        <f t="shared" si="10"/>
        <v>100</v>
      </c>
      <c r="T39" s="705" t="s">
        <v>14</v>
      </c>
      <c r="U39" s="706">
        <f t="shared" si="11"/>
        <v>100</v>
      </c>
      <c r="V39" s="705" t="s">
        <v>14</v>
      </c>
      <c r="W39" s="706">
        <f t="shared" si="12"/>
        <v>100</v>
      </c>
      <c r="X39" s="1354"/>
      <c r="Y39" s="3675"/>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8"/>
      <c r="M40" s="2710"/>
      <c r="N40" s="2710"/>
      <c r="O40" s="2762"/>
      <c r="P40" s="3675"/>
      <c r="Q40" s="1351">
        <f t="shared" si="14"/>
        <v>111</v>
      </c>
      <c r="R40" s="708" t="s">
        <v>14</v>
      </c>
      <c r="S40" s="709">
        <f t="shared" si="10"/>
        <v>100</v>
      </c>
      <c r="T40" s="708" t="s">
        <v>14</v>
      </c>
      <c r="U40" s="709">
        <f t="shared" si="11"/>
        <v>100</v>
      </c>
      <c r="V40" s="708" t="s">
        <v>14</v>
      </c>
      <c r="W40" s="709">
        <f t="shared" si="12"/>
        <v>100</v>
      </c>
      <c r="X40" s="710"/>
      <c r="Y40" s="3675"/>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11"/>
      <c r="M41" s="2703"/>
      <c r="N41" s="2703"/>
      <c r="O41" s="2712"/>
      <c r="P41" s="3668" t="str">
        <f>A41</f>
        <v>成交单价</v>
      </c>
      <c r="Q41" s="3668"/>
      <c r="R41" s="3699">
        <f>E41</f>
        <v>0</v>
      </c>
      <c r="S41" s="3699"/>
      <c r="T41" s="3699">
        <f>G41</f>
        <v>0</v>
      </c>
      <c r="U41" s="3699"/>
      <c r="V41" s="3699">
        <f>I41</f>
        <v>0</v>
      </c>
      <c r="W41" s="3699"/>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11"/>
      <c r="M42" s="2703"/>
      <c r="N42" s="2703"/>
      <c r="O42" s="2712"/>
      <c r="P42" s="3668" t="str">
        <f>A42</f>
        <v>比较价值（元/平方米）</v>
      </c>
      <c r="Q42" s="3668"/>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11"/>
      <c r="M43" s="2703"/>
      <c r="N43" s="2703"/>
      <c r="O43" s="2712"/>
      <c r="P43" s="3665" t="str">
        <f>A43</f>
        <v>估价对象XX用房的比较价值（楼面单价，元/平方米）</v>
      </c>
      <c r="Q43" s="3666"/>
      <c r="R43" s="3731" t="e">
        <f>ROUND(IF(D42="简单平均",AVERAGE(R42:W42),R42*F42+T42*H42+V42*J42),0)</f>
        <v>#DIV/0!</v>
      </c>
      <c r="S43" s="3731"/>
      <c r="T43" s="3731"/>
      <c r="U43" s="3731"/>
      <c r="V43" s="3731"/>
      <c r="W43" s="3731"/>
      <c r="X43" s="690"/>
      <c r="Y43" s="690"/>
      <c r="Z43" s="690"/>
      <c r="AA43" s="690"/>
      <c r="AB43" s="690"/>
      <c r="AC43" s="690"/>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51" customFormat="1" ht="13.5" customHeight="1">
      <c r="A48" s="2715"/>
      <c r="B48" s="271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51" customFormat="1" ht="14.4" thickBot="1">
      <c r="A49" s="2715"/>
      <c r="B49" s="2718"/>
      <c r="C49" s="693"/>
      <c r="D49" s="691"/>
      <c r="E49" s="691"/>
      <c r="F49" s="691"/>
      <c r="G49" s="691"/>
      <c r="H49" s="691"/>
      <c r="I49" s="691"/>
      <c r="J49" s="691"/>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8.8">
      <c r="A50" s="632" t="s">
        <v>1881</v>
      </c>
      <c r="B50" s="633" t="s">
        <v>1882</v>
      </c>
      <c r="C50" s="1982" t="s">
        <v>1883</v>
      </c>
      <c r="D50" s="1983" t="s">
        <v>1884</v>
      </c>
      <c r="E50" s="634" t="s">
        <v>1885</v>
      </c>
      <c r="F50" s="635" t="s">
        <v>1886</v>
      </c>
      <c r="G50" s="3683" t="s">
        <v>1887</v>
      </c>
      <c r="H50" s="3732"/>
      <c r="I50" s="1355" t="s">
        <v>1923</v>
      </c>
      <c r="J50" s="1355">
        <f>项目基本情况!F35</f>
        <v>0</v>
      </c>
      <c r="K50" s="1985"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40" customFormat="1">
      <c r="A51" s="636" t="s">
        <v>1890</v>
      </c>
      <c r="B51" s="637" t="e">
        <f>C43</f>
        <v>#DIV/0!</v>
      </c>
      <c r="C51" s="638">
        <v>1</v>
      </c>
      <c r="D51" s="944">
        <v>1</v>
      </c>
      <c r="E51" s="638">
        <f>'数据-汇总表'!E8+'数据-汇总表'!E9</f>
        <v>55.9</v>
      </c>
      <c r="F51" s="639" t="e">
        <f t="shared" ref="F51:F60" si="15">ROUND(B51*E51/10000,0)</f>
        <v>#DIV/0!</v>
      </c>
      <c r="G51" s="3679"/>
      <c r="H51" s="3668"/>
      <c r="I51" s="773">
        <v>1</v>
      </c>
      <c r="J51" s="773">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40" customFormat="1">
      <c r="A52" s="641" t="s">
        <v>1891</v>
      </c>
      <c r="B52" s="218" t="e">
        <f>ROUND($C$43*C52*D52,0)</f>
        <v>#DIV/0!</v>
      </c>
      <c r="C52" s="171">
        <f t="shared" ref="C52:C60" si="16">IF($C$50="北京市系数",I52,J52)</f>
        <v>0</v>
      </c>
      <c r="D52" s="945">
        <v>0.25</v>
      </c>
      <c r="E52" s="642"/>
      <c r="F52" s="639" t="e">
        <f t="shared" si="15"/>
        <v>#DIV/0!</v>
      </c>
      <c r="G52" s="2993" t="s">
        <v>1892</v>
      </c>
      <c r="H52" s="887">
        <f>项目基本情况!B37</f>
        <v>0</v>
      </c>
      <c r="I52" s="773">
        <f>SUMIF(修正!A57:A68,H52,修正!B57:B68)</f>
        <v>0</v>
      </c>
      <c r="J52" s="774"/>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40" customFormat="1">
      <c r="A53" s="641" t="s">
        <v>1893</v>
      </c>
      <c r="B53" s="218" t="e">
        <f t="shared" ref="B53:B60" si="17">ROUND($C$43*C53*D53,0)</f>
        <v>#DIV/0!</v>
      </c>
      <c r="C53" s="171">
        <f t="shared" si="16"/>
        <v>0</v>
      </c>
      <c r="D53" s="945">
        <v>0.25</v>
      </c>
      <c r="E53" s="642"/>
      <c r="F53" s="639" t="e">
        <f t="shared" si="15"/>
        <v>#DIV/0!</v>
      </c>
      <c r="G53" s="2994"/>
      <c r="H53" s="887">
        <f>项目基本情况!B37</f>
        <v>0</v>
      </c>
      <c r="I53" s="773">
        <f>SUMIF(修正!A57:A68,H53,修正!C57:C68)</f>
        <v>0</v>
      </c>
      <c r="J53" s="774"/>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40" customFormat="1">
      <c r="A54" s="641" t="s">
        <v>1894</v>
      </c>
      <c r="B54" s="218" t="e">
        <f t="shared" si="17"/>
        <v>#DIV/0!</v>
      </c>
      <c r="C54" s="171">
        <f t="shared" si="16"/>
        <v>0</v>
      </c>
      <c r="D54" s="945">
        <v>0.25</v>
      </c>
      <c r="E54" s="642"/>
      <c r="F54" s="639" t="e">
        <f t="shared" si="15"/>
        <v>#DIV/0!</v>
      </c>
      <c r="G54" s="2994"/>
      <c r="H54" s="887">
        <f>项目基本情况!B37</f>
        <v>0</v>
      </c>
      <c r="I54" s="773">
        <f>SUMIF(修正!A57:A68,H54,修正!D57:D68)</f>
        <v>0</v>
      </c>
      <c r="J54" s="774"/>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40" customFormat="1" hidden="1">
      <c r="A55" s="641"/>
      <c r="B55" s="218"/>
      <c r="C55" s="171"/>
      <c r="D55" s="945"/>
      <c r="E55" s="642"/>
      <c r="F55" s="639"/>
      <c r="G55" s="2995"/>
      <c r="H55" s="887"/>
      <c r="I55" s="773"/>
      <c r="J55" s="774"/>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7"/>
      <c r="B62" s="929"/>
      <c r="C62" s="931"/>
      <c r="D62" s="927"/>
      <c r="E62" s="927"/>
      <c r="F62" s="927"/>
      <c r="G62" s="927"/>
      <c r="H62" s="927"/>
      <c r="I62" s="927"/>
      <c r="J62" s="927"/>
      <c r="K62" s="888"/>
      <c r="L62" s="889"/>
      <c r="M62" s="927"/>
      <c r="N62" s="927"/>
      <c r="O62" s="927"/>
      <c r="P62" s="2712"/>
      <c r="Q62" s="2712"/>
      <c r="R62" s="2712"/>
      <c r="S62" s="2712"/>
      <c r="T62" s="2712"/>
      <c r="U62" s="2712"/>
      <c r="V62" s="2712"/>
      <c r="W62" s="2712"/>
      <c r="X62" s="2712"/>
      <c r="Y62" s="2712"/>
      <c r="Z62" s="2712"/>
      <c r="AA62" s="2712"/>
      <c r="AB62" s="2712"/>
      <c r="AC62" s="2712"/>
      <c r="AD62" s="2712"/>
      <c r="AE62" s="2712"/>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12"/>
      <c r="Q63" s="2712"/>
      <c r="R63" s="2712"/>
      <c r="S63" s="2712"/>
      <c r="T63" s="2712"/>
      <c r="U63" s="2712"/>
      <c r="V63" s="2712"/>
      <c r="W63" s="2712"/>
      <c r="X63" s="2712"/>
      <c r="Y63" s="2712"/>
      <c r="Z63" s="2712"/>
      <c r="AA63" s="2712"/>
      <c r="AB63" s="2712"/>
      <c r="AC63" s="2712"/>
      <c r="AD63" s="2712"/>
      <c r="AE63" s="2712"/>
    </row>
    <row r="64" spans="1:31" ht="22.2" thickBot="1">
      <c r="A64" s="694" t="s">
        <v>1798</v>
      </c>
      <c r="B64" s="690"/>
      <c r="C64" s="695"/>
      <c r="D64" s="695"/>
      <c r="E64" s="695"/>
      <c r="F64" s="696"/>
      <c r="G64" s="696"/>
      <c r="H64" s="695"/>
      <c r="I64" s="695"/>
      <c r="J64" s="695"/>
      <c r="K64" s="697"/>
      <c r="L64" s="698"/>
      <c r="M64" s="695"/>
      <c r="N64" s="695"/>
      <c r="O64" s="940"/>
      <c r="P64" s="2756"/>
      <c r="Q64" s="2726"/>
      <c r="R64" s="2712"/>
      <c r="S64" s="2712"/>
      <c r="T64" s="2712"/>
      <c r="U64" s="2712"/>
      <c r="V64" s="2712"/>
      <c r="W64" s="2712"/>
      <c r="X64" s="2712"/>
      <c r="Y64" s="2712"/>
      <c r="Z64" s="2712"/>
      <c r="AA64" s="2712"/>
      <c r="AB64" s="2712"/>
      <c r="AC64" s="2712"/>
      <c r="AD64" s="2712"/>
      <c r="AE64" s="2712"/>
    </row>
    <row r="65" spans="1:31" s="457" customFormat="1" ht="14.4">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6"/>
      <c r="Q66" s="2650"/>
      <c r="R66" s="2650"/>
      <c r="S66" s="2650"/>
      <c r="T66" s="2650"/>
      <c r="U66" s="2650"/>
      <c r="V66" s="2650"/>
      <c r="W66" s="2650"/>
      <c r="X66" s="2650"/>
      <c r="Y66" s="2650"/>
      <c r="Z66" s="2650"/>
      <c r="AA66" s="2650"/>
      <c r="AB66" s="2650"/>
      <c r="AC66" s="2650"/>
      <c r="AD66" s="2650"/>
      <c r="AE66" s="2650"/>
    </row>
    <row r="67" spans="1:31" s="108" customFormat="1" ht="15" thickBot="1">
      <c r="A67" s="464" t="s">
        <v>1716</v>
      </c>
      <c r="B67" s="465"/>
      <c r="C67" s="466"/>
      <c r="D67" s="467"/>
      <c r="E67" s="467"/>
      <c r="F67" s="467"/>
      <c r="G67" s="467"/>
      <c r="H67" s="467"/>
      <c r="I67" s="467"/>
      <c r="J67" s="467"/>
      <c r="K67" s="467"/>
      <c r="L67" s="467"/>
      <c r="M67" s="468"/>
      <c r="N67" s="468"/>
      <c r="O67" s="469"/>
      <c r="P67" s="2726"/>
      <c r="Q67" s="2726"/>
      <c r="R67" s="2650"/>
      <c r="S67" s="2650"/>
      <c r="T67" s="2650"/>
      <c r="U67" s="2650"/>
      <c r="V67" s="2650"/>
      <c r="W67" s="2650"/>
      <c r="X67" s="2650"/>
      <c r="Y67" s="2650"/>
      <c r="Z67" s="2650"/>
      <c r="AA67" s="2650"/>
      <c r="AB67" s="2650"/>
      <c r="AC67" s="2650"/>
      <c r="AD67" s="2650"/>
      <c r="AE67" s="2650"/>
    </row>
    <row r="68" spans="1:31" s="108" customFormat="1" ht="14.4">
      <c r="A68" s="470" t="s">
        <v>1681</v>
      </c>
      <c r="B68" s="459"/>
      <c r="C68" s="471" t="s">
        <v>1776</v>
      </c>
      <c r="D68" s="472"/>
      <c r="E68" s="472"/>
      <c r="F68" s="472"/>
      <c r="G68" s="472"/>
      <c r="H68" s="472"/>
      <c r="I68" s="472"/>
      <c r="J68" s="472"/>
      <c r="K68" s="472"/>
      <c r="L68" s="473"/>
      <c r="M68" s="474"/>
      <c r="N68" s="2739"/>
      <c r="O68" s="2739"/>
      <c r="P68" s="2764"/>
      <c r="Q68" s="2726"/>
      <c r="R68" s="2650"/>
      <c r="S68" s="2650"/>
      <c r="T68" s="2650"/>
      <c r="U68" s="2650"/>
      <c r="V68" s="2650"/>
      <c r="W68" s="2650"/>
      <c r="X68" s="2650"/>
      <c r="Y68" s="2650"/>
      <c r="Z68" s="2650"/>
      <c r="AA68" s="2650"/>
      <c r="AB68" s="2650"/>
      <c r="AC68" s="2650"/>
      <c r="AD68" s="2650"/>
      <c r="AE68" s="2650"/>
    </row>
    <row r="69" spans="1:31" s="108" customFormat="1" ht="14.4" thickBot="1">
      <c r="A69" s="470"/>
      <c r="B69" s="459"/>
      <c r="C69" s="587">
        <v>100</v>
      </c>
      <c r="D69" s="461"/>
      <c r="E69" s="461"/>
      <c r="F69" s="461"/>
      <c r="G69" s="461"/>
      <c r="H69" s="461"/>
      <c r="I69" s="461"/>
      <c r="J69" s="461"/>
      <c r="K69" s="461"/>
      <c r="L69" s="461"/>
      <c r="M69" s="463"/>
      <c r="N69" s="2739"/>
      <c r="O69" s="2739"/>
      <c r="P69" s="2726"/>
      <c r="Q69" s="2726"/>
      <c r="R69" s="2650"/>
      <c r="S69" s="2650"/>
      <c r="T69" s="2650"/>
      <c r="U69" s="2650"/>
      <c r="V69" s="2650"/>
      <c r="W69" s="2650"/>
      <c r="X69" s="2650"/>
      <c r="Y69" s="2650"/>
      <c r="Z69" s="2650"/>
      <c r="AA69" s="2650"/>
      <c r="AB69" s="2650"/>
      <c r="AC69" s="2650"/>
      <c r="AD69" s="2650"/>
      <c r="AE69" s="2650"/>
    </row>
    <row r="70" spans="1:31" ht="14.4">
      <c r="A70" s="476" t="s">
        <v>1719</v>
      </c>
      <c r="B70" s="477" t="s">
        <v>1685</v>
      </c>
      <c r="C70" s="479"/>
      <c r="D70" s="479"/>
      <c r="E70" s="479"/>
      <c r="F70" s="479"/>
      <c r="G70" s="479"/>
      <c r="H70" s="479"/>
      <c r="I70" s="479"/>
      <c r="J70" s="479"/>
      <c r="K70" s="480"/>
      <c r="L70" s="481"/>
      <c r="M70" s="482"/>
      <c r="N70" s="2740"/>
      <c r="O70" s="2740"/>
      <c r="P70" s="2765"/>
      <c r="Q70" s="2726"/>
      <c r="R70" s="2712"/>
      <c r="S70" s="2712"/>
      <c r="T70" s="2712"/>
      <c r="U70" s="2712"/>
      <c r="V70" s="2712"/>
      <c r="W70" s="2712"/>
      <c r="X70" s="2712"/>
      <c r="Y70" s="2712"/>
      <c r="Z70" s="2712"/>
      <c r="AA70" s="2712"/>
      <c r="AB70" s="2712"/>
      <c r="AC70" s="2712"/>
      <c r="AD70" s="2712"/>
      <c r="AE70" s="2712"/>
    </row>
    <row r="71" spans="1:31" ht="14.4" thickBot="1">
      <c r="A71" s="483"/>
      <c r="B71" s="484"/>
      <c r="C71" s="485"/>
      <c r="D71" s="485"/>
      <c r="E71" s="485"/>
      <c r="F71" s="485"/>
      <c r="G71" s="485"/>
      <c r="H71" s="485"/>
      <c r="I71" s="485"/>
      <c r="J71" s="485"/>
      <c r="K71" s="485"/>
      <c r="L71" s="485"/>
      <c r="M71" s="486"/>
      <c r="N71" s="2741"/>
      <c r="O71" s="2741"/>
      <c r="P71" s="2765"/>
      <c r="Q71" s="2726"/>
      <c r="R71" s="2712"/>
      <c r="S71" s="2712"/>
      <c r="T71" s="2712"/>
      <c r="U71" s="2712"/>
      <c r="V71" s="2712"/>
      <c r="W71" s="2712"/>
      <c r="X71" s="2712"/>
      <c r="Y71" s="2712"/>
      <c r="Z71" s="2712"/>
      <c r="AA71" s="2712"/>
      <c r="AB71" s="2712"/>
      <c r="AC71" s="2712"/>
      <c r="AD71" s="2712"/>
      <c r="AE71" s="2712"/>
    </row>
    <row r="72" spans="1:31" ht="29.4" thickTop="1">
      <c r="A72" s="483"/>
      <c r="B72" s="487" t="s">
        <v>1688</v>
      </c>
      <c r="C72" s="488"/>
      <c r="D72" s="488"/>
      <c r="E72" s="488"/>
      <c r="F72" s="488"/>
      <c r="G72" s="488"/>
      <c r="H72" s="488"/>
      <c r="I72" s="488"/>
      <c r="J72" s="488"/>
      <c r="K72" s="489"/>
      <c r="L72" s="490"/>
      <c r="M72" s="491"/>
      <c r="N72" s="2740"/>
      <c r="O72" s="2740"/>
      <c r="P72" s="2765"/>
      <c r="Q72" s="2726"/>
      <c r="R72" s="2712"/>
      <c r="S72" s="2712"/>
      <c r="T72" s="2712"/>
      <c r="U72" s="2712"/>
      <c r="V72" s="2712"/>
      <c r="W72" s="2712"/>
      <c r="X72" s="2712"/>
      <c r="Y72" s="2712"/>
      <c r="Z72" s="2712"/>
      <c r="AA72" s="2712"/>
      <c r="AB72" s="2712"/>
      <c r="AC72" s="2712"/>
      <c r="AD72" s="2712"/>
      <c r="AE72" s="2712"/>
    </row>
    <row r="73" spans="1:31" ht="14.4" thickBot="1">
      <c r="A73" s="483"/>
      <c r="B73" s="492"/>
      <c r="C73" s="493"/>
      <c r="D73" s="493"/>
      <c r="E73" s="493"/>
      <c r="F73" s="493"/>
      <c r="G73" s="493"/>
      <c r="H73" s="493"/>
      <c r="I73" s="493"/>
      <c r="J73" s="493"/>
      <c r="K73" s="493"/>
      <c r="L73" s="493"/>
      <c r="M73" s="494"/>
      <c r="N73" s="2741"/>
      <c r="O73" s="2741"/>
      <c r="P73" s="2765"/>
      <c r="Q73" s="2726"/>
      <c r="R73" s="2712"/>
      <c r="S73" s="2712"/>
      <c r="T73" s="2712"/>
      <c r="U73" s="2712"/>
      <c r="V73" s="2712"/>
      <c r="W73" s="2712"/>
      <c r="X73" s="2712"/>
      <c r="Y73" s="2712"/>
      <c r="Z73" s="2712"/>
      <c r="AA73" s="2712"/>
      <c r="AB73" s="2712"/>
      <c r="AC73" s="2712"/>
      <c r="AD73" s="2712"/>
      <c r="AE73" s="271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c r="A75" s="483"/>
      <c r="B75" s="497"/>
      <c r="C75" s="498"/>
      <c r="D75" s="498"/>
      <c r="E75" s="498"/>
      <c r="F75" s="498"/>
      <c r="G75" s="498"/>
      <c r="H75" s="498"/>
      <c r="I75" s="498"/>
      <c r="J75" s="498"/>
      <c r="K75" s="499"/>
      <c r="L75" s="500"/>
      <c r="M75" s="501"/>
      <c r="N75" s="2740"/>
      <c r="O75" s="2740"/>
      <c r="P75" s="2765"/>
      <c r="Q75" s="2726"/>
      <c r="R75" s="2712"/>
      <c r="S75" s="2712"/>
      <c r="T75" s="2712"/>
      <c r="U75" s="2712"/>
      <c r="V75" s="2712"/>
      <c r="W75" s="2712"/>
      <c r="X75" s="2712"/>
      <c r="Y75" s="2712"/>
      <c r="Z75" s="2712"/>
      <c r="AA75" s="2712"/>
      <c r="AB75" s="2712"/>
      <c r="AC75" s="2712"/>
      <c r="AD75" s="2712"/>
      <c r="AE75" s="271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4.4" thickTop="1">
      <c r="A77" s="502"/>
      <c r="B77" s="487">
        <f>B12</f>
        <v>111</v>
      </c>
      <c r="C77" s="503"/>
      <c r="D77" s="503"/>
      <c r="E77" s="503"/>
      <c r="F77" s="503"/>
      <c r="G77" s="503"/>
      <c r="H77" s="504"/>
      <c r="I77" s="504"/>
      <c r="J77" s="504"/>
      <c r="K77" s="504"/>
      <c r="L77" s="505"/>
      <c r="M77" s="506"/>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4.4" thickBot="1">
      <c r="A78" s="502"/>
      <c r="B78" s="492"/>
      <c r="C78" s="509"/>
      <c r="D78" s="485"/>
      <c r="E78" s="485"/>
      <c r="F78" s="485"/>
      <c r="G78" s="485"/>
      <c r="H78" s="485"/>
      <c r="I78" s="485"/>
      <c r="J78" s="485"/>
      <c r="K78" s="485"/>
      <c r="L78" s="485"/>
      <c r="M78" s="486"/>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4.4" thickTop="1">
      <c r="A79" s="502"/>
      <c r="B79" s="487">
        <f>B13</f>
        <v>111</v>
      </c>
      <c r="C79" s="503"/>
      <c r="D79" s="503"/>
      <c r="E79" s="503"/>
      <c r="F79" s="503"/>
      <c r="G79" s="503"/>
      <c r="H79" s="504"/>
      <c r="I79" s="504"/>
      <c r="J79" s="504"/>
      <c r="K79" s="504"/>
      <c r="L79" s="505"/>
      <c r="M79" s="506"/>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4.4" thickBot="1">
      <c r="A80" s="502"/>
      <c r="B80" s="492"/>
      <c r="C80" s="509"/>
      <c r="D80" s="509"/>
      <c r="E80" s="509"/>
      <c r="F80" s="509"/>
      <c r="G80" s="509"/>
      <c r="H80" s="511"/>
      <c r="I80" s="511"/>
      <c r="J80" s="511"/>
      <c r="K80" s="511"/>
      <c r="L80" s="511"/>
      <c r="M80" s="512"/>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4.4" thickTop="1">
      <c r="A81" s="502"/>
      <c r="B81" s="495">
        <f>B14</f>
        <v>111</v>
      </c>
      <c r="C81" s="472"/>
      <c r="D81" s="472"/>
      <c r="E81" s="472"/>
      <c r="F81" s="472"/>
      <c r="G81" s="472"/>
      <c r="H81" s="513"/>
      <c r="I81" s="513"/>
      <c r="J81" s="513"/>
      <c r="K81" s="513"/>
      <c r="L81" s="514"/>
      <c r="M81" s="515"/>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4.4" thickBot="1">
      <c r="A82" s="517"/>
      <c r="B82" s="518"/>
      <c r="C82" s="519"/>
      <c r="D82" s="519"/>
      <c r="E82" s="519"/>
      <c r="F82" s="519"/>
      <c r="G82" s="519"/>
      <c r="H82" s="520"/>
      <c r="I82" s="520"/>
      <c r="J82" s="520"/>
      <c r="K82" s="520"/>
      <c r="L82" s="520"/>
      <c r="M82" s="521"/>
      <c r="N82" s="2742"/>
      <c r="O82" s="2742"/>
      <c r="P82" s="2766"/>
      <c r="Q82" s="2733"/>
      <c r="R82" s="2734"/>
      <c r="S82" s="2734"/>
      <c r="T82" s="2734"/>
      <c r="U82" s="2734"/>
      <c r="V82" s="2734"/>
      <c r="W82" s="2734"/>
      <c r="X82" s="2734"/>
      <c r="Y82" s="2734"/>
      <c r="Z82" s="2734"/>
      <c r="AA82" s="2734"/>
      <c r="AB82" s="2734"/>
      <c r="AC82" s="2734"/>
      <c r="AD82" s="2734"/>
      <c r="AE82" s="2734"/>
    </row>
    <row r="83" spans="1:31" ht="14.4">
      <c r="A83" s="476" t="s">
        <v>1690</v>
      </c>
      <c r="B83" s="477" t="s">
        <v>1829</v>
      </c>
      <c r="C83" s="522" t="s">
        <v>1721</v>
      </c>
      <c r="D83" s="522" t="s">
        <v>1722</v>
      </c>
      <c r="E83" s="522" t="s">
        <v>1723</v>
      </c>
      <c r="F83" s="522" t="s">
        <v>1724</v>
      </c>
      <c r="G83" s="522" t="s">
        <v>1725</v>
      </c>
      <c r="H83" s="478"/>
      <c r="I83" s="478"/>
      <c r="J83" s="478"/>
      <c r="K83" s="523"/>
      <c r="L83" s="524"/>
      <c r="M83" s="525"/>
      <c r="N83" s="2740"/>
      <c r="O83" s="2740"/>
      <c r="P83" s="2767"/>
      <c r="Q83" s="2726"/>
      <c r="R83" s="2712"/>
      <c r="S83" s="2712"/>
      <c r="T83" s="2712"/>
      <c r="U83" s="2712"/>
      <c r="V83" s="2712"/>
      <c r="W83" s="2712"/>
      <c r="X83" s="2712"/>
      <c r="Y83" s="2712"/>
      <c r="Z83" s="2712"/>
      <c r="AA83" s="2712"/>
      <c r="AB83" s="2712"/>
      <c r="AC83" s="2712"/>
      <c r="AD83" s="2712"/>
      <c r="AE83" s="271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1"/>
      <c r="O84" s="2741"/>
      <c r="P84" s="2765"/>
      <c r="Q84" s="2726"/>
      <c r="R84" s="2712"/>
      <c r="S84" s="2712"/>
      <c r="T84" s="2712"/>
      <c r="U84" s="2712"/>
      <c r="V84" s="2712"/>
      <c r="W84" s="2712"/>
      <c r="X84" s="2712"/>
      <c r="Y84" s="2712"/>
      <c r="Z84" s="2712"/>
      <c r="AA84" s="2712"/>
      <c r="AB84" s="2712"/>
      <c r="AC84" s="2712"/>
      <c r="AD84" s="2712"/>
      <c r="AE84" s="2712"/>
    </row>
    <row r="85" spans="1:31" ht="15" thickTop="1">
      <c r="A85" s="483"/>
      <c r="B85" s="487" t="s">
        <v>1726</v>
      </c>
      <c r="C85" s="527" t="s">
        <v>1721</v>
      </c>
      <c r="D85" s="527" t="s">
        <v>1722</v>
      </c>
      <c r="E85" s="527" t="s">
        <v>1723</v>
      </c>
      <c r="F85" s="527" t="s">
        <v>1724</v>
      </c>
      <c r="G85" s="527" t="s">
        <v>1725</v>
      </c>
      <c r="H85" s="488"/>
      <c r="I85" s="488"/>
      <c r="J85" s="488"/>
      <c r="K85" s="489"/>
      <c r="L85" s="490"/>
      <c r="M85" s="491"/>
      <c r="N85" s="2740"/>
      <c r="O85" s="2740"/>
      <c r="P85" s="2765"/>
      <c r="Q85" s="2726"/>
      <c r="R85" s="2712"/>
      <c r="S85" s="2712"/>
      <c r="T85" s="2712"/>
      <c r="U85" s="2712"/>
      <c r="V85" s="2712"/>
      <c r="W85" s="2712"/>
      <c r="X85" s="2712"/>
      <c r="Y85" s="2712"/>
      <c r="Z85" s="2712"/>
      <c r="AA85" s="2712"/>
      <c r="AB85" s="2712"/>
      <c r="AC85" s="2712"/>
      <c r="AD85" s="2712"/>
      <c r="AE85" s="271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39"/>
      <c r="O87" s="2739"/>
      <c r="P87" s="2765"/>
      <c r="Q87" s="2726"/>
      <c r="R87" s="2650"/>
      <c r="S87" s="2650"/>
      <c r="T87" s="2650"/>
      <c r="U87" s="2650"/>
      <c r="V87" s="2650"/>
      <c r="W87" s="2650"/>
      <c r="X87" s="2650"/>
      <c r="Y87" s="2650"/>
      <c r="Z87" s="2650"/>
      <c r="AA87" s="2650"/>
      <c r="AB87" s="2650"/>
      <c r="AC87" s="2650"/>
      <c r="AD87" s="2650"/>
      <c r="AE87" s="265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1"/>
      <c r="O88" s="2741"/>
      <c r="P88" s="2765"/>
      <c r="Q88" s="2726"/>
      <c r="R88" s="2650"/>
      <c r="S88" s="2650"/>
      <c r="T88" s="2650"/>
      <c r="U88" s="2650"/>
      <c r="V88" s="2650"/>
      <c r="W88" s="2650"/>
      <c r="X88" s="2650"/>
      <c r="Y88" s="2650"/>
      <c r="Z88" s="2650"/>
      <c r="AA88" s="2650"/>
      <c r="AB88" s="2650"/>
      <c r="AC88" s="2650"/>
      <c r="AD88" s="2650"/>
      <c r="AE88" s="265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39"/>
      <c r="O89" s="2739"/>
      <c r="P89" s="2765"/>
      <c r="Q89" s="2726"/>
      <c r="R89" s="2650"/>
      <c r="S89" s="2650"/>
      <c r="T89" s="2650"/>
      <c r="U89" s="2650"/>
      <c r="V89" s="2650"/>
      <c r="W89" s="2650"/>
      <c r="X89" s="2650"/>
      <c r="Y89" s="2650"/>
      <c r="Z89" s="2650"/>
      <c r="AA89" s="2650"/>
      <c r="AB89" s="2650"/>
      <c r="AC89" s="2650"/>
      <c r="AD89" s="2650"/>
      <c r="AE89" s="265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1"/>
      <c r="O90" s="2741"/>
      <c r="P90" s="2765"/>
      <c r="Q90" s="2726"/>
      <c r="R90" s="2650"/>
      <c r="S90" s="2650"/>
      <c r="T90" s="2650"/>
      <c r="U90" s="2650"/>
      <c r="V90" s="2650"/>
      <c r="W90" s="2650"/>
      <c r="X90" s="2650"/>
      <c r="Y90" s="2650"/>
      <c r="Z90" s="2650"/>
      <c r="AA90" s="2650"/>
      <c r="AB90" s="2650"/>
      <c r="AC90" s="2650"/>
      <c r="AD90" s="2650"/>
      <c r="AE90" s="265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42"/>
      <c r="O94" s="2742"/>
      <c r="P94" s="2766"/>
      <c r="Q94" s="2733"/>
      <c r="R94" s="2734"/>
      <c r="S94" s="2734"/>
      <c r="T94" s="2734"/>
      <c r="U94" s="2734"/>
      <c r="V94" s="2734"/>
      <c r="W94" s="2734"/>
      <c r="X94" s="2734"/>
      <c r="Y94" s="2734"/>
      <c r="Z94" s="2734"/>
      <c r="AA94" s="2734"/>
      <c r="AB94" s="2734"/>
      <c r="AC94" s="2734"/>
      <c r="AD94" s="2734"/>
      <c r="AE94" s="273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0"/>
      <c r="O95" s="2740"/>
      <c r="P95" s="2765"/>
      <c r="Q95" s="2726"/>
      <c r="R95" s="2712"/>
      <c r="S95" s="2712"/>
      <c r="T95" s="2712"/>
      <c r="U95" s="2712"/>
      <c r="V95" s="2712"/>
      <c r="W95" s="2712"/>
      <c r="X95" s="2712"/>
      <c r="Y95" s="2712"/>
      <c r="Z95" s="2712"/>
      <c r="AA95" s="2712"/>
      <c r="AB95" s="2712"/>
      <c r="AC95" s="2712"/>
      <c r="AD95" s="2712"/>
      <c r="AE95" s="271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9.4" thickTop="1">
      <c r="A97" s="483"/>
      <c r="B97" s="487" t="s">
        <v>1815</v>
      </c>
      <c r="C97" s="503"/>
      <c r="D97" s="503"/>
      <c r="E97" s="503"/>
      <c r="F97" s="503"/>
      <c r="G97" s="503"/>
      <c r="H97" s="532"/>
      <c r="I97" s="532"/>
      <c r="J97" s="532"/>
      <c r="K97" s="533"/>
      <c r="L97" s="534"/>
      <c r="M97" s="535"/>
      <c r="N97" s="2740"/>
      <c r="O97" s="2740"/>
      <c r="P97" s="2765"/>
      <c r="Q97" s="2726"/>
      <c r="R97" s="2712"/>
      <c r="S97" s="2712"/>
      <c r="T97" s="2712"/>
      <c r="U97" s="2712"/>
      <c r="V97" s="2712"/>
      <c r="W97" s="2712"/>
      <c r="X97" s="2712"/>
      <c r="Y97" s="2712"/>
      <c r="Z97" s="2712"/>
      <c r="AA97" s="2712"/>
      <c r="AB97" s="2712"/>
      <c r="AC97" s="2712"/>
      <c r="AD97" s="2712"/>
      <c r="AE97" s="271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 thickTop="1">
      <c r="A99" s="483"/>
      <c r="B99" s="487" t="s">
        <v>1873</v>
      </c>
      <c r="C99" s="532"/>
      <c r="D99" s="532"/>
      <c r="E99" s="532"/>
      <c r="F99" s="532"/>
      <c r="G99" s="532"/>
      <c r="H99" s="532"/>
      <c r="I99" s="532"/>
      <c r="J99" s="532"/>
      <c r="K99" s="533"/>
      <c r="L99" s="534"/>
      <c r="M99" s="535"/>
      <c r="N99" s="2740"/>
      <c r="O99" s="2740"/>
      <c r="P99" s="2765"/>
      <c r="Q99" s="2726"/>
      <c r="R99" s="2712"/>
      <c r="S99" s="2712"/>
      <c r="T99" s="2712"/>
      <c r="U99" s="2712"/>
      <c r="V99" s="2712"/>
      <c r="W99" s="2712"/>
      <c r="X99" s="2712"/>
      <c r="Y99" s="2712"/>
      <c r="Z99" s="2712"/>
      <c r="AA99" s="2712"/>
      <c r="AB99" s="2712"/>
      <c r="AC99" s="2712"/>
      <c r="AD99" s="2712"/>
      <c r="AE99" s="271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4.4" thickTop="1">
      <c r="A101" s="483"/>
      <c r="B101" s="495">
        <f>B31</f>
        <v>111</v>
      </c>
      <c r="C101" s="503"/>
      <c r="D101" s="503"/>
      <c r="E101" s="503"/>
      <c r="F101" s="503"/>
      <c r="G101" s="536"/>
      <c r="H101" s="536"/>
      <c r="I101" s="536"/>
      <c r="J101" s="536"/>
      <c r="K101" s="537"/>
      <c r="L101" s="538"/>
      <c r="M101" s="539"/>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4.4" thickBot="1">
      <c r="A102" s="483"/>
      <c r="B102" s="518"/>
      <c r="C102" s="509"/>
      <c r="D102" s="485"/>
      <c r="E102" s="485"/>
      <c r="F102" s="485"/>
      <c r="G102" s="540"/>
      <c r="H102" s="540"/>
      <c r="I102" s="540"/>
      <c r="J102" s="540"/>
      <c r="K102" s="540"/>
      <c r="L102" s="540"/>
      <c r="M102" s="541"/>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4.4" thickTop="1">
      <c r="A103" s="623"/>
      <c r="B103" s="487">
        <f>B32</f>
        <v>111</v>
      </c>
      <c r="C103" s="503"/>
      <c r="D103" s="503"/>
      <c r="E103" s="503"/>
      <c r="F103" s="503"/>
      <c r="G103" s="532"/>
      <c r="H103" s="532"/>
      <c r="I103" s="532"/>
      <c r="J103" s="532"/>
      <c r="K103" s="533"/>
      <c r="L103" s="534"/>
      <c r="M103" s="535"/>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4.4" thickBot="1">
      <c r="A104" s="483"/>
      <c r="B104" s="492"/>
      <c r="C104" s="509"/>
      <c r="D104" s="509"/>
      <c r="E104" s="509"/>
      <c r="F104" s="509"/>
      <c r="G104" s="485"/>
      <c r="H104" s="485"/>
      <c r="I104" s="485"/>
      <c r="J104" s="485"/>
      <c r="K104" s="485"/>
      <c r="L104" s="485"/>
      <c r="M104" s="486"/>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4.4" thickTop="1">
      <c r="A105" s="542"/>
      <c r="B105" s="543">
        <f>B33</f>
        <v>111</v>
      </c>
      <c r="C105" s="472"/>
      <c r="D105" s="472"/>
      <c r="E105" s="472"/>
      <c r="F105" s="472"/>
      <c r="G105" s="544"/>
      <c r="H105" s="544"/>
      <c r="I105" s="544"/>
      <c r="J105" s="545"/>
      <c r="K105" s="545"/>
      <c r="L105" s="546"/>
      <c r="M105" s="547"/>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4.4" thickBot="1">
      <c r="A106" s="502"/>
      <c r="B106" s="495"/>
      <c r="C106" s="519"/>
      <c r="D106" s="519"/>
      <c r="E106" s="519"/>
      <c r="F106" s="519"/>
      <c r="G106" s="625"/>
      <c r="H106" s="625"/>
      <c r="I106" s="625"/>
      <c r="J106" s="625"/>
      <c r="K106" s="625"/>
      <c r="L106" s="625"/>
      <c r="M106" s="647"/>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c r="A108" s="483"/>
      <c r="B108" s="495"/>
      <c r="C108" s="544"/>
      <c r="D108" s="544"/>
      <c r="E108" s="544"/>
      <c r="F108" s="544"/>
      <c r="G108" s="544"/>
      <c r="H108" s="544"/>
      <c r="I108" s="544"/>
      <c r="J108" s="545"/>
      <c r="K108" s="545"/>
      <c r="L108" s="546"/>
      <c r="M108" s="547"/>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4.4" thickBot="1">
      <c r="A109" s="483"/>
      <c r="B109" s="492"/>
      <c r="C109" s="519"/>
      <c r="D109" s="540"/>
      <c r="E109" s="540"/>
      <c r="F109" s="540"/>
      <c r="G109" s="540"/>
      <c r="H109" s="540"/>
      <c r="I109" s="540"/>
      <c r="J109" s="540"/>
      <c r="K109" s="540"/>
      <c r="L109" s="540"/>
      <c r="M109" s="541"/>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8"/>
      <c r="B110" s="487" t="s">
        <v>1914</v>
      </c>
      <c r="C110" s="532"/>
      <c r="D110" s="532"/>
      <c r="E110" s="532"/>
      <c r="F110" s="532"/>
      <c r="G110" s="532"/>
      <c r="H110" s="532"/>
      <c r="I110" s="532"/>
      <c r="J110" s="532"/>
      <c r="K110" s="533"/>
      <c r="L110" s="534"/>
      <c r="M110" s="535"/>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2"/>
      <c r="B112" s="487" t="s">
        <v>1916</v>
      </c>
      <c r="C112" s="503"/>
      <c r="D112" s="503"/>
      <c r="E112" s="503"/>
      <c r="F112" s="503"/>
      <c r="G112" s="503"/>
      <c r="H112" s="532"/>
      <c r="I112" s="532"/>
      <c r="J112" s="532"/>
      <c r="K112" s="533"/>
      <c r="L112" s="534"/>
      <c r="M112" s="535"/>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8"/>
      <c r="B114" s="487" t="s">
        <v>1917</v>
      </c>
      <c r="C114" s="503"/>
      <c r="D114" s="503"/>
      <c r="E114" s="532"/>
      <c r="F114" s="532"/>
      <c r="G114" s="532"/>
      <c r="H114" s="532"/>
      <c r="I114" s="532"/>
      <c r="J114" s="532"/>
      <c r="K114" s="533"/>
      <c r="L114" s="534"/>
      <c r="M114" s="535"/>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4.4" thickTop="1">
      <c r="A116" s="548"/>
      <c r="B116" s="487">
        <f>B38</f>
        <v>111</v>
      </c>
      <c r="C116" s="503"/>
      <c r="D116" s="503"/>
      <c r="E116" s="503"/>
      <c r="F116" s="503"/>
      <c r="G116" s="503"/>
      <c r="H116" s="532"/>
      <c r="I116" s="532"/>
      <c r="J116" s="532"/>
      <c r="K116" s="533"/>
      <c r="L116" s="534"/>
      <c r="M116" s="535"/>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4.4" thickBot="1">
      <c r="A117" s="483"/>
      <c r="B117" s="492"/>
      <c r="C117" s="509"/>
      <c r="D117" s="485"/>
      <c r="E117" s="485"/>
      <c r="F117" s="485"/>
      <c r="G117" s="485"/>
      <c r="H117" s="485"/>
      <c r="I117" s="485"/>
      <c r="J117" s="485"/>
      <c r="K117" s="485"/>
      <c r="L117" s="485"/>
      <c r="M117" s="486"/>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4.4" thickTop="1">
      <c r="A118" s="548"/>
      <c r="B118" s="487">
        <f>B39</f>
        <v>111</v>
      </c>
      <c r="C118" s="503"/>
      <c r="D118" s="503"/>
      <c r="E118" s="503"/>
      <c r="F118" s="503"/>
      <c r="G118" s="532"/>
      <c r="H118" s="532"/>
      <c r="I118" s="532"/>
      <c r="J118" s="532"/>
      <c r="K118" s="533"/>
      <c r="L118" s="534"/>
      <c r="M118" s="535"/>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4.4" thickBot="1">
      <c r="A119" s="483"/>
      <c r="B119" s="492"/>
      <c r="C119" s="509"/>
      <c r="D119" s="509"/>
      <c r="E119" s="509"/>
      <c r="F119" s="509"/>
      <c r="G119" s="485"/>
      <c r="H119" s="485"/>
      <c r="I119" s="485"/>
      <c r="J119" s="485"/>
      <c r="K119" s="485"/>
      <c r="L119" s="485"/>
      <c r="M119" s="486"/>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4.4" thickTop="1">
      <c r="A120" s="542"/>
      <c r="B120" s="487">
        <f>B40</f>
        <v>111</v>
      </c>
      <c r="C120" s="472"/>
      <c r="D120" s="472"/>
      <c r="E120" s="472"/>
      <c r="F120" s="472"/>
      <c r="G120" s="504"/>
      <c r="H120" s="504"/>
      <c r="I120" s="504"/>
      <c r="J120" s="504"/>
      <c r="K120" s="504"/>
      <c r="L120" s="505"/>
      <c r="M120" s="506"/>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4.4" thickBot="1">
      <c r="A121" s="517"/>
      <c r="B121" s="648"/>
      <c r="C121" s="519"/>
      <c r="D121" s="519"/>
      <c r="E121" s="519"/>
      <c r="F121" s="519"/>
      <c r="G121" s="540"/>
      <c r="H121" s="540"/>
      <c r="I121" s="540"/>
      <c r="J121" s="540"/>
      <c r="K121" s="540"/>
      <c r="L121" s="540"/>
      <c r="M121" s="541"/>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7">
        <v>1</v>
      </c>
      <c r="D24" s="2798"/>
      <c r="E24" s="2797">
        <v>1</v>
      </c>
      <c r="F24" s="2798"/>
      <c r="G24" s="2797">
        <v>1</v>
      </c>
      <c r="H24" s="2798"/>
      <c r="I24" s="2797">
        <v>1</v>
      </c>
      <c r="J24" s="2798"/>
      <c r="K24" s="2797">
        <v>1</v>
      </c>
      <c r="L24" s="2798"/>
      <c r="M24" s="2797">
        <v>1</v>
      </c>
      <c r="N24" s="2798"/>
      <c r="O24" s="2797">
        <v>1</v>
      </c>
      <c r="P24" s="2798"/>
      <c r="Q24" s="279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80"/>
      <c r="G1" s="2780"/>
      <c r="H1" s="2780"/>
      <c r="I1" s="2780"/>
      <c r="J1" s="2780"/>
      <c r="K1" s="2780"/>
      <c r="L1" s="2780"/>
      <c r="M1" s="2780"/>
      <c r="N1" s="2780"/>
      <c r="O1" s="2780"/>
      <c r="P1" s="2780"/>
    </row>
    <row r="2" spans="1:16" ht="15.6">
      <c r="A2" s="2144" t="s">
        <v>2073</v>
      </c>
      <c r="B2" s="2591" t="e">
        <f ca="1">SUMIF(B6:B13,"&lt;&gt;#ref!",B6:B13)</f>
        <v>#DIV/0!</v>
      </c>
      <c r="C2" s="2144" t="s">
        <v>2074</v>
      </c>
      <c r="D2" s="2144" t="s">
        <v>2075</v>
      </c>
      <c r="E2" s="2601">
        <f ca="1">SUMIF(E6:E13,"&lt;&gt;#ref!",E6:E13)</f>
        <v>0</v>
      </c>
      <c r="F2" s="2780"/>
      <c r="G2" s="2780"/>
      <c r="H2" s="2780"/>
      <c r="I2" s="2780"/>
      <c r="J2" s="2780"/>
      <c r="K2" s="2780"/>
      <c r="L2" s="2780"/>
      <c r="M2" s="2780"/>
      <c r="N2" s="2780"/>
      <c r="O2" s="2780"/>
      <c r="P2" s="2780"/>
    </row>
    <row r="3" spans="1:16" ht="15.6">
      <c r="A3" s="2144" t="s">
        <v>2076</v>
      </c>
      <c r="B3" s="2591" t="e">
        <f ca="1">ROUND(B2*10000/E2,0)</f>
        <v>#DIV/0!</v>
      </c>
      <c r="C3" s="2144" t="s">
        <v>2082</v>
      </c>
      <c r="D3" s="2780"/>
      <c r="E3" s="2780"/>
      <c r="F3" s="2780"/>
      <c r="G3" s="2780"/>
      <c r="H3" s="2780"/>
      <c r="I3" s="2780"/>
      <c r="J3" s="2780"/>
      <c r="K3" s="2780"/>
      <c r="L3" s="2780"/>
      <c r="M3" s="2780"/>
      <c r="N3" s="2780"/>
      <c r="O3" s="2780"/>
      <c r="P3" s="2780"/>
    </row>
    <row r="4" spans="1:16" ht="15.6">
      <c r="A4" s="2781"/>
      <c r="B4" s="2780"/>
      <c r="C4" s="2780"/>
      <c r="D4" s="2780"/>
      <c r="E4" s="2780"/>
      <c r="F4" s="2780"/>
      <c r="G4" s="2780"/>
      <c r="H4" s="2780"/>
      <c r="I4" s="2780"/>
      <c r="J4" s="2780"/>
      <c r="K4" s="2780"/>
      <c r="L4" s="2780"/>
      <c r="M4" s="2780"/>
      <c r="N4" s="2780"/>
      <c r="O4" s="2780"/>
      <c r="P4" s="2780"/>
    </row>
    <row r="5" spans="1:16" ht="31.2">
      <c r="A5" s="2597" t="s">
        <v>2077</v>
      </c>
      <c r="B5" s="2599" t="s">
        <v>2078</v>
      </c>
      <c r="C5" s="2145"/>
      <c r="D5" s="2780"/>
      <c r="E5" s="2600" t="s">
        <v>2079</v>
      </c>
      <c r="F5" s="2780"/>
      <c r="G5" s="2780"/>
      <c r="H5" s="2780"/>
      <c r="I5" s="2780"/>
      <c r="J5" s="2780"/>
      <c r="K5" s="2780"/>
      <c r="L5" s="2780"/>
      <c r="M5" s="2780"/>
      <c r="N5" s="2780"/>
      <c r="O5" s="2780"/>
      <c r="P5" s="2780"/>
    </row>
    <row r="6" spans="1:16" ht="15.6">
      <c r="A6" s="2598" t="s">
        <v>2080</v>
      </c>
      <c r="B6" s="2591" t="e">
        <f ca="1">SUMIF(INDIRECT("'"&amp;A6&amp;"'"&amp;"!A:A"),"总价",INDIRECT("'"&amp;A6&amp;"'"&amp;"!B:B"))</f>
        <v>#DIV/0!</v>
      </c>
      <c r="C6" s="2144" t="s">
        <v>2074</v>
      </c>
      <c r="D6" s="2780"/>
      <c r="E6" s="2601">
        <f ca="1">SUMIF(INDIRECT("'"&amp;A6&amp;"'"&amp;"!C:C"),"建筑面积",INDIRECT("'"&amp;A6&amp;"'"&amp;"!D:D"))</f>
        <v>0</v>
      </c>
      <c r="F6" s="2780"/>
      <c r="G6" s="2780"/>
      <c r="H6" s="2780"/>
      <c r="I6" s="2780"/>
      <c r="J6" s="2780"/>
      <c r="K6" s="2780"/>
      <c r="L6" s="2780"/>
      <c r="M6" s="2780"/>
      <c r="N6" s="2780"/>
      <c r="O6" s="2780"/>
      <c r="P6" s="2780"/>
    </row>
    <row r="7" spans="1:16" ht="15.6">
      <c r="A7" s="2598"/>
      <c r="B7" s="2591" t="e">
        <f ca="1">SUMIF(INDIRECT("'"&amp;A7&amp;"'"&amp;"!A:A"),"总价",INDIRECT("'"&amp;A7&amp;"'"&amp;"!B:B"))</f>
        <v>#REF!</v>
      </c>
      <c r="C7" s="2144" t="s">
        <v>2074</v>
      </c>
      <c r="D7" s="2780"/>
      <c r="E7" s="2601" t="e">
        <f t="shared" ref="E7:E13" ca="1" si="0">SUMIF(INDIRECT("'"&amp;A7&amp;"'"&amp;"!C:C"),"建筑面积",INDIRECT("'"&amp;A7&amp;"'"&amp;"!D:D"))</f>
        <v>#REF!</v>
      </c>
      <c r="F7" s="2780"/>
      <c r="G7" s="2780"/>
      <c r="H7" s="2780"/>
      <c r="I7" s="2780"/>
      <c r="J7" s="2780"/>
      <c r="K7" s="2780"/>
      <c r="L7" s="2780"/>
      <c r="M7" s="2780"/>
      <c r="N7" s="2780"/>
      <c r="O7" s="2780"/>
      <c r="P7" s="2780"/>
    </row>
    <row r="8" spans="1:16" ht="15.6">
      <c r="A8" s="2598"/>
      <c r="B8" s="2591" t="e">
        <f t="shared" ref="B8:B13" ca="1" si="1">SUMIF(INDIRECT("'"&amp;A8&amp;"'"&amp;"!A:A"),"总价",INDIRECT("'"&amp;A8&amp;"'"&amp;"!B:B"))</f>
        <v>#REF!</v>
      </c>
      <c r="C8" s="2144" t="s">
        <v>2074</v>
      </c>
      <c r="D8" s="2780"/>
      <c r="E8" s="2601" t="e">
        <f t="shared" ca="1" si="0"/>
        <v>#REF!</v>
      </c>
      <c r="F8" s="2780"/>
      <c r="G8" s="2780"/>
      <c r="H8" s="2780"/>
      <c r="I8" s="2780"/>
      <c r="J8" s="2780"/>
      <c r="K8" s="2780"/>
      <c r="L8" s="2780"/>
      <c r="M8" s="2780"/>
      <c r="N8" s="2780"/>
      <c r="O8" s="2780"/>
      <c r="P8" s="2780"/>
    </row>
    <row r="9" spans="1:16" ht="15.6">
      <c r="A9" s="2598"/>
      <c r="B9" s="2591" t="e">
        <f t="shared" ca="1" si="1"/>
        <v>#REF!</v>
      </c>
      <c r="C9" s="2144" t="s">
        <v>2074</v>
      </c>
      <c r="D9" s="2780"/>
      <c r="E9" s="2601" t="e">
        <f t="shared" ca="1" si="0"/>
        <v>#REF!</v>
      </c>
      <c r="F9" s="2780"/>
      <c r="G9" s="2780"/>
      <c r="H9" s="2780"/>
      <c r="I9" s="2780"/>
      <c r="J9" s="2780"/>
      <c r="K9" s="2780"/>
      <c r="L9" s="2780"/>
      <c r="M9" s="2780"/>
      <c r="N9" s="2780"/>
      <c r="O9" s="2780"/>
      <c r="P9" s="2780"/>
    </row>
    <row r="10" spans="1:16" ht="15.6">
      <c r="A10" s="2598"/>
      <c r="B10" s="2591" t="e">
        <f t="shared" ca="1" si="1"/>
        <v>#REF!</v>
      </c>
      <c r="C10" s="2144" t="s">
        <v>2074</v>
      </c>
      <c r="D10" s="2780"/>
      <c r="E10" s="2601" t="e">
        <f t="shared" ca="1" si="0"/>
        <v>#REF!</v>
      </c>
      <c r="F10" s="2780"/>
      <c r="G10" s="2780"/>
      <c r="H10" s="2780"/>
      <c r="I10" s="2780"/>
      <c r="J10" s="2780"/>
      <c r="K10" s="2780"/>
      <c r="L10" s="2780"/>
      <c r="M10" s="2780"/>
      <c r="N10" s="2780"/>
      <c r="O10" s="2780"/>
      <c r="P10" s="2780"/>
    </row>
    <row r="11" spans="1:16" ht="15.6">
      <c r="A11" s="2598"/>
      <c r="B11" s="2591" t="e">
        <f t="shared" ca="1" si="1"/>
        <v>#REF!</v>
      </c>
      <c r="C11" s="2144" t="s">
        <v>2074</v>
      </c>
      <c r="D11" s="2780"/>
      <c r="E11" s="2601" t="e">
        <f t="shared" ca="1" si="0"/>
        <v>#REF!</v>
      </c>
      <c r="F11" s="2780"/>
      <c r="G11" s="2780"/>
      <c r="H11" s="2780"/>
      <c r="I11" s="2780"/>
      <c r="J11" s="2780"/>
      <c r="K11" s="2780"/>
      <c r="L11" s="2780"/>
      <c r="M11" s="2780"/>
      <c r="N11" s="2780"/>
      <c r="O11" s="2780"/>
      <c r="P11" s="2780"/>
    </row>
    <row r="12" spans="1:16" ht="15.6">
      <c r="A12" s="2598"/>
      <c r="B12" s="2591" t="e">
        <f t="shared" ca="1" si="1"/>
        <v>#REF!</v>
      </c>
      <c r="C12" s="2144" t="s">
        <v>2074</v>
      </c>
      <c r="D12" s="2780"/>
      <c r="E12" s="2601" t="e">
        <f t="shared" ca="1" si="0"/>
        <v>#REF!</v>
      </c>
      <c r="F12" s="2780"/>
      <c r="G12" s="2780"/>
      <c r="H12" s="2780"/>
      <c r="I12" s="2780"/>
      <c r="J12" s="2780"/>
      <c r="K12" s="2780"/>
      <c r="L12" s="2780"/>
      <c r="M12" s="2780"/>
      <c r="N12" s="2780"/>
      <c r="O12" s="2780"/>
      <c r="P12" s="2780"/>
    </row>
    <row r="13" spans="1:16" ht="15.6">
      <c r="A13" s="2598"/>
      <c r="B13" s="2591" t="e">
        <f t="shared" ca="1" si="1"/>
        <v>#REF!</v>
      </c>
      <c r="C13" s="2144" t="s">
        <v>2074</v>
      </c>
      <c r="D13" s="2780"/>
      <c r="E13" s="2601"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3" zoomScale="85" zoomScaleNormal="80" zoomScaleSheetLayoutView="85" workbookViewId="0">
      <selection activeCell="Q45" sqref="Q45"/>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09"/>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48">
        <f>ROUND(SUMPRODUCT((B106:B110=R2)*(C105:N105=G2)*(C106:N110)),4)</f>
        <v>0</v>
      </c>
      <c r="T2" s="3348" t="e">
        <f t="shared" ref="T2:T16" si="0">ROUND($C$5*$C$22*$C$23*$C$24*S2*$C$28,0)</f>
        <v>#DIV/0!</v>
      </c>
      <c r="U2" s="1213"/>
      <c r="V2" s="334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07"/>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48">
        <f>ROUND(SUMPRODUCT((B106:B110=R3)*(C105:N105=G2)*(C106:N110)),4)</f>
        <v>0</v>
      </c>
      <c r="T3" s="3348" t="e">
        <f t="shared" si="0"/>
        <v>#DIV/0!</v>
      </c>
      <c r="U3" s="1213"/>
      <c r="V3" s="3348" t="e">
        <f t="shared" ref="V3:V16" si="1">ROUND(T3*U3/10000,0)</f>
        <v>#DIV/0!</v>
      </c>
      <c r="W3" s="1216"/>
      <c r="X3" s="1216"/>
      <c r="Y3" s="1216"/>
      <c r="Z3" s="1216"/>
      <c r="AA3" s="1216"/>
      <c r="AB3" s="1216"/>
      <c r="AC3" s="1217"/>
      <c r="AD3" s="1218"/>
      <c r="AE3" s="1218"/>
      <c r="AF3" s="1218"/>
      <c r="AG3" s="1218"/>
      <c r="AH3" s="1218"/>
      <c r="AI3" s="1218"/>
      <c r="AJ3" s="1219"/>
    </row>
    <row r="4" spans="1:36" ht="15.6">
      <c r="A4" s="3750"/>
      <c r="B4" s="3751"/>
      <c r="C4" s="3751"/>
      <c r="D4" s="3752"/>
      <c r="E4" s="3752"/>
      <c r="F4" s="3752"/>
      <c r="G4" s="3752"/>
      <c r="H4" s="3752"/>
      <c r="I4" s="3752"/>
      <c r="J4" s="3753"/>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48">
        <f>ROUND(SUMPRODUCT((B106:B110=R4)*(C105:N105=G2)*(C106:N110)),4)</f>
        <v>0</v>
      </c>
      <c r="T4" s="3348" t="e">
        <f t="shared" si="0"/>
        <v>#DIV/0!</v>
      </c>
      <c r="U4" s="1213"/>
      <c r="V4" s="3348"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48">
        <f>ROUND(SUMPRODUCT((B106:B110=R5)*(C105:N105=G2)*(C106:N110)),4)</f>
        <v>0</v>
      </c>
      <c r="T5" s="3348" t="e">
        <f t="shared" si="0"/>
        <v>#DIV/0!</v>
      </c>
      <c r="U5" s="1213"/>
      <c r="V5" s="3348"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2">
        <v>5</v>
      </c>
      <c r="S6" s="3348">
        <f>ROUND(SUMPRODUCT((B106:B110=R6)*(C105:N105=G2)*(C106:N110)),4)</f>
        <v>0</v>
      </c>
      <c r="T6" s="3348" t="e">
        <f t="shared" si="0"/>
        <v>#DIV/0!</v>
      </c>
      <c r="U6" s="1213"/>
      <c r="V6" s="3348" t="e">
        <f t="shared" si="1"/>
        <v>#DIV/0!</v>
      </c>
      <c r="W6" s="1216"/>
      <c r="X6" s="1216"/>
      <c r="Y6" s="1216"/>
      <c r="Z6" s="1216"/>
      <c r="AA6" s="1216"/>
      <c r="AB6" s="1216"/>
      <c r="AC6" s="2010"/>
      <c r="AD6" s="2011"/>
      <c r="AE6" s="2011"/>
      <c r="AF6" s="2011"/>
      <c r="AG6" s="2011"/>
      <c r="AH6" s="2011"/>
      <c r="AI6" s="2011"/>
      <c r="AJ6" s="2012"/>
    </row>
    <row r="7" spans="1:36" ht="24.6" thickBot="1">
      <c r="A7" s="3291" t="s">
        <v>3237</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2">
        <v>6</v>
      </c>
      <c r="S7" s="3406"/>
      <c r="T7" s="3348" t="e">
        <f t="shared" si="0"/>
        <v>#DIV/0!</v>
      </c>
      <c r="U7" s="1213"/>
      <c r="V7" s="3348" t="e">
        <f t="shared" si="1"/>
        <v>#DIV/0!</v>
      </c>
      <c r="W7" s="1357" t="s">
        <v>1955</v>
      </c>
      <c r="X7" s="1214">
        <f>G2</f>
        <v>0</v>
      </c>
      <c r="Y7" s="1214" t="s">
        <v>1956</v>
      </c>
      <c r="Z7" s="1215">
        <f>G3</f>
        <v>0</v>
      </c>
      <c r="AA7" s="1216"/>
      <c r="AB7" s="1216"/>
      <c r="AC7" s="1217"/>
      <c r="AD7" s="1218"/>
      <c r="AE7" s="1218"/>
      <c r="AF7" s="1218"/>
      <c r="AG7" s="1218"/>
      <c r="AH7" s="1218"/>
      <c r="AI7" s="1218"/>
      <c r="AJ7" s="1219"/>
    </row>
    <row r="8" spans="1:36" ht="15">
      <c r="A8" s="3286"/>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48" t="e">
        <f t="shared" si="0"/>
        <v>#DIV/0!</v>
      </c>
      <c r="U8" s="1213"/>
      <c r="V8" s="3348" t="e">
        <f t="shared" si="1"/>
        <v>#DIV/0!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8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48" t="e">
        <f t="shared" si="0"/>
        <v>#DIV/0!</v>
      </c>
      <c r="U9" s="1213"/>
      <c r="V9" s="3348" t="e">
        <f t="shared" si="1"/>
        <v>#DIV/0!</v>
      </c>
      <c r="W9" s="3749"/>
      <c r="X9" s="3349" t="s">
        <v>3268</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48" t="e">
        <f t="shared" si="0"/>
        <v>#DIV/0!</v>
      </c>
      <c r="U10" s="1213"/>
      <c r="V10" s="3348" t="e">
        <f t="shared" si="1"/>
        <v>#DIV/0!</v>
      </c>
      <c r="W10" s="3749"/>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6" thickBot="1">
      <c r="A11" s="329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48" t="e">
        <f t="shared" si="0"/>
        <v>#DIV/0!</v>
      </c>
      <c r="U11" s="1213"/>
      <c r="V11" s="3348" t="e">
        <f t="shared" si="1"/>
        <v>#DIV/0!</v>
      </c>
      <c r="W11" s="1216"/>
      <c r="X11" s="1216"/>
      <c r="Y11" s="1216"/>
      <c r="Z11" s="1216"/>
      <c r="AA11" s="1216"/>
      <c r="AB11" s="1216"/>
      <c r="AC11" s="1217"/>
      <c r="AD11" s="2776"/>
      <c r="AE11" s="2776"/>
      <c r="AF11" s="2776"/>
      <c r="AG11" s="2776"/>
      <c r="AH11" s="2776"/>
      <c r="AI11" s="2776"/>
      <c r="AJ11" s="2777"/>
    </row>
    <row r="12" spans="1:36" ht="25.8" thickBot="1">
      <c r="A12" s="3291" t="s">
        <v>3238</v>
      </c>
      <c r="B12" s="3292" t="s">
        <v>3239</v>
      </c>
      <c r="C12" s="3293"/>
      <c r="D12" s="3294" t="s">
        <v>3240</v>
      </c>
      <c r="E12" s="3295" t="s">
        <v>3241</v>
      </c>
      <c r="F12" s="3296"/>
      <c r="G12" s="3297"/>
      <c r="H12" s="3297"/>
      <c r="I12" s="3297"/>
      <c r="J12" s="329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48" t="e">
        <f t="shared" si="0"/>
        <v>#DIV/0!</v>
      </c>
      <c r="U12" s="1213"/>
      <c r="V12" s="3348" t="e">
        <f t="shared" si="1"/>
        <v>#DIV/0!</v>
      </c>
      <c r="W12" s="1216"/>
      <c r="X12" s="1216"/>
      <c r="Y12" s="1216"/>
      <c r="Z12" s="1216"/>
      <c r="AA12" s="1216"/>
      <c r="AB12" s="1216"/>
      <c r="AC12" s="1217"/>
      <c r="AD12" s="2776"/>
      <c r="AE12" s="2776"/>
      <c r="AF12" s="2776"/>
      <c r="AG12" s="2776"/>
      <c r="AH12" s="2776"/>
      <c r="AI12" s="2776"/>
      <c r="AJ12" s="2777"/>
    </row>
    <row r="13" spans="1:36" ht="24.6" thickBot="1">
      <c r="A13" s="3291" t="s">
        <v>3242</v>
      </c>
      <c r="B13" s="2033" t="s">
        <v>1982</v>
      </c>
      <c r="C13" s="755">
        <f>ROUND(C16*D16*E16*F16*G16*H16*I16*J16,4)</f>
        <v>0</v>
      </c>
      <c r="D13" s="2034" t="s">
        <v>1983</v>
      </c>
      <c r="E13" s="2035"/>
      <c r="F13" s="2035"/>
      <c r="G13" s="2036"/>
      <c r="H13" s="2036"/>
      <c r="I13" s="2036"/>
      <c r="J13" s="2037"/>
      <c r="K13" s="1119"/>
      <c r="L13" s="3287"/>
      <c r="M13" s="3288"/>
      <c r="N13" s="3289"/>
      <c r="O13" s="1119"/>
      <c r="P13" s="1119"/>
      <c r="Q13" s="1119"/>
      <c r="R13" s="1212">
        <v>12</v>
      </c>
      <c r="S13" s="1213"/>
      <c r="T13" s="3348" t="e">
        <f t="shared" si="0"/>
        <v>#DIV/0!</v>
      </c>
      <c r="U13" s="1213"/>
      <c r="V13" s="3348" t="e">
        <f t="shared" si="1"/>
        <v>#DIV/0!</v>
      </c>
      <c r="W13" s="1216"/>
      <c r="X13" s="1216"/>
      <c r="Y13" s="1216"/>
      <c r="Z13" s="1216"/>
      <c r="AA13" s="1216"/>
      <c r="AB13" s="1216"/>
      <c r="AC13" s="1217"/>
      <c r="AD13" s="2776"/>
      <c r="AE13" s="2776"/>
      <c r="AF13" s="2776"/>
      <c r="AG13" s="2776"/>
      <c r="AH13" s="2776"/>
      <c r="AI13" s="2776"/>
      <c r="AJ13" s="2777"/>
    </row>
    <row r="14" spans="1:36" ht="24">
      <c r="A14" s="3285"/>
      <c r="B14" s="2039" t="s">
        <v>1985</v>
      </c>
      <c r="C14" s="2040" t="s">
        <v>1986</v>
      </c>
      <c r="D14" s="1349" t="s">
        <v>1987</v>
      </c>
      <c r="E14" s="27" t="s">
        <v>1988</v>
      </c>
      <c r="F14" s="3299" t="s">
        <v>3243</v>
      </c>
      <c r="G14" s="3299" t="s">
        <v>3243</v>
      </c>
      <c r="H14" s="3299" t="s">
        <v>3243</v>
      </c>
      <c r="I14" s="3299" t="s">
        <v>3243</v>
      </c>
      <c r="J14" s="3299" t="s">
        <v>3243</v>
      </c>
      <c r="K14" s="1119"/>
      <c r="L14" s="1119"/>
      <c r="M14" s="1119"/>
      <c r="N14" s="1119"/>
      <c r="O14" s="1119"/>
      <c r="P14" s="1119"/>
      <c r="Q14" s="1119"/>
      <c r="R14" s="1212">
        <v>13</v>
      </c>
      <c r="S14" s="1213"/>
      <c r="T14" s="3348" t="e">
        <f t="shared" si="0"/>
        <v>#DIV/0!</v>
      </c>
      <c r="U14" s="1213"/>
      <c r="V14" s="3348" t="e">
        <f t="shared" si="1"/>
        <v>#DIV/0!</v>
      </c>
      <c r="W14" s="1216"/>
      <c r="X14" s="1216"/>
      <c r="Y14" s="1216"/>
      <c r="Z14" s="1216"/>
      <c r="AA14" s="1216"/>
      <c r="AB14" s="1216"/>
      <c r="AC14" s="1217"/>
      <c r="AD14" s="2776"/>
      <c r="AE14" s="2776"/>
      <c r="AF14" s="2776"/>
      <c r="AG14" s="2776"/>
      <c r="AH14" s="2776"/>
      <c r="AI14" s="2776"/>
      <c r="AJ14" s="2777"/>
    </row>
    <row r="15" spans="1:36" ht="15">
      <c r="A15" s="3285"/>
      <c r="B15" s="2041"/>
      <c r="C15" s="2042"/>
      <c r="D15" s="2043"/>
      <c r="E15" s="2044"/>
      <c r="F15" s="3300" t="s">
        <v>3244</v>
      </c>
      <c r="G15" s="3301"/>
      <c r="H15" s="3302"/>
      <c r="I15" s="3303"/>
      <c r="J15" s="3304"/>
      <c r="K15" s="1119"/>
      <c r="L15" s="1119"/>
      <c r="M15" s="1119"/>
      <c r="N15" s="1119"/>
      <c r="O15" s="1119"/>
      <c r="P15" s="1119"/>
      <c r="Q15" s="1119"/>
      <c r="R15" s="1212">
        <v>14</v>
      </c>
      <c r="S15" s="1213"/>
      <c r="T15" s="3348" t="e">
        <f t="shared" si="0"/>
        <v>#DIV/0!</v>
      </c>
      <c r="U15" s="1213"/>
      <c r="V15" s="3348" t="e">
        <f t="shared" si="1"/>
        <v>#DIV/0!</v>
      </c>
      <c r="W15" s="1216"/>
      <c r="X15" s="1216"/>
      <c r="Y15" s="1216"/>
      <c r="Z15" s="1216"/>
      <c r="AA15" s="1216"/>
      <c r="AB15" s="1216"/>
      <c r="AC15" s="1217"/>
      <c r="AD15" s="2776"/>
      <c r="AE15" s="2776"/>
      <c r="AF15" s="2776"/>
      <c r="AG15" s="2776"/>
      <c r="AH15" s="2776"/>
      <c r="AI15" s="2776"/>
      <c r="AJ15" s="2777"/>
    </row>
    <row r="16" spans="1:36" ht="15.6" thickBot="1">
      <c r="A16" s="3285"/>
      <c r="B16" s="3307" t="s">
        <v>1989</v>
      </c>
      <c r="C16" s="3305"/>
      <c r="D16" s="3305"/>
      <c r="E16" s="3305"/>
      <c r="F16" s="3305">
        <v>1</v>
      </c>
      <c r="G16" s="3305">
        <v>1</v>
      </c>
      <c r="H16" s="3305">
        <v>1</v>
      </c>
      <c r="I16" s="3305">
        <v>1</v>
      </c>
      <c r="J16" s="3306">
        <v>1</v>
      </c>
      <c r="K16" s="1119"/>
      <c r="L16" s="1996"/>
      <c r="M16" s="1996"/>
      <c r="N16" s="1996"/>
      <c r="O16" s="1996"/>
      <c r="P16" s="1996"/>
      <c r="Q16" s="1119"/>
      <c r="R16" s="1212">
        <v>15</v>
      </c>
      <c r="S16" s="1213"/>
      <c r="T16" s="3348" t="e">
        <f t="shared" si="0"/>
        <v>#DIV/0!</v>
      </c>
      <c r="U16" s="1213"/>
      <c r="V16" s="3348" t="e">
        <f t="shared" si="1"/>
        <v>#DIV/0!</v>
      </c>
      <c r="W16" s="1216"/>
      <c r="X16" s="1216"/>
      <c r="Y16" s="1216"/>
      <c r="Z16" s="1216"/>
      <c r="AA16" s="1216"/>
      <c r="AB16" s="1216"/>
      <c r="AC16" s="1217"/>
      <c r="AD16" s="2776"/>
      <c r="AE16" s="2776"/>
      <c r="AF16" s="2776"/>
      <c r="AG16" s="2776"/>
      <c r="AH16" s="2776"/>
      <c r="AI16" s="2776"/>
      <c r="AJ16" s="2777"/>
    </row>
    <row r="17" spans="1:37" ht="24">
      <c r="A17" s="3317" t="s">
        <v>3245</v>
      </c>
      <c r="B17" s="3308" t="s">
        <v>3246</v>
      </c>
      <c r="C17" s="3318">
        <f>ROUND(IF(OR(E2="工业",E2="公共服务"),1,IF(AND(E18=0,E19=0),1,IF(AND(E18=J24,E19=G19),0.8,IF(E19=0,1+E17*(-0.2),1+E17*G17*(-0.2))))),4)</f>
        <v>1</v>
      </c>
      <c r="D17" s="3309" t="s">
        <v>3247</v>
      </c>
      <c r="E17" s="3318" t="e">
        <f>ROUND(G18/I18,2)</f>
        <v>#DIV/0!</v>
      </c>
      <c r="F17" s="3309" t="s">
        <v>3250</v>
      </c>
      <c r="G17" s="3318" t="e">
        <f>ROUND(E19/G19,2)</f>
        <v>#DIV/0!</v>
      </c>
      <c r="H17" s="3318"/>
      <c r="I17" s="3318"/>
      <c r="J17" s="331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20"/>
      <c r="B18" s="2997"/>
      <c r="C18" s="3315"/>
      <c r="D18" s="3310" t="s">
        <v>3248</v>
      </c>
      <c r="E18" s="3316"/>
      <c r="F18" s="3311" t="s">
        <v>3251</v>
      </c>
      <c r="G18" s="3315">
        <f>ROUND(1-(1/(POWER(1+G24,E18))),4)</f>
        <v>0</v>
      </c>
      <c r="H18" s="3311" t="s">
        <v>3253</v>
      </c>
      <c r="I18" s="3315">
        <f>ROUND(1-(1/(POWER(1+G24,J24))),4)</f>
        <v>0</v>
      </c>
      <c r="J18" s="332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75"/>
    </row>
    <row r="19" spans="1:37" s="2013" customFormat="1" ht="14.4" thickBot="1">
      <c r="A19" s="3322"/>
      <c r="B19" s="3323"/>
      <c r="C19" s="3324"/>
      <c r="D19" s="3324" t="s">
        <v>3249</v>
      </c>
      <c r="E19" s="3325"/>
      <c r="F19" s="3326" t="s">
        <v>3252</v>
      </c>
      <c r="G19" s="3325"/>
      <c r="H19" s="3324"/>
      <c r="I19" s="3324"/>
      <c r="J19" s="332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8"/>
      <c r="AH19" s="2140"/>
      <c r="AI19" s="2779"/>
      <c r="AJ19" s="2779"/>
      <c r="AK19" s="2056"/>
    </row>
    <row r="20" spans="1:37" s="2013" customFormat="1" ht="13.8">
      <c r="A20" s="3754" t="s">
        <v>3254</v>
      </c>
      <c r="B20" s="167" t="s">
        <v>1994</v>
      </c>
      <c r="C20" s="3312" t="e">
        <f>ROUND(IF(F21="与级别开发程度一致",0,(G21-E21)/C21),0)</f>
        <v>#DIV/0!</v>
      </c>
      <c r="D20" s="3328" t="s">
        <v>1998</v>
      </c>
      <c r="E20" s="3329"/>
      <c r="F20" s="3760" t="s">
        <v>1995</v>
      </c>
      <c r="G20" s="3761"/>
      <c r="H20" s="3313"/>
      <c r="I20" s="3313"/>
      <c r="J20" s="331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75"/>
      <c r="AH20" s="2775"/>
      <c r="AI20" s="2775"/>
      <c r="AJ20" s="2775"/>
    </row>
    <row r="21" spans="1:37" s="2013" customFormat="1" ht="14.4" thickBot="1">
      <c r="A21" s="375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75"/>
      <c r="R21" s="1124"/>
      <c r="S21" s="1124"/>
      <c r="T21" s="1120"/>
      <c r="U21" s="1120"/>
      <c r="V21" s="1120"/>
      <c r="W21" s="1119"/>
      <c r="X21" s="1119"/>
      <c r="Y21" s="1119"/>
      <c r="Z21" s="1125"/>
      <c r="AA21" s="1125"/>
      <c r="AB21" s="1125"/>
      <c r="AC21" s="1125"/>
      <c r="AD21" s="1125"/>
      <c r="AE21" s="1125"/>
      <c r="AF21" s="1125"/>
      <c r="AG21" s="2775"/>
      <c r="AH21" s="2775"/>
      <c r="AI21" s="2775"/>
      <c r="AJ21" s="2775"/>
    </row>
    <row r="22" spans="1:37" s="2013" customFormat="1" ht="15" thickBot="1">
      <c r="A22" s="2157" t="s">
        <v>363</v>
      </c>
      <c r="B22" s="2158" t="s">
        <v>2000</v>
      </c>
      <c r="C22" s="2159">
        <f>SUMIF(修正!C20:C51,E3,修正!E20:E51)</f>
        <v>0</v>
      </c>
      <c r="D22" s="2160"/>
      <c r="E22" s="2161"/>
      <c r="F22" s="2161"/>
      <c r="G22" s="2161"/>
      <c r="H22" s="2161"/>
      <c r="I22" s="2161"/>
      <c r="J22" s="2162"/>
      <c r="K22" s="1125"/>
      <c r="L22" s="2775"/>
      <c r="M22" s="2775"/>
      <c r="N22" s="2775"/>
      <c r="O22" s="1123"/>
      <c r="P22" s="1123"/>
      <c r="Q22" s="2775"/>
      <c r="R22" s="1124"/>
      <c r="S22" s="1124"/>
      <c r="T22" s="1120"/>
      <c r="U22" s="1120"/>
      <c r="V22" s="1120"/>
      <c r="W22" s="1119"/>
      <c r="X22" s="1119"/>
      <c r="Y22" s="1119"/>
      <c r="Z22" s="1125"/>
      <c r="AA22" s="1125"/>
      <c r="AB22" s="1125"/>
      <c r="AC22" s="1125"/>
      <c r="AD22" s="1125"/>
      <c r="AE22" s="1125"/>
      <c r="AF22" s="1125"/>
      <c r="AG22" s="2775"/>
      <c r="AH22" s="2775"/>
      <c r="AI22" s="2775"/>
      <c r="AJ22" s="2775"/>
    </row>
    <row r="23" spans="1:37" ht="27"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45517</v>
      </c>
      <c r="H23" s="3330" t="s">
        <v>3256</v>
      </c>
      <c r="I23" s="3331" t="str">
        <f>IF(H23="季度增幅（自定义）",SUMIF(N25:N28,E2,O25:O28),"")</f>
        <v/>
      </c>
      <c r="J23" s="3430" t="s">
        <v>3255</v>
      </c>
      <c r="K23" s="1125"/>
      <c r="L23" s="2054" t="s">
        <v>2004</v>
      </c>
      <c r="M23" s="1328">
        <f>ROUND(SUMIF(地价!B2:G2,E2,地价!B16:G16),0)</f>
        <v>0</v>
      </c>
      <c r="N23" s="2055" t="s">
        <v>2005</v>
      </c>
      <c r="O23" s="763">
        <f>ROUNDDOWN(DATEDIF(E23,G23,"M")/3,0)</f>
        <v>14</v>
      </c>
      <c r="P23" s="1122"/>
      <c r="Q23" s="277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75"/>
      <c r="AH24" s="2775"/>
      <c r="AI24" s="2775"/>
      <c r="AJ24" s="2775"/>
    </row>
    <row r="25" spans="1:37" ht="14.4">
      <c r="A25" s="2064" t="s">
        <v>366</v>
      </c>
      <c r="B25" s="2065" t="s">
        <v>3334</v>
      </c>
      <c r="C25" s="771">
        <f>IF(B25="容积率修正",IF(G3&lt;10,D26,J26),C27)</f>
        <v>0</v>
      </c>
      <c r="D25" s="2066"/>
      <c r="E25" s="2066"/>
      <c r="F25" s="2066"/>
      <c r="G25" s="2066"/>
      <c r="H25" s="2066"/>
      <c r="I25" s="2066"/>
      <c r="J25" s="2067"/>
      <c r="K25" s="1125"/>
      <c r="L25" s="2775"/>
      <c r="M25" s="2775"/>
      <c r="N25" s="2068" t="s">
        <v>2013</v>
      </c>
      <c r="O25" s="1173"/>
      <c r="P25" s="1174">
        <f>SUMPRODUCT((地价!A3:A40=YEAR(G23)&amp;"-"&amp;ROUNDUP(MONTH(G23)/3,0))*(地价!AD2:AH2=N25)*(地价!AD3:AH40))</f>
        <v>0</v>
      </c>
      <c r="Q25" s="277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32" t="s">
        <v>3257</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2" t="s">
        <v>3258</v>
      </c>
      <c r="J26" s="772" t="str">
        <f>IF(G3&gt;=10,D115,"——")</f>
        <v>——</v>
      </c>
      <c r="K26" s="1125"/>
      <c r="L26" s="2775"/>
      <c r="M26" s="277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v>
      </c>
      <c r="D28" s="2051"/>
      <c r="E28" s="2076"/>
      <c r="F28" s="2076"/>
      <c r="G28" s="2076"/>
      <c r="H28" s="2076"/>
      <c r="I28" s="2076"/>
      <c r="J28" s="2077"/>
      <c r="K28" s="1125"/>
      <c r="L28" s="2775"/>
      <c r="M28" s="277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72" t="s">
        <v>2023</v>
      </c>
      <c r="O29" s="2773"/>
      <c r="P29" s="277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38" t="s">
        <v>1936</v>
      </c>
      <c r="M30" s="3339" t="s">
        <v>1990</v>
      </c>
      <c r="N30" s="3339" t="s">
        <v>1991</v>
      </c>
      <c r="O30" s="3339" t="s">
        <v>1992</v>
      </c>
      <c r="P30" s="3339" t="s">
        <v>1993</v>
      </c>
      <c r="Q30" s="3342"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40" t="s">
        <v>1996</v>
      </c>
      <c r="M31" s="1999">
        <v>0.25</v>
      </c>
      <c r="N31" s="1999">
        <v>0.2</v>
      </c>
      <c r="O31" s="1999">
        <v>0.15</v>
      </c>
      <c r="P31" s="1999">
        <v>0.1</v>
      </c>
      <c r="Q31" s="333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41" t="s">
        <v>1999</v>
      </c>
      <c r="M32" s="2559">
        <f>ROUND($E$24*(1+M31),3)</f>
        <v>5.3999999999999999E-2</v>
      </c>
      <c r="N32" s="2559">
        <f>ROUND($E$24*(1+N31),3)</f>
        <v>5.1999999999999998E-2</v>
      </c>
      <c r="O32" s="2559">
        <f>ROUND($E$24*(1+O31),3)</f>
        <v>0.05</v>
      </c>
      <c r="P32" s="2559">
        <f>ROUND($E$24*(1+P31),3)</f>
        <v>4.8000000000000001E-2</v>
      </c>
      <c r="Q32" s="334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33" t="s">
        <v>3260</v>
      </c>
      <c r="G33" s="2098"/>
      <c r="H33" s="2098"/>
      <c r="I33" s="2098"/>
      <c r="J33" s="2099"/>
      <c r="K33" s="1119"/>
      <c r="L33" s="3336" t="s">
        <v>3263</v>
      </c>
      <c r="M33" s="3337">
        <v>5.5E-2</v>
      </c>
      <c r="N33" s="3337">
        <v>5.5E-2</v>
      </c>
      <c r="O33" s="3337">
        <v>0.05</v>
      </c>
      <c r="P33" s="3337">
        <v>0.05</v>
      </c>
      <c r="Q33" s="333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36" t="s">
        <v>3264</v>
      </c>
      <c r="M34" s="3337">
        <v>6.5000000000000002E-2</v>
      </c>
      <c r="N34" s="3337">
        <v>6.5000000000000002E-2</v>
      </c>
      <c r="O34" s="3337">
        <v>0.06</v>
      </c>
      <c r="P34" s="3337">
        <v>0.06</v>
      </c>
      <c r="Q34" s="333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34"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44" t="s">
        <v>3265</v>
      </c>
      <c r="L36" s="3431">
        <f ca="1">'数据-取费表'!B40</f>
        <v>4.7500000000000001E-2</v>
      </c>
      <c r="M36" s="3345">
        <f ca="1">ROUND($L$36*(1+M31),3)</f>
        <v>5.8999999999999997E-2</v>
      </c>
      <c r="N36" s="3345">
        <f ca="1">ROUND($L$36*(1+N31),3)</f>
        <v>5.7000000000000002E-2</v>
      </c>
      <c r="O36" s="3345">
        <f ca="1">ROUND($L$36*(1+O31),3)</f>
        <v>5.5E-2</v>
      </c>
      <c r="P36" s="3345">
        <f ca="1">ROUND($L$36*(1+P31),3)</f>
        <v>5.1999999999999998E-2</v>
      </c>
      <c r="Q36" s="3345">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5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2999"/>
      <c r="K37" s="3346" t="s">
        <v>3266</v>
      </c>
      <c r="L37" s="3344">
        <f ca="1">L36+K38</f>
        <v>5.2499999999999998E-2</v>
      </c>
      <c r="M37" s="3345">
        <f ca="1">ROUND($L$37*(1+M31),3)</f>
        <v>6.6000000000000003E-2</v>
      </c>
      <c r="N37" s="3345">
        <f t="shared" ref="N37:Q37" ca="1" si="3">ROUND($L$37*(1+N31),3)</f>
        <v>6.3E-2</v>
      </c>
      <c r="O37" s="3345">
        <f t="shared" ca="1" si="3"/>
        <v>0.06</v>
      </c>
      <c r="P37" s="3345">
        <f t="shared" ca="1" si="3"/>
        <v>5.8000000000000003E-2</v>
      </c>
      <c r="Q37" s="3345">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8"/>
      <c r="K38" s="3344">
        <v>5.0000000000000001E-3</v>
      </c>
      <c r="L38" s="3344"/>
      <c r="M38" s="3344"/>
      <c r="N38" s="3344"/>
      <c r="O38" s="3344"/>
      <c r="P38" s="3344"/>
      <c r="Q38" s="3344"/>
      <c r="R38" s="1119"/>
      <c r="S38" s="1119"/>
      <c r="T38" s="1119"/>
      <c r="U38" s="1119"/>
      <c r="V38" s="1119"/>
      <c r="W38" s="1119"/>
      <c r="X38" s="1119"/>
      <c r="Y38" s="1119"/>
      <c r="Z38" s="1120"/>
      <c r="AA38" s="1120"/>
      <c r="AB38" s="1120"/>
      <c r="AC38" s="1120"/>
      <c r="AD38" s="1120"/>
    </row>
    <row r="39" spans="1:37" ht="13.8" thickBot="1">
      <c r="A39" s="3759"/>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299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47" t="s">
        <v>3267</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5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9.2">
      <c r="A51" s="2129" t="s">
        <v>2053</v>
      </c>
      <c r="B51" s="2133" t="str">
        <f>估价对象房地状况!C18</f>
        <v>估价对象周边有392路、466路、577路、专12路等多条公交线路，距地铁15号线（清华东路西口站）约700米，综合评价交通便捷度较好</v>
      </c>
      <c r="C51" s="2043"/>
      <c r="D51" s="1065">
        <f t="shared" si="7"/>
        <v>0</v>
      </c>
      <c r="E51" s="745"/>
      <c r="F51" s="1813"/>
      <c r="G51" s="1063"/>
      <c r="H51" s="1066" t="str">
        <f t="shared" si="8"/>
        <v>——</v>
      </c>
      <c r="I51" s="335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56" t="s">
        <v>3269</v>
      </c>
      <c r="B52" s="2133">
        <f>估价对象房地状况!C19</f>
        <v>0</v>
      </c>
      <c r="C52" s="2043"/>
      <c r="D52" s="1065">
        <f t="shared" si="7"/>
        <v>0</v>
      </c>
      <c r="E52" s="745"/>
      <c r="F52" s="1813"/>
      <c r="G52" s="1063"/>
      <c r="H52" s="1066" t="str">
        <f t="shared" si="8"/>
        <v>——</v>
      </c>
      <c r="I52" s="335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3"/>
      <c r="G53" s="1063"/>
      <c r="H53" s="1066" t="str">
        <f t="shared" si="8"/>
        <v>——</v>
      </c>
      <c r="I53" s="335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6.4">
      <c r="A54" s="2129" t="s">
        <v>2056</v>
      </c>
      <c r="B54" s="2133" t="str">
        <f>估价对象房地状况!C24</f>
        <v>城市次干道——林业大学北路</v>
      </c>
      <c r="C54" s="2043"/>
      <c r="D54" s="1065">
        <f t="shared" si="7"/>
        <v>0</v>
      </c>
      <c r="E54" s="745"/>
      <c r="F54" s="1813"/>
      <c r="G54" s="1063"/>
      <c r="H54" s="1066" t="str">
        <f t="shared" si="8"/>
        <v>——</v>
      </c>
      <c r="I54" s="335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3"/>
      <c r="G55" s="1063"/>
      <c r="H55" s="1066" t="str">
        <f t="shared" si="8"/>
        <v>——</v>
      </c>
      <c r="I55" s="335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估价对象所在区域公共配套设施齐备情况较好</v>
      </c>
      <c r="C56" s="2043"/>
      <c r="D56" s="1065">
        <f t="shared" si="7"/>
        <v>0</v>
      </c>
      <c r="E56" s="745"/>
      <c r="F56" s="1813"/>
      <c r="G56" s="1063"/>
      <c r="H56" s="1066" t="str">
        <f t="shared" si="8"/>
        <v>——</v>
      </c>
      <c r="I56" s="335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2060</v>
      </c>
      <c r="B57" s="2133" t="str">
        <f>估价对象房地状况!C22</f>
        <v>七通</v>
      </c>
      <c r="C57" s="2043"/>
      <c r="D57" s="1065">
        <f t="shared" si="7"/>
        <v>0</v>
      </c>
      <c r="E57" s="745"/>
      <c r="F57" s="1813"/>
      <c r="G57" s="1063"/>
      <c r="H57" s="1066" t="str">
        <f t="shared" si="8"/>
        <v>——</v>
      </c>
      <c r="I57" s="335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79.8" thickBot="1">
      <c r="A58" s="2137" t="s">
        <v>2061</v>
      </c>
      <c r="B58" s="2138" t="str">
        <f>估价对象房地状况!C20</f>
        <v>区域自然环境：北京东升花园中心、东升八家郊野公园；人文环境：北京林业大学、北京农业大学、清华大学；综合评价环境状况较好</v>
      </c>
      <c r="C58" s="2043"/>
      <c r="D58" s="1065">
        <f t="shared" si="7"/>
        <v>0</v>
      </c>
      <c r="E58" s="746"/>
      <c r="F58" s="1813"/>
      <c r="G58" s="1063"/>
      <c r="H58" s="1066" t="str">
        <f t="shared" si="8"/>
        <v>——</v>
      </c>
      <c r="I58" s="335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9.2">
      <c r="A62" s="2129" t="s">
        <v>2053</v>
      </c>
      <c r="B62" s="2133" t="str">
        <f>估价对象房地状况!C18</f>
        <v>估价对象周边有392路、466路、577路、专12路等多条公交线路，距地铁15号线（清华东路西口站）约700米，综合评价交通便捷度较好</v>
      </c>
      <c r="C62" s="2043"/>
      <c r="D62" s="1065">
        <f t="shared" si="12"/>
        <v>0</v>
      </c>
      <c r="E62" s="745"/>
      <c r="F62" s="1813"/>
      <c r="G62" s="1063"/>
      <c r="H62" s="1066" t="str">
        <f t="shared" si="13"/>
        <v>——</v>
      </c>
      <c r="I62" s="335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56" t="s">
        <v>3269</v>
      </c>
      <c r="B63" s="2133">
        <f>估价对象房地状况!C19</f>
        <v>0</v>
      </c>
      <c r="C63" s="2043"/>
      <c r="D63" s="1065">
        <f t="shared" si="12"/>
        <v>0</v>
      </c>
      <c r="E63" s="745"/>
      <c r="F63" s="1813"/>
      <c r="G63" s="1063"/>
      <c r="H63" s="1066" t="str">
        <f t="shared" si="13"/>
        <v>——</v>
      </c>
      <c r="I63" s="335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5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6.4">
      <c r="A65" s="2129" t="s">
        <v>2056</v>
      </c>
      <c r="B65" s="2133" t="str">
        <f>估价对象房地状况!C24</f>
        <v>城市次干道——林业大学北路</v>
      </c>
      <c r="C65" s="2043"/>
      <c r="D65" s="1065">
        <f t="shared" si="12"/>
        <v>0</v>
      </c>
      <c r="E65" s="745"/>
      <c r="F65" s="1813"/>
      <c r="G65" s="1063"/>
      <c r="H65" s="1066" t="str">
        <f t="shared" si="13"/>
        <v>——</v>
      </c>
      <c r="I65" s="335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5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估价对象所在区域公共配套设施齐备情况较好</v>
      </c>
      <c r="C67" s="2043"/>
      <c r="D67" s="1065">
        <f t="shared" si="12"/>
        <v>0</v>
      </c>
      <c r="E67" s="745"/>
      <c r="F67" s="1813"/>
      <c r="G67" s="1063"/>
      <c r="H67" s="1066" t="str">
        <f t="shared" si="13"/>
        <v>——</v>
      </c>
      <c r="I67" s="335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2060</v>
      </c>
      <c r="B68" s="1326" t="str">
        <f>估价对象房地状况!C22</f>
        <v>七通</v>
      </c>
      <c r="C68" s="2043"/>
      <c r="D68" s="1065">
        <f t="shared" si="12"/>
        <v>0</v>
      </c>
      <c r="E68" s="745"/>
      <c r="F68" s="1813"/>
      <c r="G68" s="1063"/>
      <c r="H68" s="1066" t="str">
        <f t="shared" si="13"/>
        <v>——</v>
      </c>
      <c r="I68" s="335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79.8" thickBot="1">
      <c r="A69" s="2137" t="s">
        <v>2061</v>
      </c>
      <c r="B69" s="2139" t="str">
        <f>估价对象房地状况!C20</f>
        <v>区域自然环境：北京东升花园中心、东升八家郊野公园；人文环境：北京林业大学、北京农业大学、清华大学；综合评价环境状况较好</v>
      </c>
      <c r="C69" s="2043"/>
      <c r="D69" s="1065">
        <f t="shared" si="12"/>
        <v>0</v>
      </c>
      <c r="E69" s="746"/>
      <c r="F69" s="1813"/>
      <c r="G69" s="1063"/>
      <c r="H69" s="1066" t="str">
        <f t="shared" si="13"/>
        <v>——</v>
      </c>
      <c r="I69" s="335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79.2">
      <c r="A72" s="2129" t="s">
        <v>2066</v>
      </c>
      <c r="B72" s="2132" t="str">
        <f>估价对象房地状况!C15</f>
        <v>估价对象周边有双清苑、清风华景园、逸成东苑、柏儒苑等，居住小区规模和社区发展完善程度较好，综合评价居住社区成熟度较好</v>
      </c>
      <c r="C72" s="2043"/>
      <c r="D72" s="1065">
        <f t="shared" ref="D72:D80" si="17">SUMIF($J$71:$N$71,C72,J72:N72)</f>
        <v>0</v>
      </c>
      <c r="E72" s="744">
        <f>ROUND(SUM(D72:D80),4)</f>
        <v>0</v>
      </c>
      <c r="F72" s="1813" t="str">
        <f>IF(E2="住宅",SUMIF(L1:L12,G2,N1:N12),"——")</f>
        <v>——</v>
      </c>
      <c r="G72" s="1063"/>
      <c r="H72" s="1066" t="str">
        <f t="shared" ref="H72:H80" si="18">IFERROR(ROUNDDOWN($F$72*I72/2,4),"——")</f>
        <v>——</v>
      </c>
      <c r="I72" s="335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9.2">
      <c r="A73" s="2129" t="s">
        <v>2053</v>
      </c>
      <c r="B73" s="2133" t="str">
        <f>估价对象房地状况!C18</f>
        <v>估价对象周边有392路、466路、577路、专12路等多条公交线路，距地铁15号线（清华东路西口站）约700米，综合评价交通便捷度较好</v>
      </c>
      <c r="C73" s="2043"/>
      <c r="D73" s="1065">
        <f t="shared" si="17"/>
        <v>0</v>
      </c>
      <c r="E73" s="747"/>
      <c r="F73" s="1813"/>
      <c r="G73" s="1063"/>
      <c r="H73" s="1066" t="str">
        <f t="shared" si="18"/>
        <v>——</v>
      </c>
      <c r="I73" s="335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56" t="s">
        <v>3269</v>
      </c>
      <c r="B74" s="2133">
        <f>估价对象房地状况!C19</f>
        <v>0</v>
      </c>
      <c r="C74" s="2043"/>
      <c r="D74" s="1065">
        <f t="shared" si="17"/>
        <v>0</v>
      </c>
      <c r="E74" s="747"/>
      <c r="F74" s="1813"/>
      <c r="G74" s="1063"/>
      <c r="H74" s="1066" t="str">
        <f t="shared" si="18"/>
        <v>——</v>
      </c>
      <c r="I74" s="3354">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26.4">
      <c r="A75" s="2129" t="s">
        <v>2067</v>
      </c>
      <c r="B75" s="2133" t="str">
        <f>估价对象房地状况!C24</f>
        <v>城市次干道——林业大学北路</v>
      </c>
      <c r="C75" s="2043"/>
      <c r="D75" s="1065">
        <f t="shared" si="17"/>
        <v>0</v>
      </c>
      <c r="E75" s="747"/>
      <c r="F75" s="1813"/>
      <c r="G75" s="1063"/>
      <c r="H75" s="1066" t="str">
        <f t="shared" si="18"/>
        <v>——</v>
      </c>
      <c r="I75" s="3354">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估价对象所在区域公共配套设施齐备情况较好</v>
      </c>
      <c r="C76" s="2043"/>
      <c r="D76" s="1065">
        <f t="shared" si="17"/>
        <v>0</v>
      </c>
      <c r="E76" s="747"/>
      <c r="F76" s="1813"/>
      <c r="G76" s="1063"/>
      <c r="H76" s="1066" t="str">
        <f t="shared" si="18"/>
        <v>——</v>
      </c>
      <c r="I76" s="3354">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2060</v>
      </c>
      <c r="B77" s="1326" t="str">
        <f>估价对象房地状况!C22</f>
        <v>七通</v>
      </c>
      <c r="C77" s="2043"/>
      <c r="D77" s="1065">
        <f t="shared" si="17"/>
        <v>0</v>
      </c>
      <c r="E77" s="747"/>
      <c r="F77" s="1813"/>
      <c r="G77" s="1063"/>
      <c r="H77" s="1066" t="str">
        <f t="shared" si="18"/>
        <v>——</v>
      </c>
      <c r="I77" s="3354">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54">
        <v>0.05</v>
      </c>
      <c r="J78" s="1064">
        <f t="shared" si="19"/>
        <v>0</v>
      </c>
      <c r="K78" s="1064">
        <f t="shared" si="20"/>
        <v>0</v>
      </c>
      <c r="L78" s="1064">
        <v>0</v>
      </c>
      <c r="M78" s="1064">
        <f t="shared" si="21"/>
        <v>0</v>
      </c>
      <c r="N78" s="1064">
        <f t="shared" si="21"/>
        <v>0</v>
      </c>
      <c r="O78" s="1996"/>
      <c r="P78" s="1996"/>
      <c r="Z78" s="1997"/>
      <c r="AA78" s="2052"/>
      <c r="AG78" s="1121"/>
      <c r="AK78" s="2052"/>
    </row>
    <row r="79" spans="1:37" ht="79.2">
      <c r="A79" s="2129" t="s">
        <v>2061</v>
      </c>
      <c r="B79" s="2132" t="str">
        <f>估价对象房地状况!C20</f>
        <v>区域自然环境：北京东升花园中心、东升八家郊野公园；人文环境：北京林业大学、北京农业大学、清华大学；综合评价环境状况较好</v>
      </c>
      <c r="C79" s="2043"/>
      <c r="D79" s="1065">
        <f t="shared" si="17"/>
        <v>0</v>
      </c>
      <c r="E79" s="747"/>
      <c r="F79" s="1813"/>
      <c r="G79" s="1063"/>
      <c r="H79" s="1066" t="str">
        <f t="shared" si="18"/>
        <v>——</v>
      </c>
      <c r="I79" s="3354">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55">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4">
        <v>0.3</v>
      </c>
      <c r="J84" s="1064">
        <f t="shared" si="24"/>
        <v>0</v>
      </c>
      <c r="K84" s="1064">
        <f t="shared" si="25"/>
        <v>0</v>
      </c>
      <c r="L84" s="1064">
        <v>0</v>
      </c>
      <c r="M84" s="1064">
        <f t="shared" si="26"/>
        <v>0</v>
      </c>
      <c r="N84" s="1064">
        <f t="shared" si="26"/>
        <v>0</v>
      </c>
      <c r="Z84" s="1997"/>
      <c r="AA84" s="2052"/>
      <c r="AG84" s="1121"/>
      <c r="AK84" s="2052"/>
    </row>
    <row r="85" spans="1:37" ht="48">
      <c r="A85" s="3356" t="s">
        <v>3270</v>
      </c>
      <c r="B85" s="2133">
        <f>估价对象房地状况!G17</f>
        <v>0</v>
      </c>
      <c r="C85" s="2043"/>
      <c r="D85" s="1065">
        <f t="shared" si="22"/>
        <v>0</v>
      </c>
      <c r="E85" s="747"/>
      <c r="F85" s="1813"/>
      <c r="G85" s="1063"/>
      <c r="H85" s="1066" t="str">
        <f t="shared" si="23"/>
        <v>——</v>
      </c>
      <c r="I85" s="3354">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54">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3"/>
      <c r="G87" s="1063"/>
      <c r="H87" s="1066" t="str">
        <f t="shared" si="23"/>
        <v>——</v>
      </c>
      <c r="I87" s="3354">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3"/>
      <c r="G88" s="1063"/>
      <c r="H88" s="1066" t="str">
        <f t="shared" si="23"/>
        <v>——</v>
      </c>
      <c r="I88" s="3354">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54">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55">
        <v>0.05</v>
      </c>
      <c r="J90" s="1064">
        <f t="shared" si="24"/>
        <v>0</v>
      </c>
      <c r="K90" s="1064">
        <f t="shared" si="25"/>
        <v>0</v>
      </c>
      <c r="L90" s="1064">
        <v>0</v>
      </c>
      <c r="M90" s="1064">
        <f t="shared" si="26"/>
        <v>0</v>
      </c>
      <c r="N90" s="1064">
        <f t="shared" si="26"/>
        <v>0</v>
      </c>
    </row>
    <row r="91" spans="1:37" ht="13.8">
      <c r="A91" s="3364" t="s">
        <v>2612</v>
      </c>
      <c r="B91" s="3365">
        <f>1+E93</f>
        <v>1</v>
      </c>
      <c r="C91" s="3358"/>
      <c r="D91" s="3359"/>
      <c r="E91" s="1813"/>
      <c r="F91" s="1813"/>
      <c r="G91" s="3360"/>
      <c r="H91" s="3361"/>
      <c r="I91" s="3362"/>
      <c r="J91" s="3363"/>
      <c r="K91" s="3363"/>
      <c r="L91" s="3363"/>
      <c r="M91" s="3363"/>
      <c r="N91" s="3363"/>
    </row>
    <row r="92" spans="1:37" ht="25.2">
      <c r="A92" s="3366" t="s">
        <v>3271</v>
      </c>
      <c r="B92" s="3353"/>
      <c r="C92" s="3353" t="s">
        <v>3280</v>
      </c>
      <c r="D92" s="3353" t="s">
        <v>3281</v>
      </c>
      <c r="E92" s="3335" t="s">
        <v>3282</v>
      </c>
      <c r="F92" s="3368" t="s">
        <v>3283</v>
      </c>
      <c r="G92" s="3353" t="s">
        <v>3284</v>
      </c>
      <c r="H92" s="3375" t="s">
        <v>3287</v>
      </c>
      <c r="I92" s="3353" t="s">
        <v>3288</v>
      </c>
      <c r="J92" s="3376" t="s">
        <v>3289</v>
      </c>
      <c r="K92" s="3376" t="s">
        <v>3290</v>
      </c>
      <c r="L92" s="3376" t="s">
        <v>3291</v>
      </c>
      <c r="M92" s="3376" t="s">
        <v>3292</v>
      </c>
      <c r="N92" s="3376" t="s">
        <v>3293</v>
      </c>
    </row>
    <row r="93" spans="1:37" ht="24">
      <c r="A93" s="3356" t="s">
        <v>3272</v>
      </c>
      <c r="B93" s="1306"/>
      <c r="C93" s="2043"/>
      <c r="D93" s="3353">
        <f>SUMIF($J$92:$N$92,C93,J93:N93)</f>
        <v>0</v>
      </c>
      <c r="E93" s="3369">
        <f>ROUND(SUM(D93:D101),4)</f>
        <v>0</v>
      </c>
      <c r="F93" s="1813"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9.2">
      <c r="A94" s="3366" t="s">
        <v>3273</v>
      </c>
      <c r="B94" s="3357" t="str">
        <f>估价对象房地状况!C18</f>
        <v>估价对象周边有392路、466路、577路、专12路等多条公交线路，距地铁15号线（清华东路西口站）约700米，综合评价交通便捷度较好</v>
      </c>
      <c r="C94" s="2043"/>
      <c r="D94" s="3353">
        <f t="shared" ref="D94:D101" si="30">SUMIF($J$60:$N$60,C94,J94:N94)</f>
        <v>0</v>
      </c>
      <c r="E94" s="3370"/>
      <c r="F94" s="1813"/>
      <c r="G94" s="3360"/>
      <c r="H94" s="3408" t="str">
        <f>IFERROR(ROUNDDOWN($F$93*I94/2,4),"——")</f>
        <v>——</v>
      </c>
      <c r="I94" s="3354">
        <v>0.26</v>
      </c>
      <c r="J94" s="3332">
        <f t="shared" si="27"/>
        <v>0</v>
      </c>
      <c r="K94" s="3332">
        <f t="shared" si="28"/>
        <v>0</v>
      </c>
      <c r="L94" s="3332">
        <v>0</v>
      </c>
      <c r="M94" s="3332">
        <f t="shared" si="29"/>
        <v>0</v>
      </c>
      <c r="N94" s="3332">
        <f t="shared" si="29"/>
        <v>0</v>
      </c>
    </row>
    <row r="95" spans="1:37" ht="48">
      <c r="A95" s="3356" t="s">
        <v>3269</v>
      </c>
      <c r="B95" s="3357">
        <f>估价对象房地状况!C19</f>
        <v>0</v>
      </c>
      <c r="C95" s="2043"/>
      <c r="D95" s="3353">
        <f t="shared" si="30"/>
        <v>0</v>
      </c>
      <c r="E95" s="3370"/>
      <c r="F95" s="1813"/>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7.200000000000003">
      <c r="A96" s="3366" t="s">
        <v>3274</v>
      </c>
      <c r="B96" s="3372" t="s">
        <v>3285</v>
      </c>
      <c r="C96" s="2043"/>
      <c r="D96" s="3353">
        <f t="shared" si="30"/>
        <v>0</v>
      </c>
      <c r="E96" s="3370"/>
      <c r="F96" s="1813"/>
      <c r="G96" s="3360"/>
      <c r="H96" s="3408" t="str">
        <f t="shared" si="31"/>
        <v>——</v>
      </c>
      <c r="I96" s="3354">
        <v>0.05</v>
      </c>
      <c r="J96" s="3332">
        <f t="shared" si="27"/>
        <v>0</v>
      </c>
      <c r="K96" s="3332">
        <f t="shared" si="28"/>
        <v>0</v>
      </c>
      <c r="L96" s="3332">
        <v>0</v>
      </c>
      <c r="M96" s="3332">
        <f t="shared" si="29"/>
        <v>0</v>
      </c>
      <c r="N96" s="3332">
        <f t="shared" si="29"/>
        <v>0</v>
      </c>
    </row>
    <row r="97" spans="1:14" ht="26.4">
      <c r="A97" s="3366" t="s">
        <v>3275</v>
      </c>
      <c r="B97" s="3357" t="str">
        <f>估价对象房地状况!C24</f>
        <v>城市次干道——林业大学北路</v>
      </c>
      <c r="C97" s="2043"/>
      <c r="D97" s="3353">
        <f t="shared" si="30"/>
        <v>0</v>
      </c>
      <c r="E97" s="3370"/>
      <c r="F97" s="1813"/>
      <c r="G97" s="3360"/>
      <c r="H97" s="3408" t="str">
        <f t="shared" si="31"/>
        <v>——</v>
      </c>
      <c r="I97" s="3354">
        <v>0.05</v>
      </c>
      <c r="J97" s="3332">
        <f t="shared" si="27"/>
        <v>0</v>
      </c>
      <c r="K97" s="3332">
        <f t="shared" si="28"/>
        <v>0</v>
      </c>
      <c r="L97" s="3332">
        <v>0</v>
      </c>
      <c r="M97" s="3332">
        <f t="shared" si="29"/>
        <v>0</v>
      </c>
      <c r="N97" s="3332">
        <f t="shared" si="29"/>
        <v>0</v>
      </c>
    </row>
    <row r="98" spans="1:14" ht="36">
      <c r="A98" s="3366" t="s">
        <v>3276</v>
      </c>
      <c r="B98" s="3373" t="s">
        <v>3286</v>
      </c>
      <c r="C98" s="2043"/>
      <c r="D98" s="3353">
        <f t="shared" si="30"/>
        <v>0</v>
      </c>
      <c r="E98" s="3370"/>
      <c r="F98" s="1813"/>
      <c r="G98" s="3360"/>
      <c r="H98" s="3408" t="str">
        <f t="shared" si="31"/>
        <v>——</v>
      </c>
      <c r="I98" s="3354">
        <v>0.06</v>
      </c>
      <c r="J98" s="3332">
        <f t="shared" si="27"/>
        <v>0</v>
      </c>
      <c r="K98" s="3332">
        <f t="shared" si="28"/>
        <v>0</v>
      </c>
      <c r="L98" s="3332">
        <v>0</v>
      </c>
      <c r="M98" s="3332">
        <f t="shared" si="29"/>
        <v>0</v>
      </c>
      <c r="N98" s="3332">
        <f t="shared" si="29"/>
        <v>0</v>
      </c>
    </row>
    <row r="99" spans="1:14" ht="26.4">
      <c r="A99" s="3366" t="s">
        <v>3277</v>
      </c>
      <c r="B99" s="3357" t="str">
        <f>估价对象房地状况!C21</f>
        <v>估价对象所在区域公共配套设施齐备情况较好</v>
      </c>
      <c r="C99" s="2043"/>
      <c r="D99" s="3353">
        <f t="shared" si="30"/>
        <v>0</v>
      </c>
      <c r="E99" s="3370"/>
      <c r="F99" s="1813"/>
      <c r="G99" s="3360"/>
      <c r="H99" s="3408" t="str">
        <f t="shared" si="31"/>
        <v>——</v>
      </c>
      <c r="I99" s="3354">
        <v>0.06</v>
      </c>
      <c r="J99" s="3332">
        <f t="shared" si="27"/>
        <v>0</v>
      </c>
      <c r="K99" s="3332">
        <f t="shared" si="28"/>
        <v>0</v>
      </c>
      <c r="L99" s="3332">
        <v>0</v>
      </c>
      <c r="M99" s="3332">
        <f t="shared" si="29"/>
        <v>0</v>
      </c>
      <c r="N99" s="3332">
        <f t="shared" si="29"/>
        <v>0</v>
      </c>
    </row>
    <row r="100" spans="1:14" ht="24">
      <c r="A100" s="3366" t="s">
        <v>3278</v>
      </c>
      <c r="B100" s="3357" t="str">
        <f>估价对象房地状况!C22</f>
        <v>七通</v>
      </c>
      <c r="C100" s="2043"/>
      <c r="D100" s="3353">
        <f t="shared" si="30"/>
        <v>0</v>
      </c>
      <c r="E100" s="3370"/>
      <c r="F100" s="1813"/>
      <c r="G100" s="3360"/>
      <c r="H100" s="3408" t="str">
        <f t="shared" si="31"/>
        <v>——</v>
      </c>
      <c r="I100" s="3354">
        <v>0.09</v>
      </c>
      <c r="J100" s="3332">
        <f t="shared" si="27"/>
        <v>0</v>
      </c>
      <c r="K100" s="3332">
        <f t="shared" si="28"/>
        <v>0</v>
      </c>
      <c r="L100" s="3332">
        <v>0</v>
      </c>
      <c r="M100" s="3332">
        <f t="shared" si="29"/>
        <v>0</v>
      </c>
      <c r="N100" s="3332">
        <f t="shared" si="29"/>
        <v>0</v>
      </c>
    </row>
    <row r="101" spans="1:14" ht="79.8" thickBot="1">
      <c r="A101" s="3367" t="s">
        <v>3279</v>
      </c>
      <c r="B101" s="3374" t="str">
        <f>估价对象房地状况!C20</f>
        <v>区域自然环境：北京东升花园中心、东升八家郊野公园；人文环境：北京林业大学、北京农业大学、清华大学；综合评价环境状况较好</v>
      </c>
      <c r="C101" s="2043"/>
      <c r="D101" s="3353">
        <f t="shared" si="30"/>
        <v>0</v>
      </c>
      <c r="E101" s="3371"/>
      <c r="F101" s="1813"/>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56" t="s">
        <v>3294</v>
      </c>
      <c r="B103" s="3756"/>
      <c r="C103" s="3756"/>
      <c r="D103" s="3756"/>
      <c r="E103" s="3756"/>
      <c r="F103" s="3756"/>
      <c r="G103" s="3756"/>
      <c r="H103" s="3756"/>
      <c r="I103" s="3756"/>
      <c r="J103" s="3756"/>
      <c r="K103" s="3377"/>
      <c r="L103" s="3377"/>
      <c r="M103" s="3377"/>
      <c r="N103" s="3377"/>
    </row>
    <row r="104" spans="1:14">
      <c r="A104" s="3757" t="s">
        <v>3295</v>
      </c>
      <c r="B104" s="3757" t="s">
        <v>3296</v>
      </c>
      <c r="C104" s="3378" t="s">
        <v>3297</v>
      </c>
      <c r="D104" s="3379"/>
      <c r="E104" s="3379"/>
      <c r="F104" s="3379"/>
      <c r="G104" s="3379"/>
      <c r="H104" s="3379"/>
      <c r="I104" s="3379"/>
      <c r="J104" s="3380"/>
      <c r="K104" s="3381"/>
      <c r="L104" s="3381"/>
      <c r="M104" s="3381"/>
      <c r="N104" s="3381"/>
    </row>
    <row r="105" spans="1:14">
      <c r="A105" s="3757"/>
      <c r="B105" s="3757"/>
      <c r="C105" s="3382" t="s">
        <v>3298</v>
      </c>
      <c r="D105" s="3382" t="s">
        <v>3299</v>
      </c>
      <c r="E105" s="3382" t="s">
        <v>3300</v>
      </c>
      <c r="F105" s="3382" t="s">
        <v>3301</v>
      </c>
      <c r="G105" s="3382" t="s">
        <v>3302</v>
      </c>
      <c r="H105" s="3382" t="s">
        <v>3303</v>
      </c>
      <c r="I105" s="3382" t="s">
        <v>3304</v>
      </c>
      <c r="J105" s="3382" t="s">
        <v>3305</v>
      </c>
      <c r="K105" s="3382" t="s">
        <v>3306</v>
      </c>
      <c r="L105" s="3382" t="s">
        <v>3307</v>
      </c>
      <c r="M105" s="3382" t="s">
        <v>3308</v>
      </c>
      <c r="N105" s="3382" t="s">
        <v>3309</v>
      </c>
    </row>
    <row r="106" spans="1:14">
      <c r="A106" s="3743" t="s">
        <v>3310</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44"/>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44"/>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44"/>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44"/>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44"/>
      <c r="B111" s="3382" t="s">
        <v>3268</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45"/>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46" t="s">
        <v>3311</v>
      </c>
      <c r="B113" s="3746"/>
      <c r="C113" s="3746"/>
      <c r="D113" s="3746"/>
      <c r="E113" s="3746"/>
      <c r="F113" s="3746"/>
      <c r="G113" s="3746"/>
      <c r="H113" s="3746"/>
      <c r="I113" s="3746"/>
      <c r="J113" s="3746"/>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8" thickBot="1">
      <c r="A115" s="3385"/>
      <c r="B115" s="3385"/>
      <c r="C115" s="3385"/>
      <c r="D115" s="3385"/>
      <c r="E115" s="3385"/>
      <c r="F115" s="3385"/>
      <c r="G115" s="3385"/>
      <c r="H115" s="3385"/>
      <c r="I115" s="3385"/>
      <c r="J115" s="3385"/>
      <c r="K115" s="3344"/>
      <c r="L115" s="3385"/>
      <c r="M115" s="3385"/>
      <c r="N115" s="3385"/>
    </row>
    <row r="116" spans="1:14" ht="25.8" thickBot="1">
      <c r="A116" s="3386" t="s">
        <v>3312</v>
      </c>
      <c r="B116" s="3403">
        <f>G3</f>
        <v>0</v>
      </c>
      <c r="C116" s="3387" t="s">
        <v>3313</v>
      </c>
      <c r="D116" s="3388">
        <f>SUMPRODUCT((A118:A122=F116)*(B117:M117=H116)*B118:M122)</f>
        <v>0</v>
      </c>
      <c r="E116" s="1999" t="s">
        <v>3314</v>
      </c>
      <c r="F116" s="3389">
        <f>E2</f>
        <v>0</v>
      </c>
      <c r="G116" s="1999" t="s">
        <v>3315</v>
      </c>
      <c r="H116" s="3389">
        <f>G2</f>
        <v>0</v>
      </c>
      <c r="I116" s="1999"/>
      <c r="J116" s="3390"/>
      <c r="K116" s="3390"/>
      <c r="L116" s="3390"/>
      <c r="M116" s="3390"/>
      <c r="N116" s="3385"/>
    </row>
    <row r="117" spans="1:14">
      <c r="A117" s="3391"/>
      <c r="B117" s="3392" t="s">
        <v>3316</v>
      </c>
      <c r="C117" s="3392" t="s">
        <v>3317</v>
      </c>
      <c r="D117" s="3392" t="s">
        <v>3318</v>
      </c>
      <c r="E117" s="3393" t="s">
        <v>3319</v>
      </c>
      <c r="F117" s="3393" t="s">
        <v>3320</v>
      </c>
      <c r="G117" s="3393" t="s">
        <v>3321</v>
      </c>
      <c r="H117" s="3394" t="s">
        <v>3322</v>
      </c>
      <c r="I117" s="3394" t="s">
        <v>3323</v>
      </c>
      <c r="J117" s="3395" t="s">
        <v>3324</v>
      </c>
      <c r="K117" s="3395" t="s">
        <v>3325</v>
      </c>
      <c r="L117" s="3395" t="s">
        <v>3326</v>
      </c>
      <c r="M117" s="3396" t="s">
        <v>3327</v>
      </c>
      <c r="N117" s="3385"/>
    </row>
    <row r="118" spans="1:14">
      <c r="A118" s="3397" t="s">
        <v>3328</v>
      </c>
      <c r="B118" s="3375">
        <f>ROUND(0.9968-0.011*B116,4)</f>
        <v>0.99680000000000002</v>
      </c>
      <c r="C118" s="3375">
        <f>B118</f>
        <v>0.99680000000000002</v>
      </c>
      <c r="D118" s="3375">
        <f>ROUND(0.949-0.014*B116,4)</f>
        <v>0.94899999999999995</v>
      </c>
      <c r="E118" s="3375">
        <f>D118</f>
        <v>0.94899999999999995</v>
      </c>
      <c r="F118" s="3375">
        <f>E118</f>
        <v>0.94899999999999995</v>
      </c>
      <c r="G118" s="3375">
        <f>F118</f>
        <v>0.94899999999999995</v>
      </c>
      <c r="H118" s="3375">
        <f>G118</f>
        <v>0.94899999999999995</v>
      </c>
      <c r="I118" s="3375">
        <f>ROUND(0.8486-0.018*B116,4)</f>
        <v>0.84860000000000002</v>
      </c>
      <c r="J118" s="3375">
        <f t="shared" ref="J118:M122" si="35">I118</f>
        <v>0.84860000000000002</v>
      </c>
      <c r="K118" s="3375">
        <f t="shared" si="35"/>
        <v>0.84860000000000002</v>
      </c>
      <c r="L118" s="3375">
        <f t="shared" si="35"/>
        <v>0.84860000000000002</v>
      </c>
      <c r="M118" s="3398">
        <f t="shared" si="35"/>
        <v>0.84860000000000002</v>
      </c>
      <c r="N118" s="3385"/>
    </row>
    <row r="119" spans="1:14">
      <c r="A119" s="3397" t="s">
        <v>3329</v>
      </c>
      <c r="B119" s="3375">
        <f>ROUND(0.993-0.0112*B116,4)</f>
        <v>0.99299999999999999</v>
      </c>
      <c r="C119" s="3375">
        <f>B119</f>
        <v>0.99299999999999999</v>
      </c>
      <c r="D119" s="3375">
        <f>ROUND(0.9415-0.0142*B116,4)</f>
        <v>0.9415</v>
      </c>
      <c r="E119" s="3375">
        <f t="shared" ref="E119:H120" si="36">D119</f>
        <v>0.9415</v>
      </c>
      <c r="F119" s="3375">
        <f t="shared" si="36"/>
        <v>0.9415</v>
      </c>
      <c r="G119" s="3375">
        <f t="shared" si="36"/>
        <v>0.9415</v>
      </c>
      <c r="H119" s="3375">
        <f t="shared" si="36"/>
        <v>0.9415</v>
      </c>
      <c r="I119" s="3375">
        <f>ROUND(0.838-0.0182*B116,4)</f>
        <v>0.83799999999999997</v>
      </c>
      <c r="J119" s="3375">
        <f t="shared" si="35"/>
        <v>0.83799999999999997</v>
      </c>
      <c r="K119" s="3375">
        <f t="shared" si="35"/>
        <v>0.83799999999999997</v>
      </c>
      <c r="L119" s="3375">
        <f t="shared" si="35"/>
        <v>0.83799999999999997</v>
      </c>
      <c r="M119" s="3398">
        <f t="shared" si="35"/>
        <v>0.83799999999999997</v>
      </c>
      <c r="N119" s="3385"/>
    </row>
    <row r="120" spans="1:14">
      <c r="A120" s="3397" t="s">
        <v>3330</v>
      </c>
      <c r="B120" s="3375">
        <f>ROUND(0.9448-0.0115*B116,4)</f>
        <v>0.94479999999999997</v>
      </c>
      <c r="C120" s="3375">
        <f>B120</f>
        <v>0.94479999999999997</v>
      </c>
      <c r="D120" s="3375">
        <f>ROUND(0.937-0.0145*B116,4)</f>
        <v>0.93700000000000006</v>
      </c>
      <c r="E120" s="3375">
        <f t="shared" si="36"/>
        <v>0.93700000000000006</v>
      </c>
      <c r="F120" s="3375">
        <f t="shared" si="36"/>
        <v>0.93700000000000006</v>
      </c>
      <c r="G120" s="3375">
        <f t="shared" si="36"/>
        <v>0.93700000000000006</v>
      </c>
      <c r="H120" s="3375">
        <f t="shared" si="36"/>
        <v>0.93700000000000006</v>
      </c>
      <c r="I120" s="3375">
        <f>ROUND(0.7965-0.0185*B116,4)</f>
        <v>0.79649999999999999</v>
      </c>
      <c r="J120" s="3375">
        <f t="shared" si="35"/>
        <v>0.79649999999999999</v>
      </c>
      <c r="K120" s="3375">
        <f t="shared" si="35"/>
        <v>0.79649999999999999</v>
      </c>
      <c r="L120" s="3375">
        <f t="shared" si="35"/>
        <v>0.79649999999999999</v>
      </c>
      <c r="M120" s="3398">
        <f t="shared" si="35"/>
        <v>0.79649999999999999</v>
      </c>
      <c r="N120" s="3385"/>
    </row>
    <row r="121" spans="1:14" ht="13.8" thickBot="1">
      <c r="A121" s="3399" t="s">
        <v>3331</v>
      </c>
      <c r="B121" s="3400">
        <f>ROUND(0.7836-0.012*B116,4)</f>
        <v>0.78359999999999996</v>
      </c>
      <c r="C121" s="3400">
        <f>B121</f>
        <v>0.78359999999999996</v>
      </c>
      <c r="D121" s="3400">
        <f>ROUND(0.753-0.015*B116,4)</f>
        <v>0.753</v>
      </c>
      <c r="E121" s="3400">
        <f>D121</f>
        <v>0.753</v>
      </c>
      <c r="F121" s="3400">
        <f>E121</f>
        <v>0.753</v>
      </c>
      <c r="G121" s="3400">
        <f>ROUND(0.6612-0.018*B116,4)</f>
        <v>0.66120000000000001</v>
      </c>
      <c r="H121" s="3400">
        <f>G121</f>
        <v>0.66120000000000001</v>
      </c>
      <c r="I121" s="3400">
        <f>ROUND(0.5905-0.019*B116,4)</f>
        <v>0.59050000000000002</v>
      </c>
      <c r="J121" s="3400">
        <f t="shared" si="35"/>
        <v>0.59050000000000002</v>
      </c>
      <c r="K121" s="3400">
        <f t="shared" si="35"/>
        <v>0.59050000000000002</v>
      </c>
      <c r="L121" s="3400">
        <f t="shared" si="35"/>
        <v>0.59050000000000002</v>
      </c>
      <c r="M121" s="3401">
        <f t="shared" si="35"/>
        <v>0.59050000000000002</v>
      </c>
      <c r="N121" s="3385"/>
    </row>
    <row r="122" spans="1:14">
      <c r="A122" s="3402" t="s">
        <v>2612</v>
      </c>
      <c r="B122" s="3375">
        <f>ROUND(0.9404-0.0106*B116,4)</f>
        <v>0.94040000000000001</v>
      </c>
      <c r="C122" s="3375">
        <f>B122</f>
        <v>0.94040000000000001</v>
      </c>
      <c r="D122" s="3375">
        <f>ROUND(0.8955-0.0135*B116,4)</f>
        <v>0.89549999999999996</v>
      </c>
      <c r="E122" s="3375">
        <f t="shared" ref="E122:H122" si="37">D122</f>
        <v>0.89549999999999996</v>
      </c>
      <c r="F122" s="3375">
        <f t="shared" si="37"/>
        <v>0.89549999999999996</v>
      </c>
      <c r="G122" s="3375">
        <f t="shared" si="37"/>
        <v>0.89549999999999996</v>
      </c>
      <c r="H122" s="3375">
        <f t="shared" si="37"/>
        <v>0.89549999999999996</v>
      </c>
      <c r="I122" s="3375">
        <f>ROUND(0.7632-0.0166*B116,4)</f>
        <v>0.76319999999999999</v>
      </c>
      <c r="J122" s="3375">
        <f t="shared" si="35"/>
        <v>0.76319999999999999</v>
      </c>
      <c r="K122" s="3375">
        <f t="shared" si="35"/>
        <v>0.76319999999999999</v>
      </c>
      <c r="L122" s="3375">
        <f t="shared" si="35"/>
        <v>0.76319999999999999</v>
      </c>
      <c r="M122" s="3398">
        <f t="shared" si="35"/>
        <v>0.76319999999999999</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1" customWidth="1"/>
    <col min="14" max="14" width="10" style="3061" customWidth="1"/>
    <col min="15" max="16" width="8.21875" style="3061"/>
    <col min="17" max="17" width="34.109375" style="3061" customWidth="1"/>
    <col min="18" max="18" width="8.21875" style="3061" customWidth="1"/>
    <col min="19" max="19" width="8.21875" style="3061"/>
    <col min="20" max="20" width="11.6640625" style="3061" customWidth="1"/>
    <col min="21" max="16384" width="8.2187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771" t="s">
        <v>2607</v>
      </c>
      <c r="B20" s="3766" t="s">
        <v>2628</v>
      </c>
      <c r="C20" s="3090" t="s">
        <v>2439</v>
      </c>
      <c r="D20" s="3091"/>
      <c r="E20" s="3092">
        <v>1</v>
      </c>
      <c r="F20" s="3093" t="s">
        <v>2440</v>
      </c>
      <c r="G20" s="3093"/>
    </row>
    <row r="21" spans="1:13" ht="19.5" customHeight="1">
      <c r="A21" s="3772"/>
      <c r="B21" s="3765"/>
      <c r="C21" s="3094" t="s">
        <v>2441</v>
      </c>
      <c r="D21" s="3095"/>
      <c r="E21" s="3096">
        <v>1</v>
      </c>
      <c r="F21" s="3093" t="s">
        <v>2442</v>
      </c>
      <c r="G21" s="3093"/>
    </row>
    <row r="22" spans="1:13" ht="19.5" customHeight="1">
      <c r="A22" s="3772"/>
      <c r="B22" s="3765"/>
      <c r="C22" s="3094" t="s">
        <v>2443</v>
      </c>
      <c r="D22" s="3095"/>
      <c r="E22" s="3096">
        <v>0.9</v>
      </c>
      <c r="F22" s="3093" t="s">
        <v>2444</v>
      </c>
      <c r="G22" s="3093"/>
    </row>
    <row r="23" spans="1:13" ht="19.5" customHeight="1">
      <c r="A23" s="3772"/>
      <c r="B23" s="3765"/>
      <c r="C23" s="3094" t="s">
        <v>2445</v>
      </c>
      <c r="D23" s="3095"/>
      <c r="E23" s="3096">
        <v>0.9</v>
      </c>
      <c r="F23" s="3093" t="s">
        <v>2446</v>
      </c>
      <c r="G23" s="3093"/>
    </row>
    <row r="24" spans="1:13" ht="19.5" customHeight="1">
      <c r="A24" s="3772"/>
      <c r="B24" s="3765"/>
      <c r="C24" s="3094" t="s">
        <v>2447</v>
      </c>
      <c r="D24" s="3095"/>
      <c r="E24" s="3096">
        <v>0.8</v>
      </c>
      <c r="F24" s="3093" t="s">
        <v>2448</v>
      </c>
      <c r="G24" s="3093"/>
    </row>
    <row r="25" spans="1:13" ht="19.5" customHeight="1" thickBot="1">
      <c r="A25" s="3773"/>
      <c r="B25" s="3767"/>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768" t="s">
        <v>2631</v>
      </c>
      <c r="B27" s="3766" t="s">
        <v>2612</v>
      </c>
      <c r="C27" s="3090" t="s">
        <v>2452</v>
      </c>
      <c r="D27" s="3091"/>
      <c r="E27" s="3092">
        <v>1</v>
      </c>
      <c r="F27" s="3093" t="s">
        <v>2453</v>
      </c>
      <c r="G27" s="3093"/>
    </row>
    <row r="28" spans="1:13" ht="19.5" customHeight="1">
      <c r="A28" s="3769"/>
      <c r="B28" s="3765"/>
      <c r="C28" s="3094" t="s">
        <v>2454</v>
      </c>
      <c r="D28" s="3095"/>
      <c r="E28" s="3096">
        <v>1</v>
      </c>
      <c r="F28" s="3093" t="s">
        <v>2455</v>
      </c>
      <c r="G28" s="3093"/>
    </row>
    <row r="29" spans="1:13" ht="19.5" customHeight="1">
      <c r="A29" s="3769"/>
      <c r="B29" s="3765"/>
      <c r="C29" s="3094" t="s">
        <v>2456</v>
      </c>
      <c r="D29" s="3095"/>
      <c r="E29" s="3096">
        <v>0.8</v>
      </c>
      <c r="F29" s="3093" t="s">
        <v>2457</v>
      </c>
      <c r="G29" s="3093"/>
    </row>
    <row r="30" spans="1:13" ht="19.5" customHeight="1">
      <c r="A30" s="3769"/>
      <c r="B30" s="3765"/>
      <c r="C30" s="3094" t="s">
        <v>2458</v>
      </c>
      <c r="D30" s="3095"/>
      <c r="E30" s="3096">
        <v>0.8</v>
      </c>
      <c r="F30" s="3093" t="s">
        <v>2459</v>
      </c>
      <c r="G30" s="3093"/>
    </row>
    <row r="31" spans="1:13" ht="19.5" customHeight="1">
      <c r="A31" s="3769"/>
      <c r="B31" s="3765"/>
      <c r="C31" s="3094" t="s">
        <v>2460</v>
      </c>
      <c r="D31" s="3095"/>
      <c r="E31" s="3096">
        <v>0.8</v>
      </c>
      <c r="F31" s="3093" t="s">
        <v>2461</v>
      </c>
      <c r="G31" s="3093"/>
    </row>
    <row r="32" spans="1:13" ht="19.5" customHeight="1">
      <c r="A32" s="3769"/>
      <c r="B32" s="3765"/>
      <c r="C32" s="3094" t="s">
        <v>2462</v>
      </c>
      <c r="D32" s="3095"/>
      <c r="E32" s="3096">
        <v>0.7</v>
      </c>
      <c r="F32" s="3093" t="s">
        <v>2463</v>
      </c>
      <c r="G32" s="3093"/>
    </row>
    <row r="33" spans="1:7" ht="19.5" customHeight="1">
      <c r="A33" s="3769"/>
      <c r="B33" s="3765"/>
      <c r="C33" s="3094" t="s">
        <v>2464</v>
      </c>
      <c r="D33" s="3095"/>
      <c r="E33" s="3096">
        <v>0.8</v>
      </c>
      <c r="F33" s="3093" t="s">
        <v>2465</v>
      </c>
      <c r="G33" s="3093"/>
    </row>
    <row r="34" spans="1:7" ht="19.5" customHeight="1">
      <c r="A34" s="3769"/>
      <c r="B34" s="3765"/>
      <c r="C34" s="3094" t="s">
        <v>2466</v>
      </c>
      <c r="D34" s="3095"/>
      <c r="E34" s="3096">
        <v>0.6</v>
      </c>
      <c r="F34" s="3093" t="s">
        <v>2467</v>
      </c>
      <c r="G34" s="3093"/>
    </row>
    <row r="35" spans="1:7" ht="19.5" customHeight="1">
      <c r="A35" s="3769"/>
      <c r="B35" s="3765"/>
      <c r="C35" s="3094" t="s">
        <v>2468</v>
      </c>
      <c r="D35" s="3095"/>
      <c r="E35" s="3096">
        <v>0.2</v>
      </c>
      <c r="F35" s="3093" t="s">
        <v>2469</v>
      </c>
      <c r="G35" s="3093"/>
    </row>
    <row r="36" spans="1:7" ht="19.5" customHeight="1">
      <c r="A36" s="3769"/>
      <c r="B36" s="3765"/>
      <c r="C36" s="3094" t="s">
        <v>2470</v>
      </c>
      <c r="D36" s="3095"/>
      <c r="E36" s="3096">
        <v>0.2</v>
      </c>
      <c r="F36" s="3093" t="s">
        <v>2471</v>
      </c>
      <c r="G36" s="3093"/>
    </row>
    <row r="37" spans="1:7" ht="19.5" customHeight="1">
      <c r="A37" s="3769"/>
      <c r="B37" s="3763" t="s">
        <v>2632</v>
      </c>
      <c r="C37" s="3094" t="s">
        <v>2472</v>
      </c>
      <c r="D37" s="3095"/>
      <c r="E37" s="3096">
        <v>0.6</v>
      </c>
      <c r="F37" s="3093" t="s">
        <v>2473</v>
      </c>
      <c r="G37" s="3093"/>
    </row>
    <row r="38" spans="1:7" ht="19.5" customHeight="1">
      <c r="A38" s="3769"/>
      <c r="B38" s="3765"/>
      <c r="C38" s="3094" t="s">
        <v>2474</v>
      </c>
      <c r="D38" s="3095"/>
      <c r="E38" s="3096">
        <v>0.6</v>
      </c>
      <c r="F38" s="3093" t="s">
        <v>2475</v>
      </c>
      <c r="G38" s="3093"/>
    </row>
    <row r="39" spans="1:7" ht="19.5" customHeight="1" thickBot="1">
      <c r="A39" s="3770"/>
      <c r="B39" s="3767"/>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771" t="s">
        <v>2610</v>
      </c>
      <c r="B41" s="3766" t="s">
        <v>2634</v>
      </c>
      <c r="C41" s="3090" t="s">
        <v>2479</v>
      </c>
      <c r="D41" s="3091"/>
      <c r="E41" s="3092">
        <v>1</v>
      </c>
      <c r="F41" s="3093" t="s">
        <v>2480</v>
      </c>
      <c r="G41" s="3093"/>
    </row>
    <row r="42" spans="1:7" ht="19.5" customHeight="1">
      <c r="A42" s="3772"/>
      <c r="B42" s="3765"/>
      <c r="C42" s="3094" t="s">
        <v>2481</v>
      </c>
      <c r="D42" s="3095"/>
      <c r="E42" s="3096">
        <v>1</v>
      </c>
      <c r="F42" s="3093" t="s">
        <v>2482</v>
      </c>
      <c r="G42" s="3093"/>
    </row>
    <row r="43" spans="1:7" ht="19.5" customHeight="1">
      <c r="A43" s="3772"/>
      <c r="B43" s="3764"/>
      <c r="C43" s="3094" t="s">
        <v>2483</v>
      </c>
      <c r="D43" s="3095"/>
      <c r="E43" s="3096">
        <v>1.5</v>
      </c>
      <c r="F43" s="3093" t="s">
        <v>2484</v>
      </c>
      <c r="G43" s="3093"/>
    </row>
    <row r="44" spans="1:7" ht="19.5" customHeight="1">
      <c r="A44" s="3772"/>
      <c r="B44" s="3105" t="s">
        <v>2635</v>
      </c>
      <c r="C44" s="3094" t="s">
        <v>2636</v>
      </c>
      <c r="D44" s="3095"/>
      <c r="E44" s="3096">
        <v>2</v>
      </c>
      <c r="F44" s="3093" t="s">
        <v>2485</v>
      </c>
      <c r="G44" s="3093"/>
    </row>
    <row r="45" spans="1:7" ht="19.5" customHeight="1">
      <c r="A45" s="3772"/>
      <c r="B45" s="3763" t="s">
        <v>2637</v>
      </c>
      <c r="C45" s="3094" t="s">
        <v>2486</v>
      </c>
      <c r="D45" s="3095"/>
      <c r="E45" s="3096">
        <v>1</v>
      </c>
      <c r="F45" s="3093" t="s">
        <v>2487</v>
      </c>
      <c r="G45" s="3093"/>
    </row>
    <row r="46" spans="1:7" ht="19.5" customHeight="1">
      <c r="A46" s="3772"/>
      <c r="B46" s="3765"/>
      <c r="C46" s="3094" t="s">
        <v>2488</v>
      </c>
      <c r="D46" s="3095"/>
      <c r="E46" s="3096">
        <v>1</v>
      </c>
      <c r="F46" s="3093" t="s">
        <v>2489</v>
      </c>
      <c r="G46" s="3093"/>
    </row>
    <row r="47" spans="1:7" ht="19.5" customHeight="1">
      <c r="A47" s="3772"/>
      <c r="B47" s="3765"/>
      <c r="C47" s="3094" t="s">
        <v>2490</v>
      </c>
      <c r="D47" s="3095"/>
      <c r="E47" s="3096">
        <v>1</v>
      </c>
      <c r="F47" s="3093" t="s">
        <v>2491</v>
      </c>
      <c r="G47" s="3093"/>
    </row>
    <row r="48" spans="1:7" ht="19.5" customHeight="1">
      <c r="A48" s="3772"/>
      <c r="B48" s="3765"/>
      <c r="C48" s="3094" t="s">
        <v>2492</v>
      </c>
      <c r="D48" s="3095"/>
      <c r="E48" s="3096">
        <v>1</v>
      </c>
      <c r="F48" s="3093" t="s">
        <v>2493</v>
      </c>
      <c r="G48" s="3093"/>
    </row>
    <row r="49" spans="1:7" ht="19.5" customHeight="1">
      <c r="A49" s="3772"/>
      <c r="B49" s="3765"/>
      <c r="C49" s="3094" t="s">
        <v>2494</v>
      </c>
      <c r="D49" s="3095"/>
      <c r="E49" s="3096">
        <v>1</v>
      </c>
      <c r="F49" s="3093" t="s">
        <v>2495</v>
      </c>
      <c r="G49" s="3093"/>
    </row>
    <row r="50" spans="1:7" ht="19.5" customHeight="1">
      <c r="A50" s="3772"/>
      <c r="B50" s="3765"/>
      <c r="C50" s="3094" t="s">
        <v>2496</v>
      </c>
      <c r="D50" s="3095"/>
      <c r="E50" s="3096">
        <v>1</v>
      </c>
      <c r="F50" s="3093" t="s">
        <v>2497</v>
      </c>
      <c r="G50" s="3093"/>
    </row>
    <row r="51" spans="1:7" ht="19.5" customHeight="1" thickBot="1">
      <c r="A51" s="3773"/>
      <c r="B51" s="3767"/>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4.4">
      <c r="A72" s="3105"/>
      <c r="B72" s="3105"/>
      <c r="C72" s="3105" t="s">
        <v>2650</v>
      </c>
      <c r="D72" s="3105"/>
      <c r="E72" s="3105" t="s">
        <v>2621</v>
      </c>
      <c r="F72" s="3105" t="s">
        <v>2621</v>
      </c>
    </row>
    <row r="73" spans="1:7" ht="14.4">
      <c r="A73" s="3105">
        <v>1</v>
      </c>
      <c r="B73" s="3763" t="s">
        <v>2651</v>
      </c>
      <c r="C73" s="3079" t="s">
        <v>2652</v>
      </c>
      <c r="D73" s="3079" t="s">
        <v>2653</v>
      </c>
      <c r="E73" s="3105">
        <v>0.2</v>
      </c>
      <c r="F73" s="3105">
        <v>25</v>
      </c>
    </row>
    <row r="74" spans="1:7" ht="24">
      <c r="A74" s="3105">
        <v>2</v>
      </c>
      <c r="B74" s="3765"/>
      <c r="C74" s="3079" t="s">
        <v>2654</v>
      </c>
      <c r="D74" s="3079" t="s">
        <v>2655</v>
      </c>
      <c r="E74" s="3105">
        <v>0.2</v>
      </c>
      <c r="F74" s="3105">
        <v>25</v>
      </c>
    </row>
    <row r="75" spans="1:7" ht="24">
      <c r="A75" s="3105">
        <v>3</v>
      </c>
      <c r="B75" s="3765"/>
      <c r="C75" s="3079" t="s">
        <v>2656</v>
      </c>
      <c r="D75" s="3079" t="s">
        <v>2657</v>
      </c>
      <c r="E75" s="3105">
        <v>0.2</v>
      </c>
      <c r="F75" s="3105">
        <v>25</v>
      </c>
    </row>
    <row r="76" spans="1:7" ht="14.4">
      <c r="A76" s="3105">
        <v>4</v>
      </c>
      <c r="B76" s="3765"/>
      <c r="C76" s="3079" t="s">
        <v>2658</v>
      </c>
      <c r="D76" s="3079" t="s">
        <v>2659</v>
      </c>
      <c r="E76" s="3105">
        <v>0.15</v>
      </c>
      <c r="F76" s="3105">
        <v>20</v>
      </c>
    </row>
    <row r="77" spans="1:7" ht="24">
      <c r="A77" s="3105">
        <v>5</v>
      </c>
      <c r="B77" s="3765"/>
      <c r="C77" s="3079" t="s">
        <v>2660</v>
      </c>
      <c r="D77" s="3079" t="s">
        <v>2661</v>
      </c>
      <c r="E77" s="3105">
        <v>0.15</v>
      </c>
      <c r="F77" s="3105">
        <v>20</v>
      </c>
    </row>
    <row r="78" spans="1:7" ht="24">
      <c r="A78" s="3105">
        <v>6</v>
      </c>
      <c r="B78" s="3765"/>
      <c r="C78" s="3079" t="s">
        <v>2662</v>
      </c>
      <c r="D78" s="3079" t="s">
        <v>2663</v>
      </c>
      <c r="E78" s="3105">
        <v>0.15</v>
      </c>
      <c r="F78" s="3105">
        <v>20</v>
      </c>
    </row>
    <row r="79" spans="1:7" ht="24">
      <c r="A79" s="3105">
        <v>7</v>
      </c>
      <c r="B79" s="3765"/>
      <c r="C79" s="3079" t="s">
        <v>2664</v>
      </c>
      <c r="D79" s="3079" t="s">
        <v>2665</v>
      </c>
      <c r="E79" s="3105">
        <v>0.15</v>
      </c>
      <c r="F79" s="3105">
        <v>20</v>
      </c>
    </row>
    <row r="80" spans="1:7" ht="24">
      <c r="A80" s="3105">
        <v>8</v>
      </c>
      <c r="B80" s="3765"/>
      <c r="C80" s="3079" t="s">
        <v>2666</v>
      </c>
      <c r="D80" s="3079" t="s">
        <v>2667</v>
      </c>
      <c r="E80" s="3105">
        <v>0.1</v>
      </c>
      <c r="F80" s="3105">
        <v>15</v>
      </c>
    </row>
    <row r="81" spans="1:6" ht="24">
      <c r="A81" s="3105">
        <v>9</v>
      </c>
      <c r="B81" s="3765"/>
      <c r="C81" s="3079" t="s">
        <v>2668</v>
      </c>
      <c r="D81" s="3079" t="s">
        <v>2669</v>
      </c>
      <c r="E81" s="3105">
        <v>0.1</v>
      </c>
      <c r="F81" s="3105">
        <v>15</v>
      </c>
    </row>
    <row r="82" spans="1:6" ht="24">
      <c r="A82" s="3105">
        <v>10</v>
      </c>
      <c r="B82" s="3765"/>
      <c r="C82" s="3079" t="s">
        <v>2670</v>
      </c>
      <c r="D82" s="3079" t="s">
        <v>2671</v>
      </c>
      <c r="E82" s="3105">
        <v>0.1</v>
      </c>
      <c r="F82" s="3105">
        <v>15</v>
      </c>
    </row>
    <row r="83" spans="1:6" ht="24">
      <c r="A83" s="3105">
        <v>11</v>
      </c>
      <c r="B83" s="3765"/>
      <c r="C83" s="3079" t="s">
        <v>2672</v>
      </c>
      <c r="D83" s="3079" t="s">
        <v>2673</v>
      </c>
      <c r="E83" s="3105">
        <v>0.1</v>
      </c>
      <c r="F83" s="3105">
        <v>15</v>
      </c>
    </row>
    <row r="84" spans="1:6" ht="24">
      <c r="A84" s="3105">
        <v>12</v>
      </c>
      <c r="B84" s="3765"/>
      <c r="C84" s="3079" t="s">
        <v>2674</v>
      </c>
      <c r="D84" s="3079" t="s">
        <v>2675</v>
      </c>
      <c r="E84" s="3105">
        <v>0.1</v>
      </c>
      <c r="F84" s="3105">
        <v>15</v>
      </c>
    </row>
    <row r="85" spans="1:6" ht="24">
      <c r="A85" s="3105">
        <v>13</v>
      </c>
      <c r="B85" s="3765"/>
      <c r="C85" s="3079" t="s">
        <v>2676</v>
      </c>
      <c r="D85" s="3079" t="s">
        <v>2677</v>
      </c>
      <c r="E85" s="3105">
        <v>0.1</v>
      </c>
      <c r="F85" s="3105">
        <v>15</v>
      </c>
    </row>
    <row r="86" spans="1:6" ht="24">
      <c r="A86" s="3105">
        <v>14</v>
      </c>
      <c r="B86" s="3765"/>
      <c r="C86" s="3079" t="s">
        <v>2678</v>
      </c>
      <c r="D86" s="3079" t="s">
        <v>2679</v>
      </c>
      <c r="E86" s="3105">
        <v>0.1</v>
      </c>
      <c r="F86" s="3105">
        <v>15</v>
      </c>
    </row>
    <row r="87" spans="1:6" ht="24">
      <c r="A87" s="3105">
        <v>15</v>
      </c>
      <c r="B87" s="3765"/>
      <c r="C87" s="3079" t="s">
        <v>2680</v>
      </c>
      <c r="D87" s="3079" t="s">
        <v>2681</v>
      </c>
      <c r="E87" s="3105">
        <v>0.1</v>
      </c>
      <c r="F87" s="3105">
        <v>15</v>
      </c>
    </row>
    <row r="88" spans="1:6" ht="24">
      <c r="A88" s="3105">
        <v>16</v>
      </c>
      <c r="B88" s="3765"/>
      <c r="C88" s="3079" t="s">
        <v>2682</v>
      </c>
      <c r="D88" s="3079" t="s">
        <v>2683</v>
      </c>
      <c r="E88" s="3105">
        <v>0.1</v>
      </c>
      <c r="F88" s="3105">
        <v>15</v>
      </c>
    </row>
    <row r="89" spans="1:6" ht="24">
      <c r="A89" s="3105">
        <v>17</v>
      </c>
      <c r="B89" s="3764"/>
      <c r="C89" s="3079" t="s">
        <v>2684</v>
      </c>
      <c r="D89" s="3079" t="s">
        <v>2685</v>
      </c>
      <c r="E89" s="3105">
        <v>0.1</v>
      </c>
      <c r="F89" s="3105">
        <v>15</v>
      </c>
    </row>
    <row r="90" spans="1:6" ht="14.4">
      <c r="A90" s="3105">
        <v>18</v>
      </c>
      <c r="B90" s="3763" t="s">
        <v>2686</v>
      </c>
      <c r="C90" s="3079" t="s">
        <v>2687</v>
      </c>
      <c r="D90" s="3079" t="s">
        <v>2688</v>
      </c>
      <c r="E90" s="3105">
        <v>0.2</v>
      </c>
      <c r="F90" s="3105">
        <v>25</v>
      </c>
    </row>
    <row r="91" spans="1:6" ht="24">
      <c r="A91" s="3105">
        <v>19</v>
      </c>
      <c r="B91" s="3765"/>
      <c r="C91" s="3079" t="s">
        <v>2689</v>
      </c>
      <c r="D91" s="3079" t="s">
        <v>2690</v>
      </c>
      <c r="E91" s="3105">
        <v>0.2</v>
      </c>
      <c r="F91" s="3105">
        <v>25</v>
      </c>
    </row>
    <row r="92" spans="1:6" ht="14.4">
      <c r="A92" s="3105">
        <v>20</v>
      </c>
      <c r="B92" s="3765"/>
      <c r="C92" s="3079" t="s">
        <v>2691</v>
      </c>
      <c r="D92" s="3079" t="s">
        <v>2692</v>
      </c>
      <c r="E92" s="3105">
        <v>0.15</v>
      </c>
      <c r="F92" s="3105">
        <v>20</v>
      </c>
    </row>
    <row r="93" spans="1:6" ht="24">
      <c r="A93" s="3105">
        <v>21</v>
      </c>
      <c r="B93" s="3765"/>
      <c r="C93" s="3079" t="s">
        <v>2693</v>
      </c>
      <c r="D93" s="3079" t="s">
        <v>2694</v>
      </c>
      <c r="E93" s="3105">
        <v>0.15</v>
      </c>
      <c r="F93" s="3105">
        <v>20</v>
      </c>
    </row>
    <row r="94" spans="1:6" ht="24">
      <c r="A94" s="3105">
        <v>22</v>
      </c>
      <c r="B94" s="3765"/>
      <c r="C94" s="3079" t="s">
        <v>2695</v>
      </c>
      <c r="D94" s="3079" t="s">
        <v>2696</v>
      </c>
      <c r="E94" s="3105">
        <v>0.15</v>
      </c>
      <c r="F94" s="3105">
        <v>20</v>
      </c>
    </row>
    <row r="95" spans="1:6" ht="36">
      <c r="A95" s="3105">
        <v>23</v>
      </c>
      <c r="B95" s="3765"/>
      <c r="C95" s="3079" t="s">
        <v>2697</v>
      </c>
      <c r="D95" s="3079" t="s">
        <v>2698</v>
      </c>
      <c r="E95" s="3105">
        <v>0.15</v>
      </c>
      <c r="F95" s="3105">
        <v>20</v>
      </c>
    </row>
    <row r="96" spans="1:6" ht="24">
      <c r="A96" s="3105">
        <v>24</v>
      </c>
      <c r="B96" s="3765"/>
      <c r="C96" s="3079" t="s">
        <v>2699</v>
      </c>
      <c r="D96" s="3079" t="s">
        <v>2700</v>
      </c>
      <c r="E96" s="3105">
        <v>0.1</v>
      </c>
      <c r="F96" s="3105">
        <v>15</v>
      </c>
    </row>
    <row r="97" spans="1:6" ht="24">
      <c r="A97" s="3105">
        <v>25</v>
      </c>
      <c r="B97" s="3765"/>
      <c r="C97" s="3079" t="s">
        <v>2701</v>
      </c>
      <c r="D97" s="3079" t="s">
        <v>2702</v>
      </c>
      <c r="E97" s="3105">
        <v>0.1</v>
      </c>
      <c r="F97" s="3105">
        <v>15</v>
      </c>
    </row>
    <row r="98" spans="1:6" ht="24">
      <c r="A98" s="3105">
        <v>26</v>
      </c>
      <c r="B98" s="3765"/>
      <c r="C98" s="3079" t="s">
        <v>2703</v>
      </c>
      <c r="D98" s="3079" t="s">
        <v>2704</v>
      </c>
      <c r="E98" s="3105">
        <v>0.1</v>
      </c>
      <c r="F98" s="3105">
        <v>15</v>
      </c>
    </row>
    <row r="99" spans="1:6" ht="24">
      <c r="A99" s="3105">
        <v>27</v>
      </c>
      <c r="B99" s="3765"/>
      <c r="C99" s="3079" t="s">
        <v>2705</v>
      </c>
      <c r="D99" s="3079" t="s">
        <v>2706</v>
      </c>
      <c r="E99" s="3105">
        <v>0.1</v>
      </c>
      <c r="F99" s="3105">
        <v>15</v>
      </c>
    </row>
    <row r="100" spans="1:6" ht="24">
      <c r="A100" s="3105">
        <v>28</v>
      </c>
      <c r="B100" s="3765"/>
      <c r="C100" s="3079" t="s">
        <v>2707</v>
      </c>
      <c r="D100" s="3079" t="s">
        <v>2708</v>
      </c>
      <c r="E100" s="3105">
        <v>0.1</v>
      </c>
      <c r="F100" s="3105">
        <v>15</v>
      </c>
    </row>
    <row r="101" spans="1:6" ht="24">
      <c r="A101" s="3105">
        <v>29</v>
      </c>
      <c r="B101" s="3765"/>
      <c r="C101" s="3079" t="s">
        <v>2709</v>
      </c>
      <c r="D101" s="3079" t="s">
        <v>2710</v>
      </c>
      <c r="E101" s="3105">
        <v>0.1</v>
      </c>
      <c r="F101" s="3105">
        <v>15</v>
      </c>
    </row>
    <row r="102" spans="1:6" ht="24">
      <c r="A102" s="3105">
        <v>30</v>
      </c>
      <c r="B102" s="3765"/>
      <c r="C102" s="3079" t="s">
        <v>2711</v>
      </c>
      <c r="D102" s="3079" t="s">
        <v>2712</v>
      </c>
      <c r="E102" s="3105">
        <v>0.1</v>
      </c>
      <c r="F102" s="3105">
        <v>15</v>
      </c>
    </row>
    <row r="103" spans="1:6" ht="24">
      <c r="A103" s="3105">
        <v>31</v>
      </c>
      <c r="B103" s="3765"/>
      <c r="C103" s="3079" t="s">
        <v>2713</v>
      </c>
      <c r="D103" s="3079" t="s">
        <v>2714</v>
      </c>
      <c r="E103" s="3105">
        <v>0.1</v>
      </c>
      <c r="F103" s="3105">
        <v>15</v>
      </c>
    </row>
    <row r="104" spans="1:6" ht="24">
      <c r="A104" s="3105">
        <v>32</v>
      </c>
      <c r="B104" s="3765"/>
      <c r="C104" s="3079" t="s">
        <v>2715</v>
      </c>
      <c r="D104" s="3079" t="s">
        <v>2716</v>
      </c>
      <c r="E104" s="3105">
        <v>0.1</v>
      </c>
      <c r="F104" s="3105">
        <v>15</v>
      </c>
    </row>
    <row r="105" spans="1:6" ht="24">
      <c r="A105" s="3105">
        <v>33</v>
      </c>
      <c r="B105" s="3765"/>
      <c r="C105" s="3079" t="s">
        <v>2717</v>
      </c>
      <c r="D105" s="3079" t="s">
        <v>2718</v>
      </c>
      <c r="E105" s="3105">
        <v>0.1</v>
      </c>
      <c r="F105" s="3105">
        <v>15</v>
      </c>
    </row>
    <row r="106" spans="1:6" ht="24">
      <c r="A106" s="3105">
        <v>34</v>
      </c>
      <c r="B106" s="3764"/>
      <c r="C106" s="3079" t="s">
        <v>2719</v>
      </c>
      <c r="D106" s="3079" t="s">
        <v>2720</v>
      </c>
      <c r="E106" s="3105">
        <v>0.1</v>
      </c>
      <c r="F106" s="3105">
        <v>15</v>
      </c>
    </row>
    <row r="107" spans="1:6" ht="36">
      <c r="A107" s="3105">
        <v>35</v>
      </c>
      <c r="B107" s="3763" t="s">
        <v>2721</v>
      </c>
      <c r="C107" s="3105" t="s">
        <v>2722</v>
      </c>
      <c r="D107" s="3079" t="s">
        <v>2723</v>
      </c>
      <c r="E107" s="3105">
        <v>0.15</v>
      </c>
      <c r="F107" s="3105">
        <v>20</v>
      </c>
    </row>
    <row r="108" spans="1:6" ht="24">
      <c r="A108" s="3105">
        <v>36</v>
      </c>
      <c r="B108" s="3765"/>
      <c r="C108" s="3105" t="s">
        <v>2724</v>
      </c>
      <c r="D108" s="3079" t="s">
        <v>2725</v>
      </c>
      <c r="E108" s="3105">
        <v>0.15</v>
      </c>
      <c r="F108" s="3105">
        <v>20</v>
      </c>
    </row>
    <row r="109" spans="1:6" ht="24">
      <c r="A109" s="3105">
        <v>37</v>
      </c>
      <c r="B109" s="3765"/>
      <c r="C109" s="3105" t="s">
        <v>2726</v>
      </c>
      <c r="D109" s="3079" t="s">
        <v>2727</v>
      </c>
      <c r="E109" s="3105">
        <v>0.15</v>
      </c>
      <c r="F109" s="3105">
        <v>20</v>
      </c>
    </row>
    <row r="110" spans="1:6" ht="24">
      <c r="A110" s="3105">
        <v>38</v>
      </c>
      <c r="B110" s="3765"/>
      <c r="C110" s="3105" t="s">
        <v>2728</v>
      </c>
      <c r="D110" s="3079" t="s">
        <v>2729</v>
      </c>
      <c r="E110" s="3105">
        <v>0.1</v>
      </c>
      <c r="F110" s="3105">
        <v>15</v>
      </c>
    </row>
    <row r="111" spans="1:6" ht="24">
      <c r="A111" s="3105">
        <v>39</v>
      </c>
      <c r="B111" s="3765"/>
      <c r="C111" s="3105" t="s">
        <v>2730</v>
      </c>
      <c r="D111" s="3079" t="s">
        <v>2731</v>
      </c>
      <c r="E111" s="3105">
        <v>0.1</v>
      </c>
      <c r="F111" s="3105">
        <v>15</v>
      </c>
    </row>
    <row r="112" spans="1:6" ht="24">
      <c r="A112" s="3105">
        <v>40</v>
      </c>
      <c r="B112" s="3764"/>
      <c r="C112" s="3105" t="s">
        <v>2732</v>
      </c>
      <c r="D112" s="3079" t="s">
        <v>2733</v>
      </c>
      <c r="E112" s="3105">
        <v>0.1</v>
      </c>
      <c r="F112" s="3105">
        <v>15</v>
      </c>
    </row>
    <row r="113" spans="1:6" ht="24">
      <c r="A113" s="3105">
        <v>41</v>
      </c>
      <c r="B113" s="3762" t="s">
        <v>2734</v>
      </c>
      <c r="C113" s="3105" t="s">
        <v>2735</v>
      </c>
      <c r="D113" s="3079" t="s">
        <v>2736</v>
      </c>
      <c r="E113" s="3105">
        <v>0.1</v>
      </c>
      <c r="F113" s="3105">
        <v>15</v>
      </c>
    </row>
    <row r="114" spans="1:6" ht="24">
      <c r="A114" s="3105">
        <v>42</v>
      </c>
      <c r="B114" s="3762"/>
      <c r="C114" s="3105" t="s">
        <v>2737</v>
      </c>
      <c r="D114" s="3079" t="s">
        <v>2738</v>
      </c>
      <c r="E114" s="3105">
        <v>0.1</v>
      </c>
      <c r="F114" s="3105">
        <v>15</v>
      </c>
    </row>
    <row r="115" spans="1:6" ht="24">
      <c r="A115" s="3105">
        <v>43</v>
      </c>
      <c r="B115" s="3762"/>
      <c r="C115" s="3105" t="s">
        <v>2739</v>
      </c>
      <c r="D115" s="3079" t="s">
        <v>2740</v>
      </c>
      <c r="E115" s="3105">
        <v>0.1</v>
      </c>
      <c r="F115" s="3105">
        <v>15</v>
      </c>
    </row>
    <row r="116" spans="1:6" ht="24">
      <c r="A116" s="3105">
        <v>44</v>
      </c>
      <c r="B116" s="3763" t="s">
        <v>2741</v>
      </c>
      <c r="C116" s="3105" t="s">
        <v>2742</v>
      </c>
      <c r="D116" s="3079" t="s">
        <v>2743</v>
      </c>
      <c r="E116" s="3105">
        <v>0.1</v>
      </c>
      <c r="F116" s="3105">
        <v>15</v>
      </c>
    </row>
    <row r="117" spans="1:6" ht="24">
      <c r="A117" s="3105">
        <v>45</v>
      </c>
      <c r="B117" s="3764"/>
      <c r="C117" s="3079" t="s">
        <v>2744</v>
      </c>
      <c r="D117" s="3079" t="s">
        <v>2745</v>
      </c>
      <c r="E117" s="3105">
        <v>0.1</v>
      </c>
      <c r="F117" s="3105">
        <v>15</v>
      </c>
    </row>
    <row r="118" spans="1:6" ht="24">
      <c r="A118" s="3105">
        <v>46</v>
      </c>
      <c r="B118" s="3763" t="s">
        <v>2746</v>
      </c>
      <c r="C118" s="3105" t="s">
        <v>2747</v>
      </c>
      <c r="D118" s="3079" t="s">
        <v>2748</v>
      </c>
      <c r="E118" s="3105">
        <v>0.1</v>
      </c>
      <c r="F118" s="3105">
        <v>15</v>
      </c>
    </row>
    <row r="119" spans="1:6" ht="24">
      <c r="A119" s="3105">
        <v>47</v>
      </c>
      <c r="B119" s="3764"/>
      <c r="C119" s="3105" t="s">
        <v>2749</v>
      </c>
      <c r="D119" s="3079" t="s">
        <v>2750</v>
      </c>
      <c r="E119" s="3105">
        <v>0.1</v>
      </c>
      <c r="F119" s="3105">
        <v>15</v>
      </c>
    </row>
    <row r="120" spans="1:6" ht="24">
      <c r="A120" s="3105">
        <v>48</v>
      </c>
      <c r="B120" s="3763" t="s">
        <v>2751</v>
      </c>
      <c r="C120" s="3105" t="s">
        <v>2752</v>
      </c>
      <c r="D120" s="3079" t="s">
        <v>2753</v>
      </c>
      <c r="E120" s="3105">
        <v>0.1</v>
      </c>
      <c r="F120" s="3105">
        <v>15</v>
      </c>
    </row>
    <row r="121" spans="1:6" ht="24">
      <c r="A121" s="3105">
        <v>49</v>
      </c>
      <c r="B121" s="3764"/>
      <c r="C121" s="3105" t="s">
        <v>2754</v>
      </c>
      <c r="D121" s="3079" t="s">
        <v>2755</v>
      </c>
      <c r="E121" s="3105">
        <v>0.1</v>
      </c>
      <c r="F121" s="3105">
        <v>15</v>
      </c>
    </row>
    <row r="122" spans="1:6" ht="24">
      <c r="A122" s="3105">
        <v>50</v>
      </c>
      <c r="B122" s="3762" t="s">
        <v>2756</v>
      </c>
      <c r="C122" s="3105" t="s">
        <v>2757</v>
      </c>
      <c r="D122" s="3079" t="s">
        <v>2758</v>
      </c>
      <c r="E122" s="3105">
        <v>0.1</v>
      </c>
      <c r="F122" s="3105">
        <v>15</v>
      </c>
    </row>
    <row r="123" spans="1:6" ht="24">
      <c r="A123" s="3105">
        <v>51</v>
      </c>
      <c r="B123" s="3762"/>
      <c r="C123" s="3105" t="s">
        <v>2759</v>
      </c>
      <c r="D123" s="3079" t="s">
        <v>2760</v>
      </c>
      <c r="E123" s="3105">
        <v>0.1</v>
      </c>
      <c r="F123" s="3105">
        <v>15</v>
      </c>
    </row>
    <row r="124" spans="1:6" ht="24">
      <c r="A124" s="3105">
        <v>52</v>
      </c>
      <c r="B124" s="3762" t="s">
        <v>2761</v>
      </c>
      <c r="C124" s="3105" t="s">
        <v>2762</v>
      </c>
      <c r="D124" s="3079" t="s">
        <v>2763</v>
      </c>
      <c r="E124" s="3105">
        <v>0.1</v>
      </c>
      <c r="F124" s="3105">
        <v>15</v>
      </c>
    </row>
    <row r="125" spans="1:6" ht="24">
      <c r="A125" s="3105">
        <v>53</v>
      </c>
      <c r="B125" s="3762"/>
      <c r="C125" s="3105" t="s">
        <v>2764</v>
      </c>
      <c r="D125" s="3079" t="s">
        <v>2765</v>
      </c>
      <c r="E125" s="3105">
        <v>0.1</v>
      </c>
      <c r="F125" s="3105">
        <v>15</v>
      </c>
    </row>
    <row r="126" spans="1:6" ht="24">
      <c r="A126" s="3105">
        <v>54</v>
      </c>
      <c r="B126" s="3105" t="s">
        <v>2766</v>
      </c>
      <c r="C126" s="3105" t="s">
        <v>2767</v>
      </c>
      <c r="D126" s="3079" t="s">
        <v>2768</v>
      </c>
      <c r="E126" s="3105">
        <v>0.1</v>
      </c>
      <c r="F126" s="3105">
        <v>15</v>
      </c>
    </row>
    <row r="127" spans="1:6" ht="24">
      <c r="A127" s="3105">
        <v>55</v>
      </c>
      <c r="B127" s="3762" t="s">
        <v>2769</v>
      </c>
      <c r="C127" s="3105" t="s">
        <v>2770</v>
      </c>
      <c r="D127" s="3079" t="s">
        <v>2771</v>
      </c>
      <c r="E127" s="3105">
        <v>0.1</v>
      </c>
      <c r="F127" s="3105">
        <v>15</v>
      </c>
    </row>
    <row r="128" spans="1:6" ht="24">
      <c r="A128" s="3105">
        <v>56</v>
      </c>
      <c r="B128" s="3762"/>
      <c r="C128" s="3105" t="s">
        <v>2772</v>
      </c>
      <c r="D128" s="3079" t="s">
        <v>2773</v>
      </c>
      <c r="E128" s="3105">
        <v>0.1</v>
      </c>
      <c r="F128" s="3105">
        <v>15</v>
      </c>
    </row>
    <row r="129" spans="1:6" ht="24">
      <c r="A129" s="3105">
        <v>57</v>
      </c>
      <c r="B129" s="3762"/>
      <c r="C129" s="3105" t="s">
        <v>2774</v>
      </c>
      <c r="D129" s="3079" t="s">
        <v>2775</v>
      </c>
      <c r="E129" s="3105">
        <v>0.1</v>
      </c>
      <c r="F129" s="3105">
        <v>15</v>
      </c>
    </row>
    <row r="130" spans="1:6" ht="24">
      <c r="A130" s="3105">
        <v>58</v>
      </c>
      <c r="B130" s="3762" t="s">
        <v>2776</v>
      </c>
      <c r="C130" s="3105" t="s">
        <v>2777</v>
      </c>
      <c r="D130" s="3079" t="s">
        <v>2778</v>
      </c>
      <c r="E130" s="3105">
        <v>0.1</v>
      </c>
      <c r="F130" s="3105">
        <v>15</v>
      </c>
    </row>
    <row r="131" spans="1:6" ht="24">
      <c r="A131" s="3105">
        <v>59</v>
      </c>
      <c r="B131" s="3762"/>
      <c r="C131" s="3105" t="s">
        <v>2779</v>
      </c>
      <c r="D131" s="3079" t="s">
        <v>2780</v>
      </c>
      <c r="E131" s="3105">
        <v>0.1</v>
      </c>
      <c r="F131" s="3105">
        <v>15</v>
      </c>
    </row>
    <row r="132" spans="1:6" ht="24">
      <c r="A132" s="3105">
        <v>60</v>
      </c>
      <c r="B132" s="3763" t="s">
        <v>2781</v>
      </c>
      <c r="C132" s="3105" t="s">
        <v>2782</v>
      </c>
      <c r="D132" s="3079" t="s">
        <v>2783</v>
      </c>
      <c r="E132" s="3105">
        <v>0.1</v>
      </c>
      <c r="F132" s="3105">
        <v>15</v>
      </c>
    </row>
    <row r="133" spans="1:6" ht="24">
      <c r="A133" s="3105">
        <v>61</v>
      </c>
      <c r="B133" s="3764"/>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24">
      <c r="A135" s="3105">
        <v>63</v>
      </c>
      <c r="B135" s="3762" t="s">
        <v>2789</v>
      </c>
      <c r="C135" s="3105" t="s">
        <v>2790</v>
      </c>
      <c r="D135" s="3079" t="s">
        <v>2791</v>
      </c>
      <c r="E135" s="3105">
        <v>0.1</v>
      </c>
      <c r="F135" s="3105">
        <v>15</v>
      </c>
    </row>
    <row r="136" spans="1:6" ht="24">
      <c r="A136" s="3105">
        <v>64</v>
      </c>
      <c r="B136" s="3762"/>
      <c r="C136" s="3105" t="s">
        <v>2792</v>
      </c>
      <c r="D136" s="3079" t="s">
        <v>2793</v>
      </c>
      <c r="E136" s="3105">
        <v>0.1</v>
      </c>
      <c r="F136" s="3105">
        <v>15</v>
      </c>
    </row>
    <row r="137" spans="1:6" ht="24">
      <c r="A137" s="3105">
        <v>65</v>
      </c>
      <c r="B137" s="3105" t="s">
        <v>2794</v>
      </c>
      <c r="C137" s="3105" t="s">
        <v>2795</v>
      </c>
      <c r="D137" s="3079" t="s">
        <v>2796</v>
      </c>
      <c r="E137" s="3105">
        <v>0.1</v>
      </c>
      <c r="F137" s="3105">
        <v>15</v>
      </c>
    </row>
    <row r="138" spans="1:6" ht="14.4">
      <c r="A138" s="3105"/>
      <c r="B138" s="3105"/>
      <c r="C138" s="3105"/>
      <c r="D138" s="3105"/>
      <c r="E138" s="3105" t="s">
        <v>2797</v>
      </c>
      <c r="F138" s="310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7.399999999999999">
      <c r="A3" s="3458" t="str">
        <f>IF(项目基本情况!B9="房地产市场价值","估价结果一览表（市场价值不需“结果表-1”）","估价结果一览表")</f>
        <v>估价结果一览表（市场价值不需“结果表-1”）</v>
      </c>
      <c r="B3" s="3458"/>
      <c r="C3" s="3458"/>
      <c r="D3" s="3458"/>
      <c r="E3" s="3458"/>
    </row>
    <row r="4" spans="1:5" ht="18" thickBot="1">
      <c r="A4" s="1492"/>
      <c r="B4" s="3456" t="s">
        <v>917</v>
      </c>
      <c r="C4" s="3456"/>
      <c r="D4" s="3456"/>
      <c r="E4" s="1492"/>
    </row>
    <row r="5" spans="1:5" ht="16.2" thickTop="1">
      <c r="A5" s="1490"/>
      <c r="B5" s="3454" t="s">
        <v>909</v>
      </c>
      <c r="C5" s="1493" t="s">
        <v>910</v>
      </c>
      <c r="D5" s="850" t="e">
        <f ca="1">结果表!H101</f>
        <v>#REF!</v>
      </c>
      <c r="E5" s="1490"/>
    </row>
    <row r="6" spans="1:5" ht="15.6">
      <c r="A6" s="1490"/>
      <c r="B6" s="3454"/>
      <c r="C6" s="1493" t="s">
        <v>911</v>
      </c>
      <c r="D6" s="850" t="e">
        <f ca="1">NUMBERSTRING(INT(D5*10000),2)&amp;"元整"</f>
        <v>#REF!</v>
      </c>
      <c r="E6" s="1490"/>
    </row>
    <row r="7" spans="1:5" ht="15.6">
      <c r="A7" s="1490"/>
      <c r="B7" s="3459"/>
      <c r="C7" s="1494" t="s">
        <v>912</v>
      </c>
      <c r="D7" s="851" t="e">
        <f ca="1">结果表!H102</f>
        <v>#REF!</v>
      </c>
      <c r="E7" s="1490"/>
    </row>
    <row r="8" spans="1:5" ht="15.6">
      <c r="A8" s="1490"/>
      <c r="B8" s="3460" t="str">
        <f>结果表!E103</f>
        <v>2.估价师知悉的法定优先受偿款</v>
      </c>
      <c r="C8" s="1495" t="s">
        <v>913</v>
      </c>
      <c r="D8" s="851">
        <f>结果表!H103</f>
        <v>0</v>
      </c>
      <c r="E8" s="1490"/>
    </row>
    <row r="9" spans="1:5" ht="15.6">
      <c r="A9" s="1490"/>
      <c r="B9" s="3462"/>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53" t="str">
        <f>结果表!E107</f>
        <v>3.房地产抵押价值</v>
      </c>
      <c r="C13" s="1498" t="s">
        <v>910</v>
      </c>
      <c r="D13" s="853" t="e">
        <f ca="1">结果表!H107</f>
        <v>#REF!</v>
      </c>
      <c r="E13" s="1490"/>
    </row>
    <row r="14" spans="1:5" ht="15.6">
      <c r="A14" s="1490"/>
      <c r="B14" s="3454"/>
      <c r="C14" s="1493" t="s">
        <v>911</v>
      </c>
      <c r="D14" s="850" t="e">
        <f ca="1">NUMBERSTRING(INT(D13*10000),2)&amp;"元整"</f>
        <v>#REF!</v>
      </c>
      <c r="E14" s="1490"/>
    </row>
    <row r="15" spans="1:5" ht="15.6">
      <c r="A15" s="1490"/>
      <c r="B15" s="3459"/>
      <c r="C15" s="1494" t="s">
        <v>921</v>
      </c>
      <c r="D15" s="859" t="e">
        <f ca="1">结果表!H108</f>
        <v>#REF!</v>
      </c>
      <c r="E15" s="1490"/>
    </row>
    <row r="16" spans="1:5" ht="15.6">
      <c r="A16" s="1490"/>
      <c r="B16" s="3460" t="str">
        <f>结果表!E109</f>
        <v>——</v>
      </c>
      <c r="C16" s="1498" t="s">
        <v>922</v>
      </c>
      <c r="D16" s="1499" t="str">
        <f>结果表!H109</f>
        <v>——</v>
      </c>
      <c r="E16" s="1490"/>
    </row>
    <row r="17" spans="1:5" ht="15.6">
      <c r="A17" s="1490"/>
      <c r="B17" s="3461"/>
      <c r="C17" s="1493" t="s">
        <v>923</v>
      </c>
      <c r="D17" s="850" t="e">
        <f>NUMBERSTRING(INT(D16*10000),2)&amp;"元整"</f>
        <v>#VALUE!</v>
      </c>
      <c r="E17" s="1490"/>
    </row>
    <row r="18" spans="1:5" ht="15.6">
      <c r="A18" s="1490"/>
      <c r="B18" s="3462"/>
      <c r="C18" s="1494" t="s">
        <v>912</v>
      </c>
      <c r="D18" s="859" t="str">
        <f>结果表!H110</f>
        <v>——</v>
      </c>
      <c r="E18" s="1490"/>
    </row>
    <row r="19" spans="1:5" ht="15.6">
      <c r="A19" s="1490"/>
      <c r="B19" s="3453" t="str">
        <f>结果表!E111</f>
        <v>——</v>
      </c>
      <c r="C19" s="1498" t="s">
        <v>910</v>
      </c>
      <c r="D19" s="851" t="str">
        <f>结果表!H111</f>
        <v>——</v>
      </c>
      <c r="E19" s="1490"/>
    </row>
    <row r="20" spans="1:5" ht="15.6">
      <c r="A20" s="1490"/>
      <c r="B20" s="3454"/>
      <c r="C20" s="1493" t="s">
        <v>923</v>
      </c>
      <c r="D20" s="850" t="e">
        <f>NUMBERSTRING(INT(D19*10000),2)&amp;"元整"</f>
        <v>#VALUE!</v>
      </c>
      <c r="E20" s="1490"/>
    </row>
    <row r="21" spans="1:5" ht="16.2" thickBot="1">
      <c r="A21" s="1490"/>
      <c r="B21" s="3455"/>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8"/>
    <col min="14" max="16384" width="9" style="750"/>
  </cols>
  <sheetData>
    <row r="1" spans="1:20" ht="16.2" thickBot="1">
      <c r="A1" s="3114" t="s">
        <v>2798</v>
      </c>
      <c r="B1" s="3114"/>
      <c r="C1" s="3114"/>
      <c r="D1" s="3114"/>
      <c r="E1" s="3114"/>
      <c r="F1" s="3114"/>
      <c r="G1" s="3114"/>
      <c r="H1" s="3114"/>
      <c r="I1" s="3114"/>
      <c r="J1" s="3114"/>
      <c r="K1" s="3114"/>
      <c r="L1" s="3114"/>
      <c r="M1" s="3114"/>
      <c r="N1" s="749"/>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51"/>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51"/>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51"/>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6.2"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50">
        <f>SUMPRODUCT((A95:A184=ROUNDDOWN(基准地价修正!G3,1))*(B94:M94=基准地价修正!G2)*(B95:M184))</f>
        <v>0</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5.6">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9"/>
    </row>
    <row r="104" spans="1:14" ht="15.6">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9"/>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6.2"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6.2"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6.2"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50">
        <f>SUMPRODUCT((A371:A460=ROUNDDOWN(基准地价修正!G3,1))*(B370:M370=基准地价修正!G2)*(B371:M460))</f>
        <v>0</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30049</v>
      </c>
      <c r="C2" s="2" t="s">
        <v>106</v>
      </c>
      <c r="D2" s="199"/>
      <c r="E2" s="199"/>
      <c r="F2" s="199"/>
      <c r="G2" s="199"/>
    </row>
    <row r="3" spans="1:7" s="200" customFormat="1" ht="18" customHeight="1" thickBot="1">
      <c r="A3" s="203" t="s">
        <v>58</v>
      </c>
      <c r="B3" s="204">
        <f ca="1">ROUND(B2*10000/'数据-汇总表'!E3,0)</f>
        <v>5375492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55.9</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55.9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5204</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30027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55.9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5.0000000000000001E-4</v>
      </c>
      <c r="D44" s="238"/>
      <c r="E44" s="238"/>
      <c r="F44" s="239"/>
      <c r="G44" s="3637"/>
    </row>
    <row r="45" spans="1:7" s="214" customFormat="1" ht="13.5" customHeight="1">
      <c r="A45" s="777" t="s">
        <v>341</v>
      </c>
      <c r="B45" s="244" t="s">
        <v>85</v>
      </c>
      <c r="C45" s="245">
        <f>C46</f>
        <v>7</v>
      </c>
      <c r="D45" s="235">
        <f>C47</f>
        <v>2.5000000000000001E-3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30049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3" customWidth="1"/>
    <col min="2" max="2" width="18.6640625" style="3213" customWidth="1"/>
    <col min="3" max="6" width="10.21875" style="3213" customWidth="1"/>
    <col min="7" max="7" width="10.44140625" style="3213" bestFit="1" customWidth="1"/>
    <col min="8" max="8" width="8.88671875" style="3209"/>
    <col min="9" max="9" width="13.33203125" style="3209" customWidth="1"/>
    <col min="10" max="13" width="13.33203125" style="3213" customWidth="1"/>
    <col min="14" max="14" width="18.21875" style="3213" customWidth="1"/>
    <col min="15" max="17" width="15.109375" style="3213" customWidth="1"/>
    <col min="18" max="20" width="11.44140625" style="3213" customWidth="1"/>
    <col min="21" max="16384" width="8.88671875" style="3213"/>
  </cols>
  <sheetData>
    <row r="1" spans="1:20" ht="11.4" thickBot="1">
      <c r="A1" s="3776" t="s">
        <v>2839</v>
      </c>
      <c r="B1" s="3776"/>
      <c r="C1" s="3776"/>
      <c r="D1" s="3776"/>
      <c r="E1" s="3776"/>
      <c r="F1" s="3776"/>
      <c r="G1" s="3777"/>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1.4"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774"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1.4" thickBot="1">
      <c r="A4" s="3775"/>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1.4"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1.4"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1.4"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1.4"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1.4"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1.4"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6" customWidth="1"/>
    <col min="2" max="2" width="20" style="3276" customWidth="1"/>
    <col min="3" max="7" width="8.88671875" style="3240"/>
    <col min="8" max="16384" width="8.88671875" style="3241"/>
  </cols>
  <sheetData>
    <row r="1" spans="1:7">
      <c r="A1" s="3778" t="s">
        <v>3181</v>
      </c>
      <c r="B1" s="3778"/>
    </row>
    <row r="2" spans="1:7" ht="15" thickBot="1">
      <c r="A2" s="3242"/>
      <c r="B2" s="3242"/>
    </row>
    <row r="3" spans="1:7" ht="15" thickBot="1">
      <c r="A3" s="3242"/>
      <c r="B3" s="3242"/>
      <c r="C3" s="3243" t="s">
        <v>2811</v>
      </c>
      <c r="D3" s="3243" t="s">
        <v>2867</v>
      </c>
      <c r="E3" s="3243" t="s">
        <v>2813</v>
      </c>
      <c r="F3" s="3243" t="s">
        <v>2868</v>
      </c>
      <c r="G3" s="3243" t="s">
        <v>2631</v>
      </c>
    </row>
    <row r="4" spans="1:7" ht="1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7"/>
  </cols>
  <sheetData>
    <row r="1" spans="1:6">
      <c r="A1" s="3779" t="s">
        <v>3232</v>
      </c>
      <c r="B1" s="3779"/>
      <c r="C1" s="3779"/>
      <c r="D1" s="3779"/>
      <c r="E1" s="3779"/>
      <c r="F1" s="3780"/>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08">
        <f>基准地价修正!G23</f>
        <v>45517</v>
      </c>
      <c r="B1" s="3197" t="s">
        <v>3370</v>
      </c>
      <c r="C1" s="3198"/>
      <c r="D1" s="3198"/>
      <c r="E1" s="3198"/>
      <c r="F1" s="3198"/>
      <c r="G1" s="3198"/>
      <c r="H1" s="3198"/>
      <c r="I1" s="3198"/>
      <c r="J1" s="3152"/>
      <c r="K1" s="3198" t="s">
        <v>454</v>
      </c>
      <c r="L1" s="3198"/>
      <c r="M1" s="3198"/>
      <c r="N1" s="3198"/>
      <c r="O1" s="3198"/>
      <c r="P1" s="3198"/>
      <c r="Q1" s="3152"/>
      <c r="R1" s="3781" t="s">
        <v>456</v>
      </c>
      <c r="S1" s="3782"/>
      <c r="T1" s="3782"/>
      <c r="U1" s="3782"/>
      <c r="V1" s="3782"/>
      <c r="W1" s="3782"/>
      <c r="X1" s="3152"/>
      <c r="Y1" s="3781" t="s">
        <v>457</v>
      </c>
      <c r="Z1" s="3782"/>
      <c r="AA1" s="3782"/>
      <c r="AB1" s="3782"/>
      <c r="AC1" s="3782"/>
      <c r="AD1" s="3782"/>
    </row>
    <row r="2" spans="1:30" s="3130" customFormat="1" ht="1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3.2">
      <c r="A3" s="3136" t="s">
        <v>2819</v>
      </c>
      <c r="B3" s="3137"/>
      <c r="C3" s="3138"/>
      <c r="D3" s="3138">
        <f>ROUND(AVERAGEIF(D4:D18,"&lt;&gt;0"),2)</f>
        <v>0.73</v>
      </c>
      <c r="E3" s="3138">
        <f t="shared" ref="E3:H3" si="0">ROUND(AVERAGEIF(E4:E18,"&lt;&gt;0"),2)</f>
        <v>0.4</v>
      </c>
      <c r="F3" s="3138">
        <f t="shared" si="0"/>
        <v>0.2</v>
      </c>
      <c r="G3" s="3138">
        <f t="shared" si="0"/>
        <v>0.78</v>
      </c>
      <c r="H3" s="3138">
        <f t="shared" si="0"/>
        <v>0.63</v>
      </c>
      <c r="I3" s="3138">
        <f>F3</f>
        <v>0.2</v>
      </c>
      <c r="J3" s="3139"/>
      <c r="K3" s="3140">
        <f>ROUND(AVERAGEIF(K4:K18,"&lt;&gt;0"),4)</f>
        <v>7.3000000000000001E-3</v>
      </c>
      <c r="L3" s="3141">
        <f t="shared" ref="L3:O3" si="1">ROUND(AVERAGEIF(L4:L18,"&lt;&gt;0"),4)</f>
        <v>4.0000000000000001E-3</v>
      </c>
      <c r="M3" s="3141">
        <f t="shared" si="1"/>
        <v>2E-3</v>
      </c>
      <c r="N3" s="3141">
        <f t="shared" si="1"/>
        <v>7.7999999999999996E-3</v>
      </c>
      <c r="O3" s="3141">
        <f t="shared" si="1"/>
        <v>6.3E-3</v>
      </c>
      <c r="P3" s="3141">
        <f>M3</f>
        <v>2E-3</v>
      </c>
      <c r="Q3" s="3139"/>
      <c r="R3" s="3142">
        <f>ROUND(SUMPRODUCT(PRODUCT(1+K4:K18)),4)</f>
        <v>1.0908</v>
      </c>
      <c r="S3" s="3143">
        <f t="shared" ref="S3:V3" si="2">ROUND(SUMPRODUCT(PRODUCT(1+L4:L18)),4)</f>
        <v>1.0488</v>
      </c>
      <c r="T3" s="3143">
        <f t="shared" si="2"/>
        <v>1.024</v>
      </c>
      <c r="U3" s="3143">
        <f t="shared" si="2"/>
        <v>1.0980000000000001</v>
      </c>
      <c r="V3" s="3143">
        <f t="shared" si="2"/>
        <v>1.0779000000000001</v>
      </c>
      <c r="W3" s="3142">
        <f>T3</f>
        <v>1.024</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3.2">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3.2">
      <c r="A5" s="2204" t="s">
        <v>3373</v>
      </c>
      <c r="B5" s="3164">
        <v>2024</v>
      </c>
      <c r="C5" s="3165">
        <v>2</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1.0804</v>
      </c>
      <c r="S5" s="3170">
        <f>ROUND(IF(项目基本情况!$B$8="出让",SUMPRODUCT(PRODUCT(1+L5:$L$18)),SUMPRODUCT(PRODUCT(1+L5:$L$17))),4)</f>
        <v>1.0471999999999999</v>
      </c>
      <c r="T5" s="3170">
        <f>ROUND(IF(项目基本情况!$B$8="出让",SUMPRODUCT(PRODUCT(1+M5:$M$18)),SUMPRODUCT(PRODUCT(1+M5:$M$17))),4)</f>
        <v>1.0266</v>
      </c>
      <c r="U5" s="3170">
        <f>ROUND(IF(项目基本情况!$B$8="出让",SUMPRODUCT(PRODUCT(1+N5:$N$18)),SUMPRODUCT(PRODUCT(1+N5:$N$17))),4)</f>
        <v>1.0859000000000001</v>
      </c>
      <c r="V5" s="3170">
        <f>ROUND(IF(项目基本情况!$B$8="出让",SUMPRODUCT(PRODUCT(1+O5:$O$18)),SUMPRODUCT(PRODUCT(1+O5:$O$17))),4)</f>
        <v>1.0741000000000001</v>
      </c>
      <c r="W5" s="3170">
        <f>T5</f>
        <v>1.0266</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3.2">
      <c r="A6" s="2204" t="s">
        <v>3374</v>
      </c>
      <c r="B6" s="3164">
        <v>2024</v>
      </c>
      <c r="C6" s="3165">
        <v>1</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1.0804</v>
      </c>
      <c r="S6" s="3170">
        <f>ROUND(IF(项目基本情况!$B$8="出让",SUMPRODUCT(PRODUCT(1+L6:$L$18)),SUMPRODUCT(PRODUCT(1+L6:$L$17))),4)</f>
        <v>1.0471999999999999</v>
      </c>
      <c r="T6" s="3170">
        <f>ROUND(IF(项目基本情况!$B$8="出让",SUMPRODUCT(PRODUCT(1+M6:$M$18)),SUMPRODUCT(PRODUCT(1+M6:$M$17))),4)</f>
        <v>1.0266</v>
      </c>
      <c r="U6" s="3170">
        <f>ROUND(IF(项目基本情况!$B$8="出让",SUMPRODUCT(PRODUCT(1+N6:$N$18)),SUMPRODUCT(PRODUCT(1+N6:$N$17))),4)</f>
        <v>1.0859000000000001</v>
      </c>
      <c r="V6" s="3170">
        <f>ROUND(IF(项目基本情况!$B$8="出让",SUMPRODUCT(PRODUCT(1+O6:$O$18)),SUMPRODUCT(PRODUCT(1+O6:$O$17))),4)</f>
        <v>1.0741000000000001</v>
      </c>
      <c r="W6" s="3170">
        <f t="shared" ref="W6" si="14">T6</f>
        <v>1.0266</v>
      </c>
      <c r="X6" s="3168"/>
      <c r="Y6" s="3171"/>
      <c r="Z6" s="3171"/>
      <c r="AA6" s="3171"/>
      <c r="AB6" s="3171"/>
      <c r="AC6" s="3171"/>
      <c r="AD6" s="3171"/>
    </row>
    <row r="7" spans="1:30" s="3182" customFormat="1" ht="13.2">
      <c r="A7" s="3173" t="s">
        <v>3375</v>
      </c>
      <c r="B7" s="3174">
        <v>2023</v>
      </c>
      <c r="C7" s="3175">
        <v>4</v>
      </c>
      <c r="D7" s="3176">
        <v>0.19</v>
      </c>
      <c r="E7" s="3176">
        <v>0.24</v>
      </c>
      <c r="F7" s="3176">
        <v>-0.16</v>
      </c>
      <c r="G7" s="3176">
        <v>0.17</v>
      </c>
      <c r="H7" s="3177">
        <v>0.61</v>
      </c>
      <c r="I7" s="3178">
        <f>F7</f>
        <v>-0.16</v>
      </c>
      <c r="J7" s="3179"/>
      <c r="K7" s="3180">
        <f t="shared" si="5"/>
        <v>1.9E-3</v>
      </c>
      <c r="L7" s="3181">
        <f t="shared" si="5"/>
        <v>2.3999999999999998E-3</v>
      </c>
      <c r="M7" s="3181">
        <f t="shared" si="5"/>
        <v>-1.6000000000000001E-3</v>
      </c>
      <c r="N7" s="3181">
        <f t="shared" si="5"/>
        <v>1.7000000000000001E-3</v>
      </c>
      <c r="O7" s="3181">
        <f t="shared" si="5"/>
        <v>6.0999999999999995E-3</v>
      </c>
      <c r="P7" s="3181">
        <f t="shared" ref="P7" si="15">M7</f>
        <v>-1.6000000000000001E-3</v>
      </c>
      <c r="Q7" s="3179"/>
      <c r="R7" s="3179">
        <f>ROUND(IF(项目基本情况!$B$8="出让",SUMPRODUCT(PRODUCT(1+K7:$K$18)),SUMPRODUCT(PRODUCT(1+K7:$K$17))),4)</f>
        <v>1.0804</v>
      </c>
      <c r="S7" s="3179">
        <f>ROUND(IF(项目基本情况!$B$8="出让",SUMPRODUCT(PRODUCT(1+L7:$L$18)),SUMPRODUCT(PRODUCT(1+L7:$L$17))),4)</f>
        <v>1.0471999999999999</v>
      </c>
      <c r="T7" s="3179">
        <f>ROUND(IF(项目基本情况!$B$8="出让",SUMPRODUCT(PRODUCT(1+M7:$M$18)),SUMPRODUCT(PRODUCT(1+M7:$M$17))),4)</f>
        <v>1.0266</v>
      </c>
      <c r="U7" s="3179">
        <f>ROUND(IF(项目基本情况!$B$8="出让",SUMPRODUCT(PRODUCT(1+N7:$N$18)),SUMPRODUCT(PRODUCT(1+N7:$N$17))),4)</f>
        <v>1.0859000000000001</v>
      </c>
      <c r="V7" s="3179">
        <f>ROUND(IF(项目基本情况!$B$8="出让",SUMPRODUCT(PRODUCT(1+O7:$O$18)),SUMPRODUCT(PRODUCT(1+O7:$O$17))),4)</f>
        <v>1.0741000000000001</v>
      </c>
      <c r="W7" s="3179">
        <f t="shared" ref="W7" si="16">T7</f>
        <v>1.0266</v>
      </c>
      <c r="X7" s="3179"/>
      <c r="Y7" s="3181"/>
      <c r="Z7" s="3181"/>
      <c r="AA7" s="3181"/>
      <c r="AB7" s="3181"/>
      <c r="AC7" s="3181"/>
      <c r="AD7" s="3181"/>
    </row>
    <row r="8" spans="1:30" s="3172" customFormat="1" ht="13.2">
      <c r="A8" s="3163" t="s">
        <v>3376</v>
      </c>
      <c r="B8" s="3164">
        <v>2023</v>
      </c>
      <c r="C8" s="3165">
        <v>3</v>
      </c>
      <c r="D8" s="3166">
        <v>0.25</v>
      </c>
      <c r="E8" s="3166">
        <v>0.5</v>
      </c>
      <c r="F8" s="3166">
        <v>0.31</v>
      </c>
      <c r="G8" s="3166">
        <v>0.21</v>
      </c>
      <c r="H8" s="3183">
        <v>0.43</v>
      </c>
      <c r="I8" s="3167">
        <f t="shared" si="4"/>
        <v>0.31</v>
      </c>
      <c r="J8" s="3168"/>
      <c r="K8" s="3169">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68"/>
      <c r="R8" s="3170">
        <f>ROUND(IF(项目基本情况!$B$8="出让",SUMPRODUCT(PRODUCT(1+K8:$K$18)),SUMPRODUCT(PRODUCT(1+K8:$K$17))),4)</f>
        <v>1.0783</v>
      </c>
      <c r="S8" s="3170">
        <f>ROUND(IF(项目基本情况!$B$8="出让",SUMPRODUCT(PRODUCT(1+L8:$L$18)),SUMPRODUCT(PRODUCT(1+L8:$L$17))),4)</f>
        <v>1.0447</v>
      </c>
      <c r="T8" s="3170">
        <f>ROUND(IF(项目基本情况!$B$8="出让",SUMPRODUCT(PRODUCT(1+M8:$M$18)),SUMPRODUCT(PRODUCT(1+M8:$M$17))),4)</f>
        <v>1.0282</v>
      </c>
      <c r="U8" s="3170">
        <f>ROUND(IF(项目基本情况!$B$8="出让",SUMPRODUCT(PRODUCT(1+N8:$N$18)),SUMPRODUCT(PRODUCT(1+N8:$N$17))),4)</f>
        <v>1.0841000000000001</v>
      </c>
      <c r="V8" s="3170">
        <f>ROUND(IF(项目基本情况!$B$8="出让",SUMPRODUCT(PRODUCT(1+O8:$O$18)),SUMPRODUCT(PRODUCT(1+O8:$O$17))),4)</f>
        <v>1.0674999999999999</v>
      </c>
      <c r="W8" s="3170">
        <f t="shared" ref="W8:W9" si="23">T8</f>
        <v>1.0282</v>
      </c>
      <c r="X8" s="3168"/>
      <c r="Y8" s="3171"/>
      <c r="Z8" s="3171"/>
      <c r="AA8" s="3171"/>
      <c r="AB8" s="3171"/>
      <c r="AC8" s="3171"/>
      <c r="AD8" s="3171"/>
    </row>
    <row r="9" spans="1:30" s="3172" customFormat="1" ht="13.2">
      <c r="A9" s="3163" t="s">
        <v>3369</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3.2">
      <c r="A10" s="3163" t="s">
        <v>3368</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3.2">
      <c r="A11" s="3163" t="s">
        <v>3367</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3.2">
      <c r="A12" s="3163" t="s">
        <v>3363</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3.2">
      <c r="A13" s="3163" t="s">
        <v>3354</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3.2">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3.2">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3.2">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3.2">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ht="13.8"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5" thickTop="1"/>
    <row r="20" spans="1:30" s="2996" customFormat="1">
      <c r="A20" s="3432" t="s">
        <v>3365</v>
      </c>
    </row>
    <row r="21" spans="1:30" s="2996" customFormat="1">
      <c r="I21" s="3195" t="s">
        <v>2825</v>
      </c>
    </row>
    <row r="22" spans="1:30" s="2996" customFormat="1"/>
    <row r="23" spans="1:30" s="3196" customFormat="1" ht="13.2">
      <c r="B23" s="3197" t="s">
        <v>3371</v>
      </c>
      <c r="C23" s="3198"/>
      <c r="D23" s="3198"/>
      <c r="E23" s="3198"/>
      <c r="F23" s="3198"/>
      <c r="G23" s="3198"/>
      <c r="H23" s="3198"/>
      <c r="I23" s="3198"/>
      <c r="J23" s="3152"/>
      <c r="K23" s="3198" t="s">
        <v>2826</v>
      </c>
      <c r="L23" s="3198"/>
      <c r="M23" s="3198"/>
      <c r="N23" s="3198"/>
      <c r="O23" s="3198"/>
      <c r="P23" s="3198"/>
      <c r="Q23" s="3152"/>
      <c r="R23" s="3781" t="s">
        <v>2827</v>
      </c>
      <c r="S23" s="3782"/>
      <c r="T23" s="3782"/>
      <c r="U23" s="3782"/>
      <c r="V23" s="3782"/>
      <c r="W23" s="3782"/>
      <c r="X23" s="3152"/>
      <c r="Y23" s="3781" t="s">
        <v>2828</v>
      </c>
      <c r="Z23" s="3782"/>
      <c r="AA23" s="3782"/>
      <c r="AB23" s="3782"/>
      <c r="AC23" s="3782"/>
      <c r="AD23" s="3782"/>
    </row>
    <row r="24" spans="1:30" s="3130" customFormat="1" ht="1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3.2">
      <c r="A25" s="3136" t="s">
        <v>2834</v>
      </c>
      <c r="B25" s="3137"/>
      <c r="C25" s="3138"/>
      <c r="D25" s="3138"/>
      <c r="E25" s="3138">
        <f t="shared" ref="E25:G25" si="32">ROUND(AVERAGEIF(E26:E40,"&lt;&gt;0"),2)</f>
        <v>0.39</v>
      </c>
      <c r="F25" s="3138">
        <f t="shared" si="32"/>
        <v>0.28000000000000003</v>
      </c>
      <c r="G25" s="3138">
        <f t="shared" si="32"/>
        <v>0.67</v>
      </c>
      <c r="H25" s="3138"/>
      <c r="I25" s="3138">
        <f>F25</f>
        <v>0.28000000000000003</v>
      </c>
      <c r="J25" s="3139"/>
      <c r="K25" s="3140"/>
      <c r="L25" s="3141">
        <f t="shared" ref="L25:N25" si="33">ROUND(AVERAGEIF(L26:L40,"&lt;&gt;0"),4)</f>
        <v>3.8999999999999998E-3</v>
      </c>
      <c r="M25" s="3141">
        <f t="shared" si="33"/>
        <v>2.8E-3</v>
      </c>
      <c r="N25" s="3141">
        <f t="shared" si="33"/>
        <v>6.7000000000000002E-3</v>
      </c>
      <c r="O25" s="3141"/>
      <c r="P25" s="3141">
        <f>M25</f>
        <v>2.8E-3</v>
      </c>
      <c r="Q25" s="3139"/>
      <c r="R25" s="3142"/>
      <c r="S25" s="3143">
        <f>ROUND(SUMPRODUCT(PRODUCT(1+L26:L40)),4)</f>
        <v>1.0476000000000001</v>
      </c>
      <c r="T25" s="3143">
        <f t="shared" ref="T25:U25" si="34">ROUND(SUMPRODUCT(PRODUCT(1+M26:M40)),4)</f>
        <v>1.0346</v>
      </c>
      <c r="U25" s="3143">
        <f t="shared" si="34"/>
        <v>1.0831999999999999</v>
      </c>
      <c r="V25" s="3143"/>
      <c r="W25" s="3142">
        <f>T25</f>
        <v>1.0346</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3.2">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3.2">
      <c r="A27" s="2204" t="s">
        <v>3373</v>
      </c>
      <c r="B27" s="3164">
        <v>2024</v>
      </c>
      <c r="C27" s="3165">
        <v>2</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1.0439000000000001</v>
      </c>
      <c r="T27" s="3170">
        <f>ROUND(IF(项目基本情况!$B$8="出让",SUMPRODUCT(PRODUCT(1+M27:M$40)),SUMPRODUCT(PRODUCT(1+M27:M$39))),4)</f>
        <v>1.0297000000000001</v>
      </c>
      <c r="U27" s="3170">
        <f>ROUND(IF(项目基本情况!$B$8="出让",SUMPRODUCT(PRODUCT(1+N27:N$40)),SUMPRODUCT(PRODUCT(1+N27:N$39))),4)</f>
        <v>1.0727</v>
      </c>
      <c r="V27" s="3170"/>
      <c r="W27" s="3170">
        <f>T27</f>
        <v>1.0297000000000001</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3.2">
      <c r="A28" s="2204" t="s">
        <v>3374</v>
      </c>
      <c r="B28" s="3164">
        <v>2024</v>
      </c>
      <c r="C28" s="3165">
        <v>1</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1.0439000000000001</v>
      </c>
      <c r="T28" s="3170">
        <f>ROUND(IF(项目基本情况!$B$8="出让",SUMPRODUCT(PRODUCT(1+M28:M$40)),SUMPRODUCT(PRODUCT(1+M28:M$39))),4)</f>
        <v>1.0297000000000001</v>
      </c>
      <c r="U28" s="3170">
        <f>ROUND(IF(项目基本情况!$B$8="出让",SUMPRODUCT(PRODUCT(1+N28:N$40)),SUMPRODUCT(PRODUCT(1+N28:N$39))),4)</f>
        <v>1.0727</v>
      </c>
      <c r="V28" s="3170"/>
      <c r="W28" s="3170">
        <f t="shared" ref="W28" si="43">T28</f>
        <v>1.0297000000000001</v>
      </c>
      <c r="X28" s="3168"/>
      <c r="Y28" s="3171"/>
      <c r="Z28" s="3199"/>
      <c r="AA28" s="3201"/>
      <c r="AB28" s="3171"/>
      <c r="AC28" s="3200"/>
      <c r="AD28" s="3171"/>
    </row>
    <row r="29" spans="1:30" s="3182" customFormat="1" ht="13.2">
      <c r="A29" s="3173" t="s">
        <v>3377</v>
      </c>
      <c r="B29" s="3174">
        <v>2023</v>
      </c>
      <c r="C29" s="3175">
        <v>4</v>
      </c>
      <c r="D29" s="3176"/>
      <c r="E29" s="3176">
        <v>7.0000000000000007E-2</v>
      </c>
      <c r="F29" s="3176">
        <v>0.09</v>
      </c>
      <c r="G29" s="3176">
        <v>0.03</v>
      </c>
      <c r="H29" s="3177"/>
      <c r="I29" s="3178">
        <f t="shared" si="38"/>
        <v>0.09</v>
      </c>
      <c r="J29" s="3179"/>
      <c r="K29" s="3180"/>
      <c r="L29" s="3181">
        <f t="shared" si="37"/>
        <v>7.000000000000001E-4</v>
      </c>
      <c r="M29" s="3181">
        <f t="shared" si="37"/>
        <v>8.9999999999999998E-4</v>
      </c>
      <c r="N29" s="3181">
        <f t="shared" si="37"/>
        <v>2.9999999999999997E-4</v>
      </c>
      <c r="O29" s="3181"/>
      <c r="P29" s="3181">
        <f t="shared" ref="P29" si="44">M29</f>
        <v>8.9999999999999998E-4</v>
      </c>
      <c r="Q29" s="3179"/>
      <c r="R29" s="3179"/>
      <c r="S29" s="3179">
        <f>ROUND(IF(项目基本情况!$B$8="出让",SUMPRODUCT(PRODUCT(1+L29:L$40)),SUMPRODUCT(PRODUCT(1+L29:L$39))),4)</f>
        <v>1.0439000000000001</v>
      </c>
      <c r="T29" s="3179">
        <f>ROUND(IF(项目基本情况!$B$8="出让",SUMPRODUCT(PRODUCT(1+M29:M$40)),SUMPRODUCT(PRODUCT(1+M29:M$39))),4)</f>
        <v>1.0297000000000001</v>
      </c>
      <c r="U29" s="3179">
        <f>ROUND(IF(项目基本情况!$B$8="出让",SUMPRODUCT(PRODUCT(1+N29:N$40)),SUMPRODUCT(PRODUCT(1+N29:N$39))),4)</f>
        <v>1.0727</v>
      </c>
      <c r="V29" s="3179"/>
      <c r="W29" s="3179">
        <f t="shared" ref="W29" si="45">T29</f>
        <v>1.0297000000000001</v>
      </c>
      <c r="X29" s="3179"/>
      <c r="Y29" s="3181"/>
      <c r="Z29" s="3202"/>
      <c r="AA29" s="3203"/>
      <c r="AB29" s="3181"/>
      <c r="AC29" s="3204"/>
      <c r="AD29" s="3181"/>
    </row>
    <row r="30" spans="1:30" s="3172" customFormat="1" ht="13.2">
      <c r="A30" s="3163" t="s">
        <v>3376</v>
      </c>
      <c r="B30" s="3164">
        <v>2023</v>
      </c>
      <c r="C30" s="3165">
        <v>3</v>
      </c>
      <c r="D30" s="3166"/>
      <c r="E30" s="3166">
        <v>0.35</v>
      </c>
      <c r="F30" s="3166">
        <v>0.17</v>
      </c>
      <c r="G30" s="3166">
        <v>0.52</v>
      </c>
      <c r="H30" s="3183"/>
      <c r="I30" s="3167">
        <f t="shared" si="36"/>
        <v>0.17</v>
      </c>
      <c r="J30" s="3168"/>
      <c r="K30" s="3169"/>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68"/>
      <c r="R30" s="3170"/>
      <c r="S30" s="3170">
        <f>ROUND(IF(项目基本情况!$B$8="出让",SUMPRODUCT(PRODUCT(1+L30:L$40)),SUMPRODUCT(PRODUCT(1+L30:L$39))),4)</f>
        <v>1.0431999999999999</v>
      </c>
      <c r="T30" s="3170">
        <f>ROUND(IF(项目基本情况!$B$8="出让",SUMPRODUCT(PRODUCT(1+M30:M$40)),SUMPRODUCT(PRODUCT(1+M30:M$39))),4)</f>
        <v>1.0286999999999999</v>
      </c>
      <c r="U30" s="3170">
        <f>ROUND(IF(项目基本情况!$B$8="出让",SUMPRODUCT(PRODUCT(1+N30:N$40)),SUMPRODUCT(PRODUCT(1+N30:N$39))),4)</f>
        <v>1.0723</v>
      </c>
      <c r="V30" s="3170"/>
      <c r="W30" s="3170">
        <f t="shared" ref="W30:W32" si="50">T30</f>
        <v>1.0286999999999999</v>
      </c>
      <c r="X30" s="3168"/>
      <c r="Y30" s="3171"/>
      <c r="Z30" s="3199"/>
      <c r="AA30" s="3201"/>
      <c r="AB30" s="3171"/>
      <c r="AC30" s="3200"/>
      <c r="AD30" s="3171"/>
    </row>
    <row r="31" spans="1:30" s="3172" customFormat="1" ht="13.2">
      <c r="A31" s="3163" t="s">
        <v>3372</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3.2">
      <c r="A32" s="3163" t="s">
        <v>3368</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3.2">
      <c r="A33" s="3163" t="s">
        <v>3367</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3.2">
      <c r="A34" s="3163" t="s">
        <v>3364</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3.2">
      <c r="A35" s="3163" t="s">
        <v>3354</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3.2">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3.2">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3.2">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3.2">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ht="13.8"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5" thickTop="1"/>
    <row r="42" spans="1:30">
      <c r="A42" s="343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1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1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9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45517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08">
        <v>45159</v>
      </c>
      <c r="D13" s="2809">
        <v>3.45</v>
      </c>
      <c r="E13" s="2809">
        <f>D13</f>
        <v>3.45</v>
      </c>
      <c r="F13" s="2809">
        <f>D13</f>
        <v>3.45</v>
      </c>
      <c r="G13" s="2809">
        <f>D13</f>
        <v>3.45</v>
      </c>
      <c r="H13" s="280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03"/>
      <c r="C14" s="2805">
        <v>45097</v>
      </c>
      <c r="D14" s="2804">
        <v>3.55</v>
      </c>
      <c r="E14" s="2804">
        <f>D14</f>
        <v>3.55</v>
      </c>
      <c r="F14" s="2804">
        <f>D14</f>
        <v>3.55</v>
      </c>
      <c r="G14" s="2804">
        <f>D14</f>
        <v>3.55</v>
      </c>
      <c r="H14" s="2804">
        <v>4.2</v>
      </c>
      <c r="I14" s="2809"/>
      <c r="J14" s="280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03"/>
      <c r="C15" s="2805">
        <v>44795</v>
      </c>
      <c r="D15" s="2804">
        <v>3.65</v>
      </c>
      <c r="E15" s="2804">
        <v>3.65</v>
      </c>
      <c r="F15" s="2804">
        <v>3.65</v>
      </c>
      <c r="G15" s="2804">
        <v>3.65</v>
      </c>
      <c r="H15" s="2804">
        <v>4.3</v>
      </c>
      <c r="I15" s="2809"/>
      <c r="J15" s="280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03"/>
      <c r="C16" s="2805">
        <v>44701</v>
      </c>
      <c r="D16" s="2804">
        <v>3.7</v>
      </c>
      <c r="E16" s="2804">
        <f>D16</f>
        <v>3.7</v>
      </c>
      <c r="F16" s="2804">
        <f>D16</f>
        <v>3.7</v>
      </c>
      <c r="G16" s="2804">
        <f>D16</f>
        <v>3.7</v>
      </c>
      <c r="H16" s="2804">
        <v>4.45</v>
      </c>
      <c r="I16" s="2809"/>
      <c r="J16" s="280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03"/>
      <c r="C17" s="2805">
        <v>44581</v>
      </c>
      <c r="D17" s="2804">
        <v>3.7</v>
      </c>
      <c r="E17" s="2804">
        <f>D17</f>
        <v>3.7</v>
      </c>
      <c r="F17" s="2804">
        <f>D17</f>
        <v>3.7</v>
      </c>
      <c r="G17" s="2804">
        <f>D17</f>
        <v>3.7</v>
      </c>
      <c r="H17" s="2804">
        <v>4.5999999999999996</v>
      </c>
      <c r="I17" s="2809"/>
      <c r="J17" s="280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5.6">
      <c r="A19" s="1284"/>
      <c r="B19" s="2804"/>
      <c r="C19" s="2805">
        <v>43941</v>
      </c>
      <c r="D19" s="2804">
        <v>3.85</v>
      </c>
      <c r="E19" s="2804">
        <v>3.85</v>
      </c>
      <c r="F19" s="2804">
        <v>3.85</v>
      </c>
      <c r="G19" s="2804">
        <v>3.85</v>
      </c>
      <c r="H19" s="2804">
        <v>4.6500000000000004</v>
      </c>
      <c r="I19" s="2804"/>
      <c r="J19" s="280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04"/>
      <c r="C20" s="2805">
        <v>43881</v>
      </c>
      <c r="D20" s="2804">
        <v>4.05</v>
      </c>
      <c r="E20" s="2804">
        <v>4.05</v>
      </c>
      <c r="F20" s="2804">
        <v>4.05</v>
      </c>
      <c r="G20" s="2804">
        <v>4.05</v>
      </c>
      <c r="H20" s="2804">
        <v>4.75</v>
      </c>
      <c r="I20" s="2804"/>
      <c r="J20" s="280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04"/>
      <c r="C21" s="2805">
        <v>43789</v>
      </c>
      <c r="D21" s="2804">
        <v>4.1500000000000004</v>
      </c>
      <c r="E21" s="2804">
        <v>4.1500000000000004</v>
      </c>
      <c r="F21" s="2804">
        <v>4.1500000000000004</v>
      </c>
      <c r="G21" s="2804">
        <v>4.1500000000000004</v>
      </c>
      <c r="H21" s="2804">
        <v>4.8</v>
      </c>
      <c r="I21" s="2804"/>
      <c r="J21" s="280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04"/>
      <c r="C22" s="2805">
        <v>43728</v>
      </c>
      <c r="D22" s="2804">
        <v>4.2</v>
      </c>
      <c r="E22" s="2804">
        <v>4.2</v>
      </c>
      <c r="F22" s="2804">
        <v>4.2</v>
      </c>
      <c r="G22" s="2804">
        <v>4.2</v>
      </c>
      <c r="H22" s="2804">
        <v>4.8499999999999996</v>
      </c>
      <c r="I22" s="2804"/>
      <c r="J22" s="280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10"/>
      <c r="B23" s="2803" t="s">
        <v>2310</v>
      </c>
      <c r="C23" s="2806">
        <v>43697</v>
      </c>
      <c r="D23" s="2807">
        <v>4.25</v>
      </c>
      <c r="E23" s="2807">
        <v>4.25</v>
      </c>
      <c r="F23" s="2807">
        <v>4.25</v>
      </c>
      <c r="G23" s="2807">
        <v>4.25</v>
      </c>
      <c r="H23" s="2807">
        <v>4.8499999999999996</v>
      </c>
      <c r="I23" s="2807"/>
      <c r="J23" s="280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11"/>
      <c r="C24" s="2812">
        <v>42301</v>
      </c>
      <c r="D24" s="2813">
        <v>4.3499999999999996</v>
      </c>
      <c r="E24" s="2813">
        <v>4.3499999999999996</v>
      </c>
      <c r="F24" s="2813">
        <v>4.75</v>
      </c>
      <c r="G24" s="2813">
        <v>4.75</v>
      </c>
      <c r="H24" s="2813">
        <v>4.9000000000000004</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6">
      <c r="A3" s="3466"/>
      <c r="B3" s="3466"/>
      <c r="C3" s="3466"/>
      <c r="D3" s="854" t="s">
        <v>925</v>
      </c>
      <c r="E3" s="854" t="s">
        <v>931</v>
      </c>
      <c r="F3" s="854" t="s">
        <v>925</v>
      </c>
      <c r="G3" s="854" t="s">
        <v>926</v>
      </c>
      <c r="H3" s="854" t="s">
        <v>925</v>
      </c>
      <c r="I3" s="854" t="s">
        <v>926</v>
      </c>
    </row>
    <row r="4" spans="1:9" ht="15">
      <c r="A4" s="1504" t="str">
        <f>项目基本情况!S2</f>
        <v>北京市房地产</v>
      </c>
      <c r="B4" s="854">
        <f>项目基本情况!C17</f>
        <v>55.9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6">
      <c r="A6" s="3465" t="str">
        <f>结果表!A120</f>
        <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6">
      <c r="A8" s="3465" t="str">
        <f>结果表!A122</f>
        <v/>
      </c>
      <c r="B8" s="3465"/>
      <c r="C8" s="3465"/>
      <c r="D8" s="3465" t="e">
        <f ca="1">结果表!D122</f>
        <v>#REF!</v>
      </c>
      <c r="E8" s="3465"/>
      <c r="F8" s="3465"/>
      <c r="G8" s="3465"/>
      <c r="H8" s="3465"/>
      <c r="I8" s="3465"/>
    </row>
    <row r="9" spans="1:9" ht="15">
      <c r="A9" s="3466" t="s">
        <v>927</v>
      </c>
      <c r="B9" s="3466"/>
      <c r="C9" s="3466"/>
      <c r="D9" s="3466" t="e">
        <f ca="1">结果表!D123</f>
        <v>#REF!</v>
      </c>
      <c r="E9" s="3466"/>
      <c r="F9" s="3466"/>
      <c r="G9" s="3466"/>
      <c r="H9" s="3466"/>
      <c r="I9" s="3466"/>
    </row>
    <row r="10" spans="1:9" ht="15.6">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6">
      <c r="A12" s="3465" t="str">
        <f>结果表!A126</f>
        <v/>
      </c>
      <c r="B12" s="3465"/>
      <c r="C12" s="3465"/>
      <c r="D12" s="3465" t="str">
        <f>结果表!D126</f>
        <v>——</v>
      </c>
      <c r="E12" s="3465"/>
      <c r="F12" s="3465"/>
      <c r="G12" s="3465"/>
      <c r="H12" s="3465"/>
      <c r="I12" s="3465"/>
    </row>
    <row r="13" spans="1:9" ht="15.6" thickBot="1">
      <c r="A13" s="3463" t="s">
        <v>927</v>
      </c>
      <c r="B13" s="3463"/>
      <c r="C13" s="3463"/>
      <c r="D13" s="3463" t="e">
        <f>结果表!D127</f>
        <v>#VALUE!</v>
      </c>
      <c r="E13" s="3463"/>
      <c r="F13" s="3463"/>
      <c r="G13" s="3463"/>
      <c r="H13" s="3463"/>
      <c r="I13" s="3463"/>
    </row>
    <row r="14" spans="1:9" ht="14.4" thickTop="1">
      <c r="A14" s="3464" t="s">
        <v>932</v>
      </c>
      <c r="B14" s="3464"/>
      <c r="C14" s="3464"/>
      <c r="D14" s="3464"/>
      <c r="E14" s="3464"/>
      <c r="F14" s="3464"/>
      <c r="G14" s="3464"/>
      <c r="H14" s="3464"/>
      <c r="I14" s="3464"/>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78" t="s">
        <v>949</v>
      </c>
      <c r="B1" s="3478"/>
      <c r="C1" s="3478"/>
      <c r="D1" s="3478"/>
    </row>
    <row r="2" spans="1:4" ht="17.399999999999999">
      <c r="A2" s="3479" t="s">
        <v>933</v>
      </c>
      <c r="B2" s="3479"/>
      <c r="C2" s="3479"/>
      <c r="D2" s="3479"/>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79" t="s">
        <v>939</v>
      </c>
      <c r="B6" s="3479"/>
      <c r="C6" s="3479"/>
      <c r="D6" s="3479"/>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80" t="s">
        <v>942</v>
      </c>
      <c r="B11" s="3472"/>
      <c r="C11" s="3472"/>
      <c r="D11" s="3472"/>
    </row>
    <row r="12" spans="1:4" ht="15.6">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2" t="str">
        <f>IF(项目基本情况!B8="抵押","3.抵押双方在办理抵押登记手续时，应使用本公司出具的正式《房地产评估报告》，特提醒报告使用者注意。","——")</f>
        <v>——</v>
      </c>
      <c r="B13" s="3477"/>
      <c r="C13" s="3477"/>
      <c r="D13" s="3477"/>
    </row>
    <row r="14" spans="1:4" ht="15.75" customHeight="1">
      <c r="A14" s="3472" t="str">
        <f>IF(项目基本情况!B8="抵押","4.本次评估估价师所知悉的法定优先受偿款情况说明如下：","——")</f>
        <v>——</v>
      </c>
      <c r="B14" s="3477"/>
      <c r="C14" s="3477"/>
      <c r="D14" s="3477"/>
    </row>
    <row r="15" spans="1:4" ht="42" customHeight="1">
      <c r="A15" s="3472" t="str">
        <f>IF(项目基本情况!B8="抵押","（1）"&amp;CONCATENATE(项目基本情况!L20,项目基本情况!L21,项目基本情况!L22),"——")</f>
        <v>——</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86" t="s">
        <v>956</v>
      </c>
      <c r="B15" s="3481" t="s">
        <v>109</v>
      </c>
      <c r="C15" s="3482"/>
    </row>
    <row r="16" spans="1:7" ht="14.4">
      <c r="A16" s="3487"/>
      <c r="B16" s="3481" t="s">
        <v>42</v>
      </c>
      <c r="C16" s="3482"/>
    </row>
    <row r="17" spans="1:3" ht="14.4">
      <c r="A17" s="3487"/>
      <c r="B17" s="3484" t="s">
        <v>957</v>
      </c>
      <c r="C17" s="1531" t="s">
        <v>956</v>
      </c>
    </row>
    <row r="18" spans="1:3" ht="14.4">
      <c r="A18" s="3487"/>
      <c r="B18" s="3484"/>
      <c r="C18" s="1531" t="s">
        <v>958</v>
      </c>
    </row>
    <row r="19" spans="1:3" ht="14.4">
      <c r="A19" s="3487"/>
      <c r="B19" s="3484"/>
      <c r="C19" s="1531" t="s">
        <v>959</v>
      </c>
    </row>
    <row r="20" spans="1:3" ht="14.4">
      <c r="A20" s="3488"/>
      <c r="B20" s="3483" t="s">
        <v>960</v>
      </c>
      <c r="C20" s="3482"/>
    </row>
    <row r="21" spans="1:3" ht="14.4">
      <c r="A21" s="1532" t="s">
        <v>961</v>
      </c>
      <c r="B21" s="1533"/>
      <c r="C21" s="1534"/>
    </row>
    <row r="22" spans="1:3" ht="14.4">
      <c r="A22" s="3485" t="s">
        <v>962</v>
      </c>
      <c r="B22" s="3483" t="s">
        <v>963</v>
      </c>
      <c r="C22" s="3482"/>
    </row>
    <row r="23" spans="1:3" ht="14.4">
      <c r="A23" s="3485"/>
      <c r="B23" s="3483" t="s">
        <v>964</v>
      </c>
      <c r="C23" s="3482"/>
    </row>
    <row r="24" spans="1:3" ht="14.4">
      <c r="A24" s="3485"/>
      <c r="B24" s="3483" t="s">
        <v>965</v>
      </c>
      <c r="C24" s="3482"/>
    </row>
    <row r="25" spans="1:3" ht="14.4">
      <c r="A25" s="3485"/>
      <c r="B25" s="3484" t="s">
        <v>966</v>
      </c>
      <c r="C25" s="1531" t="s">
        <v>967</v>
      </c>
    </row>
    <row r="26" spans="1:3" ht="14.4">
      <c r="A26" s="3485"/>
      <c r="B26" s="3484"/>
      <c r="C26" s="1531" t="s">
        <v>968</v>
      </c>
    </row>
    <row r="27" spans="1:3" ht="14.4">
      <c r="A27" s="3485"/>
      <c r="B27" s="3484"/>
      <c r="C27" s="1531" t="s">
        <v>969</v>
      </c>
    </row>
    <row r="28" spans="1:3" ht="14.4">
      <c r="A28" s="3485"/>
      <c r="B28" s="3484"/>
      <c r="C28" s="1531" t="s">
        <v>970</v>
      </c>
    </row>
    <row r="29" spans="1:3" ht="14.4">
      <c r="A29" s="3485"/>
      <c r="B29" s="3484"/>
      <c r="C29" s="1531" t="s">
        <v>971</v>
      </c>
    </row>
    <row r="30" spans="1:3" ht="14.4">
      <c r="A30" s="3485"/>
      <c r="B30" s="3484"/>
      <c r="C30" s="1531" t="s">
        <v>972</v>
      </c>
    </row>
    <row r="31" spans="1:3" ht="14.4">
      <c r="A31" s="3485"/>
      <c r="B31" s="3484"/>
      <c r="C31" s="1531" t="s">
        <v>973</v>
      </c>
    </row>
    <row r="32" spans="1:3" ht="14.4">
      <c r="A32" s="3485"/>
      <c r="B32" s="3484"/>
      <c r="C32" s="1531" t="s">
        <v>974</v>
      </c>
    </row>
    <row r="33" spans="1:3" ht="14.4">
      <c r="A33" s="3485"/>
      <c r="B33" s="3484"/>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45525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2437</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2"/>
      <c r="E18" s="3491" t="s">
        <v>2162</v>
      </c>
      <c r="F18" s="3490"/>
      <c r="G18" s="349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2024-08-21T12:40:24Z</dcterms:modified>
</cp:coreProperties>
</file>