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state="hidden" r:id="rId22"/>
    <sheet name="收益法（汇总）" sheetId="70" r:id="rId23"/>
    <sheet name="收益法（商业街）" sheetId="15" r:id="rId24"/>
    <sheet name="收益法 (元)" sheetId="67" state="hidden" r:id="rId25"/>
    <sheet name="酒店收入计算" sheetId="66" state="hidden" r:id="rId26"/>
    <sheet name="比较法-住宅" sheetId="21" state="hidden" r:id="rId27"/>
    <sheet name="收益法（商场）" sheetId="84" r:id="rId28"/>
    <sheet name="收益法 (loft办公)" sheetId="80" r:id="rId29"/>
    <sheet name="收益法（公寓）" sheetId="81" r:id="rId30"/>
    <sheet name="收益法（地下车库）" sheetId="83" r:id="rId31"/>
    <sheet name="收益法（地下商业）" sheetId="82"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比较法-商业" sheetId="33" r:id="rId49"/>
    <sheet name="实测整理" sheetId="77" r:id="rId50"/>
    <sheet name="土地检索数据" sheetId="78" r:id="rId51"/>
    <sheet name="已售清单" sheetId="79" r:id="rId52"/>
    <sheet name="租金情况" sheetId="85" r:id="rId53"/>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48" hidden="1">'比较法-商业'!$A$1:$L$49</definedName>
    <definedName name="_xlnm._FilterDatabase" localSheetId="26"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(loft办公)'!$A$1:$AK$69</definedName>
    <definedName name="_xlnm.Print_Area" localSheetId="24">'收益法 (元)'!$A$1:$AK$69</definedName>
    <definedName name="_xlnm.Print_Area" localSheetId="30">'收益法（地下车库）'!$A$1:$AK$69</definedName>
    <definedName name="_xlnm.Print_Area" localSheetId="31">'收益法（地下商业）'!$A$1:$AK$69</definedName>
    <definedName name="_xlnm.Print_Area" localSheetId="29">'收益法（公寓）'!$A$1:$AK$69</definedName>
    <definedName name="_xlnm.Print_Area" localSheetId="27">'收益法（商场）'!$A$1:$AK$69</definedName>
    <definedName name="_xlnm.Print_Area" localSheetId="23">'收益法（商业街）'!$A$1:$AK$69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U10" i="1" l="1"/>
  <c r="B2" i="1"/>
  <c r="C7" i="33"/>
  <c r="C58" i="33"/>
  <c r="D58" i="33"/>
  <c r="E58" i="33"/>
  <c r="F58" i="33"/>
  <c r="G58" i="33"/>
  <c r="H58" i="33"/>
  <c r="I58" i="33"/>
  <c r="J58" i="33"/>
  <c r="K58" i="33"/>
  <c r="L58" i="33"/>
  <c r="M58" i="33"/>
  <c r="N58" i="33"/>
  <c r="O58" i="33"/>
  <c r="F7" i="33"/>
  <c r="AA7" i="33"/>
  <c r="R47" i="33"/>
  <c r="F8" i="33"/>
  <c r="AA8" i="33"/>
  <c r="C63" i="33"/>
  <c r="F9" i="33"/>
  <c r="AA9" i="33"/>
  <c r="F10" i="33"/>
  <c r="AA10" i="33"/>
  <c r="F11" i="33"/>
  <c r="AA11" i="33"/>
  <c r="B70" i="33"/>
  <c r="F12" i="33"/>
  <c r="AA12" i="33"/>
  <c r="B72" i="33"/>
  <c r="F13" i="33"/>
  <c r="AA13" i="33"/>
  <c r="B74" i="33"/>
  <c r="F14" i="33"/>
  <c r="AA14" i="33"/>
  <c r="F15" i="33"/>
  <c r="AA15" i="33"/>
  <c r="F17" i="33"/>
  <c r="AA17" i="33"/>
  <c r="F19" i="33"/>
  <c r="AA19" i="33"/>
  <c r="F21" i="33"/>
  <c r="AA21" i="33"/>
  <c r="F23" i="33"/>
  <c r="AA23" i="33"/>
  <c r="F25" i="33"/>
  <c r="AA25" i="33"/>
  <c r="B88" i="33"/>
  <c r="F26" i="33"/>
  <c r="AA26" i="33"/>
  <c r="B90" i="33"/>
  <c r="F27" i="33"/>
  <c r="AA27" i="33"/>
  <c r="B92" i="33"/>
  <c r="F28" i="33"/>
  <c r="AA28" i="33"/>
  <c r="B94" i="33"/>
  <c r="F29" i="33"/>
  <c r="AA29" i="33"/>
  <c r="B96" i="33"/>
  <c r="F30" i="33"/>
  <c r="AA30" i="33"/>
  <c r="B98" i="33"/>
  <c r="F31" i="33"/>
  <c r="AA3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F42" i="33"/>
  <c r="AA42" i="33"/>
  <c r="F43" i="33"/>
  <c r="AA43" i="33"/>
  <c r="B126" i="33"/>
  <c r="F44" i="33"/>
  <c r="AA44" i="33"/>
  <c r="B128" i="33"/>
  <c r="F45" i="33"/>
  <c r="AA45" i="33"/>
  <c r="B130" i="33"/>
  <c r="F46" i="33"/>
  <c r="AA46" i="33"/>
  <c r="R48" i="33"/>
  <c r="H7" i="33"/>
  <c r="AB7" i="33"/>
  <c r="T4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J7" i="33"/>
  <c r="AC7" i="33"/>
  <c r="V4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J19" i="77"/>
  <c r="J25" i="77"/>
  <c r="J20" i="77"/>
  <c r="J21" i="77"/>
  <c r="J22" i="77"/>
  <c r="J26" i="77"/>
  <c r="J27" i="77"/>
  <c r="G19" i="77"/>
  <c r="G20" i="77"/>
  <c r="G21" i="77"/>
  <c r="G22" i="77"/>
  <c r="G23" i="77"/>
  <c r="G24" i="77"/>
  <c r="G25" i="77"/>
  <c r="N14" i="1"/>
  <c r="C26" i="77"/>
  <c r="C22" i="77"/>
  <c r="C21" i="77"/>
  <c r="C20" i="77"/>
  <c r="C19" i="77"/>
  <c r="G11" i="79"/>
  <c r="G19" i="79"/>
  <c r="G37" i="79"/>
  <c r="H59" i="79"/>
  <c r="G3" i="79"/>
  <c r="G12" i="79"/>
  <c r="G30" i="79"/>
  <c r="H58" i="79"/>
  <c r="D57" i="79"/>
  <c r="C15" i="77"/>
  <c r="H3" i="77"/>
  <c r="I3" i="77"/>
  <c r="Q72" i="84"/>
  <c r="Q59" i="84"/>
  <c r="K59" i="84"/>
  <c r="P74" i="84"/>
  <c r="F59" i="84"/>
  <c r="Q58" i="84"/>
  <c r="Q51" i="84"/>
  <c r="J50" i="84"/>
  <c r="M47" i="84"/>
  <c r="D46" i="84"/>
  <c r="F33" i="84"/>
  <c r="F61" i="84"/>
  <c r="F31" i="84"/>
  <c r="F23" i="84"/>
  <c r="D23" i="84"/>
  <c r="F21" i="84"/>
  <c r="F20" i="84"/>
  <c r="M19" i="84"/>
  <c r="F18" i="84"/>
  <c r="M17" i="84"/>
  <c r="F17" i="84"/>
  <c r="F15" i="84"/>
  <c r="Y11" i="1"/>
  <c r="S20" i="3"/>
  <c r="F24" i="6"/>
  <c r="P61" i="84"/>
  <c r="D24" i="84"/>
  <c r="D22" i="84"/>
  <c r="AN18" i="3"/>
  <c r="Y7" i="1"/>
  <c r="Y8" i="1"/>
  <c r="Y9" i="1"/>
  <c r="Y10" i="1"/>
  <c r="Y6" i="1"/>
  <c r="Q72" i="83"/>
  <c r="Q59" i="83"/>
  <c r="K59" i="83"/>
  <c r="P74" i="83"/>
  <c r="F59" i="83"/>
  <c r="Q58" i="83"/>
  <c r="Q51" i="83"/>
  <c r="J50" i="83"/>
  <c r="M47" i="83"/>
  <c r="D46" i="83"/>
  <c r="F33" i="83"/>
  <c r="F61" i="83"/>
  <c r="F31" i="83"/>
  <c r="F23" i="83"/>
  <c r="D23" i="83"/>
  <c r="F21" i="83"/>
  <c r="F20" i="83"/>
  <c r="M19" i="83"/>
  <c r="F18" i="83"/>
  <c r="M17" i="83"/>
  <c r="F17" i="83"/>
  <c r="F15" i="83"/>
  <c r="Q72" i="82"/>
  <c r="Q59" i="82"/>
  <c r="K59" i="82"/>
  <c r="P74" i="82"/>
  <c r="F59" i="82"/>
  <c r="Q58" i="82"/>
  <c r="Q51" i="82"/>
  <c r="J50" i="82"/>
  <c r="M47" i="82"/>
  <c r="D46" i="82"/>
  <c r="F33" i="82"/>
  <c r="F61" i="82"/>
  <c r="F31" i="82"/>
  <c r="F23" i="82"/>
  <c r="D23" i="82"/>
  <c r="F21" i="82"/>
  <c r="F20" i="82"/>
  <c r="M19" i="82"/>
  <c r="F18" i="82"/>
  <c r="M17" i="82"/>
  <c r="F17" i="82"/>
  <c r="F15" i="82"/>
  <c r="Q72" i="81"/>
  <c r="Q59" i="81"/>
  <c r="K59" i="81"/>
  <c r="P74" i="81"/>
  <c r="F59" i="81"/>
  <c r="Q58" i="81"/>
  <c r="Q51" i="81"/>
  <c r="J50" i="81"/>
  <c r="M47" i="81"/>
  <c r="D46" i="81"/>
  <c r="F33" i="81"/>
  <c r="F61" i="81"/>
  <c r="F31" i="81"/>
  <c r="F23" i="81"/>
  <c r="D23" i="81"/>
  <c r="F21" i="81"/>
  <c r="F20" i="81"/>
  <c r="M19" i="81"/>
  <c r="F18" i="81"/>
  <c r="M17" i="81"/>
  <c r="F17" i="81"/>
  <c r="F15" i="81"/>
  <c r="Q72" i="80"/>
  <c r="Q59" i="80"/>
  <c r="K59" i="80"/>
  <c r="P74" i="80"/>
  <c r="F59" i="80"/>
  <c r="Q58" i="80"/>
  <c r="Q51" i="80"/>
  <c r="J50" i="80"/>
  <c r="M47" i="80"/>
  <c r="D46" i="80"/>
  <c r="F33" i="80"/>
  <c r="F61" i="80"/>
  <c r="F31" i="80"/>
  <c r="F23" i="80"/>
  <c r="D23" i="80"/>
  <c r="F21" i="80"/>
  <c r="F20" i="80"/>
  <c r="M19" i="80"/>
  <c r="F18" i="80"/>
  <c r="M17" i="80"/>
  <c r="F17" i="80"/>
  <c r="F15" i="80"/>
  <c r="D24" i="83"/>
  <c r="P61" i="83"/>
  <c r="D22" i="83"/>
  <c r="D24" i="82"/>
  <c r="P61" i="82"/>
  <c r="D22" i="82"/>
  <c r="D24" i="81"/>
  <c r="P61" i="81"/>
  <c r="D22" i="81"/>
  <c r="D24" i="80"/>
  <c r="P61" i="80"/>
  <c r="D22" i="80"/>
  <c r="L31" i="78"/>
  <c r="L30" i="78"/>
  <c r="L29" i="78"/>
  <c r="L28" i="78"/>
  <c r="L27" i="78"/>
  <c r="L26" i="78"/>
  <c r="L25" i="78"/>
  <c r="L24" i="78"/>
  <c r="L23" i="78"/>
  <c r="L22" i="78"/>
  <c r="L21" i="78"/>
  <c r="L20" i="78"/>
  <c r="L19" i="78"/>
  <c r="L18" i="78"/>
  <c r="L17" i="78"/>
  <c r="L16" i="78"/>
  <c r="L15" i="78"/>
  <c r="L14" i="78"/>
  <c r="L13" i="78"/>
  <c r="L12" i="78"/>
  <c r="L11" i="78"/>
  <c r="L10" i="78"/>
  <c r="L9" i="78"/>
  <c r="L8" i="78"/>
  <c r="L7" i="78"/>
  <c r="L6" i="78"/>
  <c r="L5" i="78"/>
  <c r="L4" i="78"/>
  <c r="L3" i="78"/>
  <c r="L2" i="78"/>
  <c r="I4" i="77"/>
  <c r="I7" i="77"/>
  <c r="I8" i="77"/>
  <c r="I9" i="77"/>
  <c r="I10" i="77"/>
  <c r="I12" i="77"/>
  <c r="Q17" i="3"/>
  <c r="G23" i="6"/>
  <c r="I13" i="77"/>
  <c r="O16" i="3"/>
  <c r="G22" i="6"/>
  <c r="AH9" i="1"/>
  <c r="I2" i="77"/>
  <c r="H6" i="77"/>
  <c r="I6" i="77"/>
  <c r="H15" i="77"/>
  <c r="D15" i="77"/>
  <c r="E12" i="77"/>
  <c r="G14" i="77"/>
  <c r="I14" i="77"/>
  <c r="E9" i="77"/>
  <c r="G11" i="77"/>
  <c r="I11" i="77"/>
  <c r="E8" i="77"/>
  <c r="E6" i="77"/>
  <c r="E3" i="77"/>
  <c r="G5" i="77"/>
  <c r="E2" i="77"/>
  <c r="G15" i="77"/>
  <c r="I5" i="77"/>
  <c r="K14" i="3"/>
  <c r="F20" i="6"/>
  <c r="AL18" i="3"/>
  <c r="E15" i="77"/>
  <c r="I13" i="3"/>
  <c r="F19" i="6"/>
  <c r="M15" i="3"/>
  <c r="F21" i="6"/>
  <c r="D7" i="71"/>
  <c r="AH5" i="71"/>
  <c r="AG5" i="71"/>
  <c r="AE5" i="71"/>
  <c r="AF5" i="71"/>
  <c r="AD5" i="71"/>
  <c r="Q5" i="71"/>
  <c r="P5" i="71"/>
  <c r="O5" i="71"/>
  <c r="N5" i="71"/>
  <c r="L3" i="71"/>
  <c r="K3" i="71"/>
  <c r="I3" i="71"/>
  <c r="J3" i="71"/>
  <c r="AD6" i="71"/>
  <c r="AG6" i="71"/>
  <c r="AH6" i="71"/>
  <c r="AE6" i="71"/>
  <c r="AF6" i="71"/>
  <c r="N6" i="71"/>
  <c r="Q6" i="71"/>
  <c r="P6" i="71"/>
  <c r="E6" i="71"/>
  <c r="O6" i="71"/>
  <c r="Q7" i="71"/>
  <c r="F6" i="71"/>
  <c r="F5" i="71"/>
  <c r="P7" i="71"/>
  <c r="O7" i="71"/>
  <c r="N7" i="71"/>
  <c r="B6" i="71"/>
  <c r="S6" i="71"/>
  <c r="B5" i="71"/>
  <c r="A2" i="53"/>
  <c r="K59" i="67"/>
  <c r="P61" i="67"/>
  <c r="K59" i="15"/>
  <c r="P74"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0" i="72"/>
  <c r="C53" i="10"/>
  <c r="B51" i="10"/>
  <c r="B19" i="72"/>
  <c r="A18" i="51"/>
  <c r="B13" i="72"/>
  <c r="B49" i="48"/>
  <c r="B5" i="72"/>
  <c r="I19" i="43"/>
  <c r="D71" i="71"/>
  <c r="F70" i="71"/>
  <c r="F69" i="71"/>
  <c r="F68" i="71"/>
  <c r="E70" i="71"/>
  <c r="E69" i="71"/>
  <c r="E68" i="71"/>
  <c r="C70" i="71"/>
  <c r="D70" i="71"/>
  <c r="B70" i="71"/>
  <c r="B69" i="71"/>
  <c r="B68" i="71"/>
  <c r="D67" i="71"/>
  <c r="F66" i="71"/>
  <c r="F65" i="71"/>
  <c r="F64" i="71"/>
  <c r="E66" i="71"/>
  <c r="E65" i="71"/>
  <c r="E64" i="71"/>
  <c r="C66" i="71"/>
  <c r="D66" i="71"/>
  <c r="B66"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F49" i="71"/>
  <c r="F48" i="71"/>
  <c r="Q48"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Q21" i="71"/>
  <c r="AB21" i="71"/>
  <c r="P21" i="71"/>
  <c r="AA21" i="71"/>
  <c r="O21" i="71"/>
  <c r="Y21" i="71"/>
  <c r="Z21" i="71"/>
  <c r="N21" i="71"/>
  <c r="X21" i="71"/>
  <c r="Q20" i="71"/>
  <c r="AB20" i="71"/>
  <c r="P20" i="71"/>
  <c r="O20" i="71"/>
  <c r="Y20" i="71"/>
  <c r="Z20" i="71"/>
  <c r="N20" i="71"/>
  <c r="Q19" i="71"/>
  <c r="F20" i="71"/>
  <c r="F21" i="71"/>
  <c r="F22" i="71"/>
  <c r="V22" i="71"/>
  <c r="P19" i="71"/>
  <c r="O19" i="71"/>
  <c r="N19" i="71"/>
  <c r="D19" i="71"/>
  <c r="Q18" i="71"/>
  <c r="AB18" i="71"/>
  <c r="P18" i="71"/>
  <c r="O18" i="71"/>
  <c r="Y18" i="71"/>
  <c r="Z18" i="71"/>
  <c r="N18" i="71"/>
  <c r="Q17" i="71"/>
  <c r="AB17" i="71"/>
  <c r="P17" i="71"/>
  <c r="P15" i="71"/>
  <c r="P16" i="71"/>
  <c r="AA15" i="71"/>
  <c r="O17" i="71"/>
  <c r="Y17" i="71"/>
  <c r="Z17" i="71"/>
  <c r="N17" i="71"/>
  <c r="N15" i="71"/>
  <c r="N16" i="71"/>
  <c r="X15" i="71"/>
  <c r="Q16" i="71"/>
  <c r="AB16" i="71"/>
  <c r="O16" i="71"/>
  <c r="Y16" i="71"/>
  <c r="Z16" i="71"/>
  <c r="Q15" i="71"/>
  <c r="F16" i="71"/>
  <c r="F17" i="71"/>
  <c r="F18" i="71"/>
  <c r="V18" i="71"/>
  <c r="O15" i="71"/>
  <c r="D15" i="71"/>
  <c r="Q14" i="71"/>
  <c r="AB14" i="71"/>
  <c r="P14" i="71"/>
  <c r="O14" i="71"/>
  <c r="Y14" i="71"/>
  <c r="Z14" i="71"/>
  <c r="N14" i="71"/>
  <c r="Q13" i="71"/>
  <c r="AB13" i="71"/>
  <c r="P13" i="71"/>
  <c r="O13" i="71"/>
  <c r="Y13" i="71"/>
  <c r="Z13" i="71"/>
  <c r="N13" i="71"/>
  <c r="N11" i="71"/>
  <c r="N12" i="71"/>
  <c r="X11" i="71"/>
  <c r="Q12" i="71"/>
  <c r="AB12" i="71"/>
  <c r="P12" i="71"/>
  <c r="O12" i="71"/>
  <c r="Y12" i="71"/>
  <c r="Z12" i="71"/>
  <c r="Q11" i="71"/>
  <c r="AB11" i="71"/>
  <c r="P11" i="71"/>
  <c r="O11" i="71"/>
  <c r="Y11" i="71"/>
  <c r="Z11" i="71"/>
  <c r="D11" i="71"/>
  <c r="O10" i="71"/>
  <c r="N10" i="71"/>
  <c r="B12" i="71"/>
  <c r="B13" i="71"/>
  <c r="B14" i="71"/>
  <c r="S14" i="71"/>
  <c r="E12" i="71"/>
  <c r="E13" i="71"/>
  <c r="E14" i="71"/>
  <c r="U14" i="71"/>
  <c r="AA11" i="71"/>
  <c r="B16" i="71"/>
  <c r="B17" i="71"/>
  <c r="B18" i="71"/>
  <c r="S18" i="71"/>
  <c r="B20" i="71"/>
  <c r="B21" i="71"/>
  <c r="B22" i="71"/>
  <c r="S22" i="71"/>
  <c r="X19" i="71"/>
  <c r="E20" i="71"/>
  <c r="E21" i="71"/>
  <c r="E22" i="71"/>
  <c r="U22" i="71"/>
  <c r="AA19" i="71"/>
  <c r="N50" i="71"/>
  <c r="E16" i="71"/>
  <c r="E17" i="71"/>
  <c r="E18" i="71"/>
  <c r="U18" i="71"/>
  <c r="C12"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C14" i="71"/>
  <c r="D12" i="71"/>
  <c r="D16" i="71"/>
  <c r="C21" i="71"/>
  <c r="D20" i="71"/>
  <c r="C25" i="71"/>
  <c r="D24" i="71"/>
  <c r="C29" i="71"/>
  <c r="D29" i="71"/>
  <c r="D28" i="71"/>
  <c r="C33" i="71"/>
  <c r="C34" i="71"/>
  <c r="D32" i="71"/>
  <c r="P10" i="71"/>
  <c r="E10" i="71"/>
  <c r="E37" i="71"/>
  <c r="E38" i="71"/>
  <c r="U38" i="71"/>
  <c r="E41" i="71"/>
  <c r="E42" i="71"/>
  <c r="U42" i="71"/>
  <c r="E45" i="71"/>
  <c r="E46" i="71"/>
  <c r="U46" i="71"/>
  <c r="Q47" i="71"/>
  <c r="U50" i="71"/>
  <c r="E49" i="71"/>
  <c r="P49" i="71"/>
  <c r="Q10" i="71"/>
  <c r="C37" i="71"/>
  <c r="C38" i="71"/>
  <c r="D36" i="71"/>
  <c r="C41" i="71"/>
  <c r="C42" i="71"/>
  <c r="D40" i="71"/>
  <c r="C45" i="71"/>
  <c r="D45" i="71"/>
  <c r="D44" i="71"/>
  <c r="Q49" i="71"/>
  <c r="T50" i="71"/>
  <c r="O50" i="71"/>
  <c r="D50" i="71"/>
  <c r="C49" i="71"/>
  <c r="C48" i="71"/>
  <c r="Q50" i="71"/>
  <c r="C53" i="71"/>
  <c r="C52" i="71"/>
  <c r="D52" i="71"/>
  <c r="E53" i="71"/>
  <c r="E52" i="71"/>
  <c r="D54" i="71"/>
  <c r="C57" i="71"/>
  <c r="D57" i="71"/>
  <c r="E57" i="71"/>
  <c r="E56" i="71"/>
  <c r="D58" i="71"/>
  <c r="C61" i="71"/>
  <c r="D61" i="71"/>
  <c r="E61" i="71"/>
  <c r="E60" i="71"/>
  <c r="D62" i="71"/>
  <c r="C65" i="71"/>
  <c r="C64" i="71"/>
  <c r="D64" i="71"/>
  <c r="C69" i="71"/>
  <c r="T10" i="71"/>
  <c r="C9" i="71"/>
  <c r="S10" i="71"/>
  <c r="F10" i="71"/>
  <c r="F9" i="71"/>
  <c r="F8" i="71"/>
  <c r="AB3" i="71"/>
  <c r="AB7" i="71"/>
  <c r="AB8" i="71"/>
  <c r="AB9" i="71"/>
  <c r="AB10" i="71"/>
  <c r="AA3" i="71"/>
  <c r="AA8" i="71"/>
  <c r="AA10" i="71"/>
  <c r="D10" i="71"/>
  <c r="U10" i="71"/>
  <c r="O49" i="71"/>
  <c r="C46" i="71"/>
  <c r="D46" i="71"/>
  <c r="D65" i="71"/>
  <c r="C56" i="71"/>
  <c r="D56" i="71"/>
  <c r="D69" i="71"/>
  <c r="C68" i="71"/>
  <c r="D68" i="71"/>
  <c r="C60" i="71"/>
  <c r="D60" i="71"/>
  <c r="D53" i="71"/>
  <c r="D41" i="71"/>
  <c r="D37" i="71"/>
  <c r="E48" i="71"/>
  <c r="P47" i="71"/>
  <c r="D33" i="71"/>
  <c r="C26" i="71"/>
  <c r="D25" i="71"/>
  <c r="C22" i="71"/>
  <c r="D21" i="71"/>
  <c r="C18" i="71"/>
  <c r="D17" i="71"/>
  <c r="D13" i="71"/>
  <c r="C8" i="71"/>
  <c r="D8" i="71"/>
  <c r="D9" i="71"/>
  <c r="P48" i="71"/>
  <c r="T18" i="71"/>
  <c r="D18" i="71"/>
  <c r="T22" i="71"/>
  <c r="D22" i="71"/>
  <c r="T26" i="71"/>
  <c r="D26" i="71"/>
  <c r="T4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C21" i="33"/>
  <c r="C21" i="21"/>
  <c r="Q21" i="21"/>
  <c r="Z21" i="21"/>
  <c r="H19" i="21"/>
  <c r="D83" i="21"/>
  <c r="E83" i="21"/>
  <c r="F83" i="21"/>
  <c r="G83" i="21"/>
  <c r="F21" i="21"/>
  <c r="AA21" i="21"/>
  <c r="D81" i="21"/>
  <c r="G20" i="20"/>
  <c r="B86" i="43"/>
  <c r="C22" i="20"/>
  <c r="B75" i="43"/>
  <c r="B55" i="43"/>
  <c r="C25" i="40"/>
  <c r="S25" i="40"/>
  <c r="S18" i="36"/>
  <c r="U18" i="36"/>
  <c r="H25" i="40"/>
  <c r="J25" i="40"/>
  <c r="H29" i="39"/>
  <c r="AB29" i="39"/>
  <c r="J29" i="39"/>
  <c r="AC29" i="39"/>
  <c r="J18" i="36"/>
  <c r="F68" i="35"/>
  <c r="G68" i="35"/>
  <c r="H18" i="35"/>
  <c r="S18" i="35"/>
  <c r="J18" i="35"/>
  <c r="W18" i="35"/>
  <c r="H21" i="37"/>
  <c r="U21" i="37"/>
  <c r="F21" i="37"/>
  <c r="F84" i="34"/>
  <c r="H21" i="34"/>
  <c r="F83" i="33"/>
  <c r="S21" i="33"/>
  <c r="S21" i="21"/>
  <c r="H1" i="69"/>
  <c r="AC25" i="40"/>
  <c r="W25" i="40"/>
  <c r="AB25" i="40"/>
  <c r="U25" i="40"/>
  <c r="AC18" i="36"/>
  <c r="W18" i="36"/>
  <c r="AB21" i="37"/>
  <c r="AA21" i="37"/>
  <c r="S21" i="37"/>
  <c r="AB21" i="34"/>
  <c r="U21" i="34"/>
  <c r="U21" i="33"/>
  <c r="AB18" i="35"/>
  <c r="U18" i="35"/>
  <c r="AC18" i="35"/>
  <c r="J21" i="37"/>
  <c r="G84" i="34"/>
  <c r="J21" i="34"/>
  <c r="G83" i="33"/>
  <c r="H21" i="21"/>
  <c r="F38" i="69"/>
  <c r="E37" i="69"/>
  <c r="F36" i="69"/>
  <c r="F35" i="69"/>
  <c r="F21" i="69"/>
  <c r="C21" i="69"/>
  <c r="F20" i="69"/>
  <c r="E10" i="69"/>
  <c r="E9" i="69"/>
  <c r="F7" i="69"/>
  <c r="C7" i="69"/>
  <c r="AC21" i="37"/>
  <c r="W21" i="37"/>
  <c r="AC21" i="34"/>
  <c r="W21" i="34"/>
  <c r="W21" i="33"/>
  <c r="AB21" i="21"/>
  <c r="U21" i="21"/>
  <c r="J21" i="21"/>
  <c r="AC21" i="21"/>
  <c r="F38" i="68"/>
  <c r="E37" i="68"/>
  <c r="F36" i="68"/>
  <c r="F35" i="68"/>
  <c r="F21" i="68"/>
  <c r="C21" i="68"/>
  <c r="F20" i="68"/>
  <c r="E10" i="68"/>
  <c r="E9" i="68"/>
  <c r="F7" i="68"/>
  <c r="W21" i="21"/>
  <c r="Q72" i="67"/>
  <c r="Q59" i="67"/>
  <c r="Q58" i="67"/>
  <c r="Q51" i="67"/>
  <c r="J50" i="67"/>
  <c r="M47" i="67"/>
  <c r="J53"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E15" i="4"/>
  <c r="F11" i="1"/>
  <c r="F12" i="1"/>
  <c r="F13" i="1"/>
  <c r="D6" i="1"/>
  <c r="D9" i="1"/>
  <c r="D10" i="1"/>
  <c r="D11" i="1"/>
  <c r="G11" i="1"/>
  <c r="D12" i="1"/>
  <c r="D13" i="1"/>
  <c r="D7" i="1"/>
  <c r="D8" i="1"/>
  <c r="A7" i="1"/>
  <c r="B7" i="1"/>
  <c r="E7" i="1"/>
  <c r="A8" i="1"/>
  <c r="B8" i="1"/>
  <c r="E8" i="1"/>
  <c r="A9" i="1"/>
  <c r="A10" i="1"/>
  <c r="A11" i="1"/>
  <c r="B11" i="1"/>
  <c r="E11" i="1"/>
  <c r="A12" i="1"/>
  <c r="A13" i="1"/>
  <c r="A6"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I15" i="4"/>
  <c r="H15" i="4"/>
  <c r="G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5" i="31"/>
  <c r="S26" i="31"/>
  <c r="S27" i="31"/>
  <c r="S28" i="31"/>
  <c r="S29" i="31"/>
  <c r="S30" i="31"/>
  <c r="S31"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445" i="31"/>
  <c r="S446" i="31"/>
  <c r="S447" i="31"/>
  <c r="S448" i="31"/>
  <c r="S449" i="31"/>
  <c r="S499" i="31"/>
  <c r="S501" i="31"/>
  <c r="S503" i="31"/>
  <c r="S505" i="31"/>
  <c r="S507" i="31"/>
  <c r="S508" i="31"/>
  <c r="S509" i="31"/>
  <c r="S510" i="31"/>
  <c r="S511" i="31"/>
  <c r="S512" i="31"/>
  <c r="S513" i="31"/>
  <c r="S514" i="31"/>
  <c r="S515" i="31"/>
  <c r="S516" i="31"/>
  <c r="S517" i="31"/>
  <c r="S518" i="31"/>
  <c r="S519" i="31"/>
  <c r="S520" i="31"/>
  <c r="S521" i="31"/>
  <c r="S522" i="31"/>
  <c r="S523" i="31"/>
  <c r="S524" i="31"/>
  <c r="S22" i="31"/>
  <c r="R22" i="31"/>
  <c r="B21"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526" i="3"/>
  <c r="BH526" i="3"/>
  <c r="BI526"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526" i="3"/>
  <c r="BM526" i="3"/>
  <c r="BN526" i="3"/>
  <c r="BO526" i="3"/>
  <c r="BP526" i="3"/>
  <c r="BQ526" i="3"/>
  <c r="BR526" i="3"/>
  <c r="BS526" i="3"/>
  <c r="BT526" i="3"/>
  <c r="BL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BQ493" i="3"/>
  <c r="BQ495" i="3"/>
  <c r="BQ497" i="3"/>
  <c r="BQ499" i="3"/>
  <c r="BQ501" i="3"/>
  <c r="BQ503" i="3"/>
  <c r="BQ505" i="3"/>
  <c r="BQ507" i="3"/>
  <c r="BQ509" i="3"/>
  <c r="BQ511" i="3"/>
  <c r="BQ513" i="3"/>
  <c r="BQ515" i="3"/>
  <c r="BQ517" i="3"/>
  <c r="BQ519" i="3"/>
  <c r="BQ521" i="3"/>
  <c r="BQ523" i="3"/>
  <c r="BQ525"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F28" i="6"/>
  <c r="H527" i="3"/>
  <c r="AC527" i="3"/>
  <c r="G527" i="3"/>
  <c r="BB527" i="3"/>
  <c r="BC527" i="3"/>
  <c r="BD527" i="3"/>
  <c r="BE527" i="3"/>
  <c r="BG527" i="3"/>
  <c r="BH527" i="3"/>
  <c r="BI527" i="3"/>
  <c r="BK527" i="3"/>
  <c r="BM527" i="3"/>
  <c r="BN527" i="3"/>
  <c r="BO527" i="3"/>
  <c r="BP527" i="3"/>
  <c r="BR527" i="3"/>
  <c r="BT527" i="3"/>
  <c r="BL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H528" i="3"/>
  <c r="AC528" i="3"/>
  <c r="G528" i="3"/>
  <c r="BB528"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528" i="3"/>
  <c r="BE528"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528" i="3"/>
  <c r="BI528"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BM528"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BO528" i="3"/>
  <c r="H529" i="3"/>
  <c r="AC529" i="3"/>
  <c r="G529" i="3"/>
  <c r="BB529" i="3"/>
  <c r="BD529" i="3"/>
  <c r="BE529" i="3"/>
  <c r="BH529" i="3"/>
  <c r="BI529" i="3"/>
  <c r="BM529" i="3"/>
  <c r="BO529" i="3"/>
  <c r="H530" i="3"/>
  <c r="AC530" i="3"/>
  <c r="BB530" i="3"/>
  <c r="BD530" i="3"/>
  <c r="BE530" i="3"/>
  <c r="BH530" i="3"/>
  <c r="BI530" i="3"/>
  <c r="BM530" i="3"/>
  <c r="BO530" i="3"/>
  <c r="H531" i="3"/>
  <c r="AC531" i="3"/>
  <c r="G531" i="3"/>
  <c r="BB531" i="3"/>
  <c r="BD531" i="3"/>
  <c r="BE531" i="3"/>
  <c r="BH531" i="3"/>
  <c r="BI531" i="3"/>
  <c r="BM531" i="3"/>
  <c r="BO531" i="3"/>
  <c r="BL531" i="3"/>
  <c r="H532" i="3"/>
  <c r="AC532" i="3"/>
  <c r="BB532" i="3"/>
  <c r="BD532" i="3"/>
  <c r="BE532" i="3"/>
  <c r="BH532" i="3"/>
  <c r="BI532" i="3"/>
  <c r="BA532" i="3"/>
  <c r="BM532" i="3"/>
  <c r="BO532" i="3"/>
  <c r="BL532" i="3"/>
  <c r="H533" i="3"/>
  <c r="AC533" i="3"/>
  <c r="G533" i="3"/>
  <c r="BB533" i="3"/>
  <c r="BD533" i="3"/>
  <c r="BE533" i="3"/>
  <c r="BH533" i="3"/>
  <c r="BI533" i="3"/>
  <c r="BA533" i="3"/>
  <c r="BM533" i="3"/>
  <c r="BO533" i="3"/>
  <c r="BL533" i="3"/>
  <c r="AZ533" i="3"/>
  <c r="H534" i="3"/>
  <c r="AC534" i="3"/>
  <c r="G534" i="3"/>
  <c r="BB534" i="3"/>
  <c r="BD534" i="3"/>
  <c r="BE534" i="3"/>
  <c r="BH534" i="3"/>
  <c r="BI534" i="3"/>
  <c r="BM534" i="3"/>
  <c r="BO534" i="3"/>
  <c r="H535" i="3"/>
  <c r="AC535" i="3"/>
  <c r="G535" i="3"/>
  <c r="BB535" i="3"/>
  <c r="BD535" i="3"/>
  <c r="BE535" i="3"/>
  <c r="BH535" i="3"/>
  <c r="BI535" i="3"/>
  <c r="BM535" i="3"/>
  <c r="BO535" i="3"/>
  <c r="BL535" i="3"/>
  <c r="H536" i="3"/>
  <c r="AC536" i="3"/>
  <c r="G536" i="3"/>
  <c r="BB536" i="3"/>
  <c r="BD536" i="3"/>
  <c r="BE536" i="3"/>
  <c r="BH536" i="3"/>
  <c r="BI536" i="3"/>
  <c r="BA536" i="3"/>
  <c r="BM536" i="3"/>
  <c r="BO536" i="3"/>
  <c r="BL536" i="3"/>
  <c r="AZ536" i="3"/>
  <c r="H537" i="3"/>
  <c r="AC537" i="3"/>
  <c r="BB537" i="3"/>
  <c r="BD537" i="3"/>
  <c r="BE537" i="3"/>
  <c r="BH537" i="3"/>
  <c r="BI537" i="3"/>
  <c r="BM537" i="3"/>
  <c r="BO537" i="3"/>
  <c r="H538" i="3"/>
  <c r="AC538" i="3"/>
  <c r="BB538" i="3"/>
  <c r="BD538" i="3"/>
  <c r="BE538" i="3"/>
  <c r="BH538" i="3"/>
  <c r="BI538" i="3"/>
  <c r="BM538" i="3"/>
  <c r="BO538" i="3"/>
  <c r="H539" i="3"/>
  <c r="AC539" i="3"/>
  <c r="G539" i="3"/>
  <c r="BB539" i="3"/>
  <c r="BD539" i="3"/>
  <c r="BE539" i="3"/>
  <c r="BH539" i="3"/>
  <c r="BI539" i="3"/>
  <c r="BM539" i="3"/>
  <c r="BO539" i="3"/>
  <c r="BL539" i="3"/>
  <c r="H540" i="3"/>
  <c r="AC540" i="3"/>
  <c r="G540" i="3"/>
  <c r="BB540" i="3"/>
  <c r="BD540" i="3"/>
  <c r="BE540" i="3"/>
  <c r="BH540" i="3"/>
  <c r="BI540" i="3"/>
  <c r="BA540" i="3"/>
  <c r="BM540" i="3"/>
  <c r="BO540" i="3"/>
  <c r="H541" i="3"/>
  <c r="AC541" i="3"/>
  <c r="BB541" i="3"/>
  <c r="BD541" i="3"/>
  <c r="BE541" i="3"/>
  <c r="BH541" i="3"/>
  <c r="BI541" i="3"/>
  <c r="BA541" i="3"/>
  <c r="BM541" i="3"/>
  <c r="BO541" i="3"/>
  <c r="BL541" i="3"/>
  <c r="AZ541" i="3"/>
  <c r="H542" i="3"/>
  <c r="AC542" i="3"/>
  <c r="G542" i="3"/>
  <c r="BB542" i="3"/>
  <c r="BD542" i="3"/>
  <c r="BE542" i="3"/>
  <c r="BH542" i="3"/>
  <c r="BI542" i="3"/>
  <c r="BM542" i="3"/>
  <c r="BO542" i="3"/>
  <c r="BL542" i="3"/>
  <c r="H543" i="3"/>
  <c r="AC543" i="3"/>
  <c r="G543" i="3"/>
  <c r="BB543" i="3"/>
  <c r="BD543" i="3"/>
  <c r="BE543" i="3"/>
  <c r="BH543" i="3"/>
  <c r="BI543" i="3"/>
  <c r="BM543" i="3"/>
  <c r="BO543" i="3"/>
  <c r="BL543" i="3"/>
  <c r="H544" i="3"/>
  <c r="AC544" i="3"/>
  <c r="BB544" i="3"/>
  <c r="BD544" i="3"/>
  <c r="BE544" i="3"/>
  <c r="BH544" i="3"/>
  <c r="BI544" i="3"/>
  <c r="BA544" i="3"/>
  <c r="BM544" i="3"/>
  <c r="BO544" i="3"/>
  <c r="BL544" i="3"/>
  <c r="H545" i="3"/>
  <c r="AC545" i="3"/>
  <c r="BB545" i="3"/>
  <c r="BD545" i="3"/>
  <c r="BE545" i="3"/>
  <c r="BH545" i="3"/>
  <c r="BI545" i="3"/>
  <c r="BM545" i="3"/>
  <c r="BO545" i="3"/>
  <c r="H546" i="3"/>
  <c r="AC546" i="3"/>
  <c r="G546" i="3"/>
  <c r="BB546" i="3"/>
  <c r="BD546" i="3"/>
  <c r="BE546" i="3"/>
  <c r="BH546" i="3"/>
  <c r="BI546" i="3"/>
  <c r="BM546" i="3"/>
  <c r="BO546" i="3"/>
  <c r="H547" i="3"/>
  <c r="AC547" i="3"/>
  <c r="G547" i="3"/>
  <c r="BB547" i="3"/>
  <c r="BD547" i="3"/>
  <c r="BE547" i="3"/>
  <c r="BH547" i="3"/>
  <c r="BI547" i="3"/>
  <c r="BM547" i="3"/>
  <c r="BO547" i="3"/>
  <c r="BL547" i="3"/>
  <c r="H548" i="3"/>
  <c r="AC548" i="3"/>
  <c r="G548" i="3"/>
  <c r="BB548" i="3"/>
  <c r="BD548" i="3"/>
  <c r="BE548" i="3"/>
  <c r="BH548" i="3"/>
  <c r="BI548" i="3"/>
  <c r="BM548" i="3"/>
  <c r="BO548" i="3"/>
  <c r="BL548" i="3"/>
  <c r="H549" i="3"/>
  <c r="AC549" i="3"/>
  <c r="BB549" i="3"/>
  <c r="BD549" i="3"/>
  <c r="BE549" i="3"/>
  <c r="BH549" i="3"/>
  <c r="BI549" i="3"/>
  <c r="BM549" i="3"/>
  <c r="BO549" i="3"/>
  <c r="H550" i="3"/>
  <c r="AC550" i="3"/>
  <c r="BB550" i="3"/>
  <c r="BD550" i="3"/>
  <c r="BE550" i="3"/>
  <c r="BH550" i="3"/>
  <c r="BI550" i="3"/>
  <c r="BA550" i="3"/>
  <c r="BM550" i="3"/>
  <c r="BO550" i="3"/>
  <c r="H551" i="3"/>
  <c r="AC551" i="3"/>
  <c r="G551" i="3"/>
  <c r="BB551" i="3"/>
  <c r="BD551" i="3"/>
  <c r="BE551" i="3"/>
  <c r="BH551" i="3"/>
  <c r="BI551" i="3"/>
  <c r="BM551" i="3"/>
  <c r="BO551" i="3"/>
  <c r="H552" i="3"/>
  <c r="AC552" i="3"/>
  <c r="G552" i="3"/>
  <c r="BB552" i="3"/>
  <c r="BD552" i="3"/>
  <c r="BE552" i="3"/>
  <c r="BH552" i="3"/>
  <c r="BI552" i="3"/>
  <c r="BM552" i="3"/>
  <c r="BO552" i="3"/>
  <c r="H553" i="3"/>
  <c r="AC553" i="3"/>
  <c r="BB553" i="3"/>
  <c r="BD553" i="3"/>
  <c r="BE553" i="3"/>
  <c r="BH553" i="3"/>
  <c r="BI553" i="3"/>
  <c r="BM553" i="3"/>
  <c r="BO553" i="3"/>
  <c r="H554" i="3"/>
  <c r="AC554" i="3"/>
  <c r="BB554" i="3"/>
  <c r="BD554" i="3"/>
  <c r="BE554" i="3"/>
  <c r="BH554" i="3"/>
  <c r="BI554" i="3"/>
  <c r="BM554" i="3"/>
  <c r="BO554" i="3"/>
  <c r="H555" i="3"/>
  <c r="AC555" i="3"/>
  <c r="BB555" i="3"/>
  <c r="BD555" i="3"/>
  <c r="BE555" i="3"/>
  <c r="BH555" i="3"/>
  <c r="BI555" i="3"/>
  <c r="BM555" i="3"/>
  <c r="BO555" i="3"/>
  <c r="H556" i="3"/>
  <c r="AC556" i="3"/>
  <c r="G556" i="3"/>
  <c r="BB556" i="3"/>
  <c r="BD556" i="3"/>
  <c r="BE556" i="3"/>
  <c r="BH556" i="3"/>
  <c r="BI556" i="3"/>
  <c r="BM556" i="3"/>
  <c r="BO556" i="3"/>
  <c r="H557" i="3"/>
  <c r="BB557" i="3"/>
  <c r="BD557" i="3"/>
  <c r="BE557" i="3"/>
  <c r="BH557" i="3"/>
  <c r="BI557" i="3"/>
  <c r="BM557" i="3"/>
  <c r="BO557" i="3"/>
  <c r="H558" i="3"/>
  <c r="AC558" i="3"/>
  <c r="G558" i="3"/>
  <c r="BB558" i="3"/>
  <c r="BD558" i="3"/>
  <c r="BE558" i="3"/>
  <c r="BH558" i="3"/>
  <c r="BI558" i="3"/>
  <c r="BM558" i="3"/>
  <c r="BO558" i="3"/>
  <c r="H559" i="3"/>
  <c r="AC559" i="3"/>
  <c r="BB559" i="3"/>
  <c r="BD559" i="3"/>
  <c r="BE559" i="3"/>
  <c r="BH559" i="3"/>
  <c r="BI559" i="3"/>
  <c r="BM559" i="3"/>
  <c r="BO559" i="3"/>
  <c r="H560" i="3"/>
  <c r="AC560" i="3"/>
  <c r="BB560" i="3"/>
  <c r="BD560" i="3"/>
  <c r="BE560" i="3"/>
  <c r="BH560" i="3"/>
  <c r="BI560" i="3"/>
  <c r="BM560" i="3"/>
  <c r="BO560" i="3"/>
  <c r="H561" i="3"/>
  <c r="AC561" i="3"/>
  <c r="BB561" i="3"/>
  <c r="BD561" i="3"/>
  <c r="BE561" i="3"/>
  <c r="BH561" i="3"/>
  <c r="BI561" i="3"/>
  <c r="BM561" i="3"/>
  <c r="BO561" i="3"/>
  <c r="H562" i="3"/>
  <c r="AC562" i="3"/>
  <c r="G562" i="3"/>
  <c r="BB562" i="3"/>
  <c r="BD562" i="3"/>
  <c r="BE562" i="3"/>
  <c r="BH562" i="3"/>
  <c r="BI562" i="3"/>
  <c r="BM562" i="3"/>
  <c r="BO562" i="3"/>
  <c r="H563" i="3"/>
  <c r="AC563" i="3"/>
  <c r="BB563" i="3"/>
  <c r="BD563" i="3"/>
  <c r="BE563" i="3"/>
  <c r="BH563" i="3"/>
  <c r="BI563" i="3"/>
  <c r="BM563" i="3"/>
  <c r="BO563" i="3"/>
  <c r="H564" i="3"/>
  <c r="AC564" i="3"/>
  <c r="BB564" i="3"/>
  <c r="BD564" i="3"/>
  <c r="BE564" i="3"/>
  <c r="BH564" i="3"/>
  <c r="BI564" i="3"/>
  <c r="BM564" i="3"/>
  <c r="BO564" i="3"/>
  <c r="H565" i="3"/>
  <c r="AC565" i="3"/>
  <c r="BB565" i="3"/>
  <c r="BD565" i="3"/>
  <c r="BE565" i="3"/>
  <c r="BH565" i="3"/>
  <c r="BI565" i="3"/>
  <c r="BM565" i="3"/>
  <c r="BO565" i="3"/>
  <c r="H566" i="3"/>
  <c r="AC566" i="3"/>
  <c r="G566" i="3"/>
  <c r="BB566" i="3"/>
  <c r="BD566" i="3"/>
  <c r="BE566" i="3"/>
  <c r="BH566" i="3"/>
  <c r="BI566" i="3"/>
  <c r="BM566" i="3"/>
  <c r="BO566" i="3"/>
  <c r="H567" i="3"/>
  <c r="AC567" i="3"/>
  <c r="BB567" i="3"/>
  <c r="BD567" i="3"/>
  <c r="BE567" i="3"/>
  <c r="BH567" i="3"/>
  <c r="BI567" i="3"/>
  <c r="BM567" i="3"/>
  <c r="BO567" i="3"/>
  <c r="H568" i="3"/>
  <c r="AC568" i="3"/>
  <c r="BB568" i="3"/>
  <c r="BD568" i="3"/>
  <c r="BE568" i="3"/>
  <c r="BH568" i="3"/>
  <c r="BI568" i="3"/>
  <c r="BM568" i="3"/>
  <c r="BO568" i="3"/>
  <c r="H569" i="3"/>
  <c r="AC569" i="3"/>
  <c r="BB569" i="3"/>
  <c r="BD569" i="3"/>
  <c r="BE569" i="3"/>
  <c r="BH569" i="3"/>
  <c r="BI569" i="3"/>
  <c r="BM569" i="3"/>
  <c r="BO569" i="3"/>
  <c r="H570" i="3"/>
  <c r="AC570" i="3"/>
  <c r="G570" i="3"/>
  <c r="BB570" i="3"/>
  <c r="BD570" i="3"/>
  <c r="BE570" i="3"/>
  <c r="BH570" i="3"/>
  <c r="BI570" i="3"/>
  <c r="BM570" i="3"/>
  <c r="BO570" i="3"/>
  <c r="H571" i="3"/>
  <c r="AC571" i="3"/>
  <c r="BB571" i="3"/>
  <c r="BD571" i="3"/>
  <c r="BE571" i="3"/>
  <c r="BH571" i="3"/>
  <c r="BI571" i="3"/>
  <c r="BM571" i="3"/>
  <c r="BO571" i="3"/>
  <c r="H572" i="3"/>
  <c r="AC572" i="3"/>
  <c r="BB572" i="3"/>
  <c r="BD572" i="3"/>
  <c r="BE572" i="3"/>
  <c r="BH572" i="3"/>
  <c r="BI572" i="3"/>
  <c r="BM572" i="3"/>
  <c r="BO572" i="3"/>
  <c r="H573" i="3"/>
  <c r="AC573" i="3"/>
  <c r="BB573" i="3"/>
  <c r="BD573" i="3"/>
  <c r="BE573" i="3"/>
  <c r="BH573" i="3"/>
  <c r="BI573" i="3"/>
  <c r="BM573" i="3"/>
  <c r="BO573" i="3"/>
  <c r="H574" i="3"/>
  <c r="AC574" i="3"/>
  <c r="G574" i="3"/>
  <c r="BB574" i="3"/>
  <c r="BD574" i="3"/>
  <c r="BE574" i="3"/>
  <c r="BH574" i="3"/>
  <c r="BI574" i="3"/>
  <c r="BM574" i="3"/>
  <c r="BO574" i="3"/>
  <c r="H575" i="3"/>
  <c r="AC575" i="3"/>
  <c r="BB575" i="3"/>
  <c r="BD575" i="3"/>
  <c r="BE575" i="3"/>
  <c r="BH575" i="3"/>
  <c r="BI575" i="3"/>
  <c r="BM575" i="3"/>
  <c r="BO575" i="3"/>
  <c r="H576" i="3"/>
  <c r="AC576" i="3"/>
  <c r="BB576" i="3"/>
  <c r="BD576" i="3"/>
  <c r="BE576" i="3"/>
  <c r="BH576" i="3"/>
  <c r="BI576" i="3"/>
  <c r="BM576" i="3"/>
  <c r="BO576" i="3"/>
  <c r="H577" i="3"/>
  <c r="AC577" i="3"/>
  <c r="BB577" i="3"/>
  <c r="BD577" i="3"/>
  <c r="BE577" i="3"/>
  <c r="BH577" i="3"/>
  <c r="BI577" i="3"/>
  <c r="BM577" i="3"/>
  <c r="BO577" i="3"/>
  <c r="H578" i="3"/>
  <c r="AC578" i="3"/>
  <c r="G578" i="3"/>
  <c r="BB578" i="3"/>
  <c r="BD578" i="3"/>
  <c r="BE578" i="3"/>
  <c r="BH578" i="3"/>
  <c r="BI578" i="3"/>
  <c r="BM578" i="3"/>
  <c r="BO578" i="3"/>
  <c r="H579" i="3"/>
  <c r="AC579" i="3"/>
  <c r="BB579" i="3"/>
  <c r="BD579" i="3"/>
  <c r="BE579" i="3"/>
  <c r="BH579" i="3"/>
  <c r="BI579" i="3"/>
  <c r="BM579" i="3"/>
  <c r="BO579" i="3"/>
  <c r="H580" i="3"/>
  <c r="AC580" i="3"/>
  <c r="BB580" i="3"/>
  <c r="BD580" i="3"/>
  <c r="BE580" i="3"/>
  <c r="BH580" i="3"/>
  <c r="BI580" i="3"/>
  <c r="BM580" i="3"/>
  <c r="BO580" i="3"/>
  <c r="H581" i="3"/>
  <c r="AC581" i="3"/>
  <c r="BB581" i="3"/>
  <c r="BD581" i="3"/>
  <c r="BE581" i="3"/>
  <c r="BH581" i="3"/>
  <c r="BI581" i="3"/>
  <c r="BM581" i="3"/>
  <c r="BO581" i="3"/>
  <c r="H582" i="3"/>
  <c r="AC582" i="3"/>
  <c r="G582" i="3"/>
  <c r="BB582" i="3"/>
  <c r="BD582" i="3"/>
  <c r="BE582" i="3"/>
  <c r="BH582" i="3"/>
  <c r="BI582" i="3"/>
  <c r="BM582" i="3"/>
  <c r="BO582" i="3"/>
  <c r="H583" i="3"/>
  <c r="AC583" i="3"/>
  <c r="BB583" i="3"/>
  <c r="BD583" i="3"/>
  <c r="BE583" i="3"/>
  <c r="BH583" i="3"/>
  <c r="BI583" i="3"/>
  <c r="BM583" i="3"/>
  <c r="BO583" i="3"/>
  <c r="H584" i="3"/>
  <c r="AC584" i="3"/>
  <c r="BB584" i="3"/>
  <c r="BD584" i="3"/>
  <c r="BE584" i="3"/>
  <c r="BH584" i="3"/>
  <c r="BI584" i="3"/>
  <c r="BM584" i="3"/>
  <c r="BO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J45" i="39"/>
  <c r="B129" i="39"/>
  <c r="H44" i="39"/>
  <c r="B127" i="39"/>
  <c r="F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G95" i="39"/>
  <c r="D93" i="39"/>
  <c r="E93" i="39"/>
  <c r="F93" i="39"/>
  <c r="G93" i="39"/>
  <c r="D91" i="39"/>
  <c r="E91" i="39"/>
  <c r="F91" i="39"/>
  <c r="G91" i="39"/>
  <c r="D89" i="39"/>
  <c r="E89" i="39"/>
  <c r="F89" i="39"/>
  <c r="G89" i="39"/>
  <c r="B86" i="39"/>
  <c r="B84" i="39"/>
  <c r="J13" i="39"/>
  <c r="W13" i="39"/>
  <c r="B82" i="39"/>
  <c r="J12" i="39"/>
  <c r="W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Q9" i="36"/>
  <c r="Z9" i="36"/>
  <c r="J9" i="36"/>
  <c r="AC9" i="36"/>
  <c r="H9" i="36"/>
  <c r="AB9" i="36"/>
  <c r="F9" i="36"/>
  <c r="AA9" i="36"/>
  <c r="J8" i="36"/>
  <c r="AC8" i="36"/>
  <c r="H8" i="36"/>
  <c r="U8" i="36"/>
  <c r="F8" i="36"/>
  <c r="AA8" i="36"/>
  <c r="D89" i="35"/>
  <c r="E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W9" i="35"/>
  <c r="P39" i="35"/>
  <c r="P38" i="35"/>
  <c r="V37" i="35"/>
  <c r="T37" i="35"/>
  <c r="R37" i="35"/>
  <c r="P37" i="35"/>
  <c r="Q36" i="35"/>
  <c r="Z36" i="35"/>
  <c r="J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AB9" i="34"/>
  <c r="F9" i="34"/>
  <c r="AA9" i="34"/>
  <c r="J8" i="34"/>
  <c r="AC8" i="34"/>
  <c r="H8" i="34"/>
  <c r="U8" i="34"/>
  <c r="F8" i="34"/>
  <c r="D121" i="33"/>
  <c r="E121" i="33"/>
  <c r="F121" i="33"/>
  <c r="G121" i="33"/>
  <c r="H121" i="33"/>
  <c r="I121" i="33"/>
  <c r="J121" i="33"/>
  <c r="K121" i="33"/>
  <c r="L121" i="33"/>
  <c r="M121" i="33"/>
  <c r="F109" i="33"/>
  <c r="E109" i="33"/>
  <c r="D109" i="33"/>
  <c r="C109" i="33"/>
  <c r="D91" i="33"/>
  <c r="E91"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D87" i="33"/>
  <c r="E87" i="33"/>
  <c r="D85" i="33"/>
  <c r="E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C18" i="20"/>
  <c r="B49"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H30" i="21"/>
  <c r="B94" i="21"/>
  <c r="J29" i="21"/>
  <c r="AC29" i="21"/>
  <c r="B92" i="21"/>
  <c r="B90" i="21"/>
  <c r="J27" i="21"/>
  <c r="W27" i="21"/>
  <c r="B74" i="21"/>
  <c r="J14" i="21"/>
  <c r="B72" i="21"/>
  <c r="H13" i="21"/>
  <c r="U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D585" i="3"/>
  <c r="BE585" i="3"/>
  <c r="BH585" i="3"/>
  <c r="BI585" i="3"/>
  <c r="BM585" i="3"/>
  <c r="BO585" i="3"/>
  <c r="BB586" i="3"/>
  <c r="BD586" i="3"/>
  <c r="BE586" i="3"/>
  <c r="BH586" i="3"/>
  <c r="BI586" i="3"/>
  <c r="BM586" i="3"/>
  <c r="BO586" i="3"/>
  <c r="BL586" i="3"/>
  <c r="BB587" i="3"/>
  <c r="BD587" i="3"/>
  <c r="BE587" i="3"/>
  <c r="BH587" i="3"/>
  <c r="BI587" i="3"/>
  <c r="BM587" i="3"/>
  <c r="BO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J44" i="39"/>
  <c r="AC44" i="39"/>
  <c r="F36" i="39"/>
  <c r="S36" i="39"/>
  <c r="H36" i="39"/>
  <c r="AB36" i="39"/>
  <c r="J35" i="39"/>
  <c r="F35" i="39"/>
  <c r="AA35" i="39"/>
  <c r="J36" i="39"/>
  <c r="AC36" i="39"/>
  <c r="U9" i="39"/>
  <c r="W40" i="39"/>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22" i="35"/>
  <c r="S31" i="35"/>
  <c r="U34" i="35"/>
  <c r="F36" i="34"/>
  <c r="J35" i="34"/>
  <c r="W35" i="34"/>
  <c r="W9" i="34"/>
  <c r="S34" i="34"/>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F109" i="39"/>
  <c r="G109" i="39"/>
  <c r="H109" i="39"/>
  <c r="I109" i="39"/>
  <c r="J109" i="39"/>
  <c r="K109" i="39"/>
  <c r="L109" i="39"/>
  <c r="M109" i="39"/>
  <c r="E101" i="39"/>
  <c r="H19" i="39"/>
  <c r="AB19" i="39"/>
  <c r="F19" i="39"/>
  <c r="AA19" i="39"/>
  <c r="H17" i="39"/>
  <c r="AB17" i="39"/>
  <c r="F17" i="39"/>
  <c r="AA17" i="39"/>
  <c r="J23" i="40"/>
  <c r="AC23" i="40"/>
  <c r="F21" i="40"/>
  <c r="AA21" i="40"/>
  <c r="J21" i="40"/>
  <c r="W21" i="40"/>
  <c r="H42" i="39"/>
  <c r="AB42" i="39"/>
  <c r="J34" i="39"/>
  <c r="AC34" i="39"/>
  <c r="F101" i="39"/>
  <c r="H27" i="39"/>
  <c r="U27" i="39"/>
  <c r="J19" i="39"/>
  <c r="AC19" i="39"/>
  <c r="J17" i="39"/>
  <c r="J27" i="39"/>
  <c r="AC27" i="39"/>
  <c r="F27" i="39"/>
  <c r="AA27" i="39"/>
  <c r="F11" i="21"/>
  <c r="S11" i="21"/>
  <c r="S40" i="21"/>
  <c r="U34" i="21"/>
  <c r="S34" i="21"/>
  <c r="H11" i="39"/>
  <c r="AB11" i="39"/>
  <c r="S40" i="39"/>
  <c r="C15" i="39"/>
  <c r="H11" i="21"/>
  <c r="U11" i="21"/>
  <c r="J11" i="21"/>
  <c r="W11" i="21"/>
  <c r="H37" i="40"/>
  <c r="U37" i="40"/>
  <c r="H36" i="40"/>
  <c r="AB36" i="40"/>
  <c r="F35" i="40"/>
  <c r="AA35" i="40"/>
  <c r="H23" i="40"/>
  <c r="AB23" i="40"/>
  <c r="H17" i="40"/>
  <c r="U17" i="40"/>
  <c r="J15" i="40"/>
  <c r="W15" i="40"/>
  <c r="J11" i="40"/>
  <c r="W11" i="40"/>
  <c r="AC12" i="34"/>
  <c r="AB12" i="35"/>
  <c r="AB12" i="36"/>
  <c r="W32" i="40"/>
  <c r="F37" i="39"/>
  <c r="AA37" i="39"/>
  <c r="J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F114" i="34"/>
  <c r="G114" i="34"/>
  <c r="H114" i="34"/>
  <c r="I114" i="34"/>
  <c r="J114" i="34"/>
  <c r="K114" i="34"/>
  <c r="L114" i="34"/>
  <c r="M114" i="34"/>
  <c r="H36" i="34"/>
  <c r="U36" i="34"/>
  <c r="F37" i="34"/>
  <c r="AA37" i="34"/>
  <c r="F28" i="34"/>
  <c r="F27" i="34"/>
  <c r="AA27" i="34"/>
  <c r="F25" i="34"/>
  <c r="S25" i="34"/>
  <c r="H23" i="34"/>
  <c r="J23" i="34"/>
  <c r="F19" i="34"/>
  <c r="H17" i="34"/>
  <c r="U17" i="34"/>
  <c r="F15" i="34"/>
  <c r="AA15" i="34"/>
  <c r="J15" i="34"/>
  <c r="H15" i="34"/>
  <c r="AB15" i="34"/>
  <c r="S9" i="34"/>
  <c r="W8" i="34"/>
  <c r="J28" i="34"/>
  <c r="W28" i="34"/>
  <c r="S38" i="33"/>
  <c r="E113" i="33"/>
  <c r="U40" i="33"/>
  <c r="W40" i="33"/>
  <c r="U8" i="33"/>
  <c r="S8" i="33"/>
  <c r="F37" i="40"/>
  <c r="AA37" i="40"/>
  <c r="F36" i="40"/>
  <c r="AA36" i="40"/>
  <c r="H28" i="40"/>
  <c r="U28" i="40"/>
  <c r="F23" i="40"/>
  <c r="AA23" i="40"/>
  <c r="F17" i="40"/>
  <c r="AA17" i="40"/>
  <c r="J17" i="40"/>
  <c r="W17" i="40"/>
  <c r="F15" i="40"/>
  <c r="S15" i="40"/>
  <c r="H15" i="40"/>
  <c r="AB15" i="40"/>
  <c r="AC11" i="40"/>
  <c r="S12" i="36"/>
  <c r="AB30" i="36"/>
  <c r="U30" i="35"/>
  <c r="F29" i="35"/>
  <c r="S29" i="35"/>
  <c r="H29" i="35"/>
  <c r="AB29" i="35"/>
  <c r="H33" i="37"/>
  <c r="AB33" i="37"/>
  <c r="F33" i="37"/>
  <c r="AA33" i="37"/>
  <c r="U34" i="37"/>
  <c r="W33" i="37"/>
  <c r="S34" i="37"/>
  <c r="AA34" i="37"/>
  <c r="J43" i="34"/>
  <c r="AC43" i="34"/>
  <c r="AB42" i="34"/>
  <c r="J40" i="34"/>
  <c r="AC40"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F28" i="40"/>
  <c r="AA28" i="40"/>
  <c r="AA42" i="34"/>
  <c r="S42" i="34"/>
  <c r="AC38" i="34"/>
  <c r="AA38" i="34"/>
  <c r="J37" i="34"/>
  <c r="AC37" i="34"/>
  <c r="W11" i="33"/>
  <c r="U23" i="40"/>
  <c r="J42" i="21"/>
  <c r="AC42" i="21"/>
  <c r="H42" i="21"/>
  <c r="U42" i="21"/>
  <c r="J44" i="34"/>
  <c r="AC44" i="34"/>
  <c r="F44" i="34"/>
  <c r="AA44" i="34"/>
  <c r="J10" i="35"/>
  <c r="W10" i="35"/>
  <c r="F14" i="21"/>
  <c r="S14" i="21"/>
  <c r="H28" i="21"/>
  <c r="AB28" i="21"/>
  <c r="F28" i="21"/>
  <c r="AA28" i="21"/>
  <c r="J28" i="21"/>
  <c r="F30" i="21"/>
  <c r="S30" i="21"/>
  <c r="J44" i="21"/>
  <c r="AC44" i="21"/>
  <c r="H44" i="21"/>
  <c r="U44" i="21"/>
  <c r="F44" i="21"/>
  <c r="AA44" i="21"/>
  <c r="H46" i="21"/>
  <c r="U46" i="21"/>
  <c r="J46" i="21"/>
  <c r="W46" i="21"/>
  <c r="F46" i="21"/>
  <c r="AA46" i="21"/>
  <c r="E119" i="21"/>
  <c r="F119" i="21"/>
  <c r="G119" i="21"/>
  <c r="H119" i="21"/>
  <c r="I119" i="21"/>
  <c r="J119" i="21"/>
  <c r="K119" i="21"/>
  <c r="L119" i="21"/>
  <c r="M119" i="21"/>
  <c r="U28" i="33"/>
  <c r="W28" i="33"/>
  <c r="F33" i="35"/>
  <c r="S33" i="35"/>
  <c r="J33" i="35"/>
  <c r="AC33" i="35"/>
  <c r="F30" i="35"/>
  <c r="S30"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W13" i="33"/>
  <c r="S13" i="33"/>
  <c r="U29" i="33"/>
  <c r="S29" i="33"/>
  <c r="W31" i="33"/>
  <c r="S31" i="33"/>
  <c r="U45" i="33"/>
  <c r="W45" i="33"/>
  <c r="J14" i="34"/>
  <c r="W14" i="34"/>
  <c r="F14" i="34"/>
  <c r="S14" i="34"/>
  <c r="H14" i="34"/>
  <c r="H30" i="34"/>
  <c r="U30" i="34"/>
  <c r="F30" i="34"/>
  <c r="S30" i="34"/>
  <c r="J30" i="34"/>
  <c r="W30" i="34"/>
  <c r="H32" i="34"/>
  <c r="F32" i="34"/>
  <c r="S32" i="34"/>
  <c r="J32" i="34"/>
  <c r="W32" i="34"/>
  <c r="H46" i="34"/>
  <c r="U46" i="34"/>
  <c r="F46" i="34"/>
  <c r="J46" i="34"/>
  <c r="W46" i="34"/>
  <c r="H11" i="35"/>
  <c r="U11" i="35"/>
  <c r="J11" i="35"/>
  <c r="AC11" i="35"/>
  <c r="F11" i="35"/>
  <c r="S11" i="35"/>
  <c r="J26" i="36"/>
  <c r="W26" i="36"/>
  <c r="H28" i="36"/>
  <c r="U28"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H107" i="37"/>
  <c r="I107" i="37"/>
  <c r="J107" i="37"/>
  <c r="K107" i="37"/>
  <c r="L107" i="37"/>
  <c r="M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F27" i="37"/>
  <c r="AA27" i="37"/>
  <c r="H13" i="39"/>
  <c r="U13" i="39"/>
  <c r="H14" i="40"/>
  <c r="AB14" i="40"/>
  <c r="J14" i="40"/>
  <c r="W14" i="40"/>
  <c r="F14" i="40"/>
  <c r="AA14" i="40"/>
  <c r="J14" i="37"/>
  <c r="AC14" i="37"/>
  <c r="J27" i="37"/>
  <c r="AC27" i="37"/>
  <c r="AA13" i="35"/>
  <c r="U46" i="33"/>
  <c r="J36" i="37"/>
  <c r="AC36" i="37"/>
  <c r="G105" i="37"/>
  <c r="AB11" i="36"/>
  <c r="AB11" i="35"/>
  <c r="J10" i="36"/>
  <c r="AC10" i="36"/>
  <c r="W31" i="34"/>
  <c r="AC13" i="36"/>
  <c r="W13" i="36"/>
  <c r="S11" i="36"/>
  <c r="W11" i="36"/>
  <c r="W11" i="35"/>
  <c r="AB46" i="34"/>
  <c r="AC30" i="34"/>
  <c r="AA14" i="34"/>
  <c r="S45" i="33"/>
  <c r="U31" i="33"/>
  <c r="W29" i="33"/>
  <c r="U13" i="33"/>
  <c r="S44" i="34"/>
  <c r="BA585" i="3"/>
  <c r="F17" i="21"/>
  <c r="AA17" i="21"/>
  <c r="H17" i="21"/>
  <c r="AB17" i="21"/>
  <c r="F15" i="21"/>
  <c r="S15" i="21"/>
  <c r="AB11" i="21"/>
  <c r="J41" i="39"/>
  <c r="W41" i="39"/>
  <c r="W44" i="39"/>
  <c r="W36" i="39"/>
  <c r="U36" i="39"/>
  <c r="S35" i="39"/>
  <c r="G544" i="3"/>
  <c r="G532"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34" i="3"/>
  <c r="BL522" i="3"/>
  <c r="BL516" i="3"/>
  <c r="BL512" i="3"/>
  <c r="BL506" i="3"/>
  <c r="BL502" i="3"/>
  <c r="BL498" i="3"/>
  <c r="BL494" i="3"/>
  <c r="BL582" i="3"/>
  <c r="BL578" i="3"/>
  <c r="BL574" i="3"/>
  <c r="BL570" i="3"/>
  <c r="BL566" i="3"/>
  <c r="BL562" i="3"/>
  <c r="BL556" i="3"/>
  <c r="BL552" i="3"/>
  <c r="BL528" i="3"/>
  <c r="G525" i="3"/>
  <c r="BL524" i="3"/>
  <c r="BL518" i="3"/>
  <c r="BL514" i="3"/>
  <c r="BA514" i="3"/>
  <c r="AZ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8" i="3"/>
  <c r="AZ548" i="3"/>
  <c r="BA542" i="3"/>
  <c r="BA538" i="3"/>
  <c r="BA534" i="3"/>
  <c r="AZ534" i="3"/>
  <c r="BA530" i="3"/>
  <c r="BA524" i="3"/>
  <c r="AZ524" i="3"/>
  <c r="BA522" i="3"/>
  <c r="BA520" i="3"/>
  <c r="BA518" i="3"/>
  <c r="AZ518" i="3"/>
  <c r="BA516" i="3"/>
  <c r="AZ516"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5" i="3"/>
  <c r="BL545" i="3"/>
  <c r="AZ545" i="3"/>
  <c r="BA537" i="3"/>
  <c r="BL537" i="3"/>
  <c r="AZ537" i="3"/>
  <c r="BA529" i="3"/>
  <c r="BL529" i="3"/>
  <c r="AZ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L557" i="3"/>
  <c r="AZ557" i="3"/>
  <c r="BL583" i="3"/>
  <c r="BL581" i="3"/>
  <c r="AZ581" i="3"/>
  <c r="BL579" i="3"/>
  <c r="AZ579" i="3"/>
  <c r="BL577" i="3"/>
  <c r="BL575" i="3"/>
  <c r="AZ575" i="3"/>
  <c r="BL573" i="3"/>
  <c r="BL571" i="3"/>
  <c r="AZ571" i="3"/>
  <c r="BL569" i="3"/>
  <c r="AZ569" i="3"/>
  <c r="BL567" i="3"/>
  <c r="AZ567" i="3"/>
  <c r="BL565" i="3"/>
  <c r="AZ565" i="3"/>
  <c r="BL563" i="3"/>
  <c r="AZ563" i="3"/>
  <c r="BL561" i="3"/>
  <c r="AZ561" i="3"/>
  <c r="BL559" i="3"/>
  <c r="AZ559" i="3"/>
  <c r="G559" i="3"/>
  <c r="G555" i="3"/>
  <c r="G553" i="3"/>
  <c r="G549" i="3"/>
  <c r="G545" i="3"/>
  <c r="G541" i="3"/>
  <c r="G537" i="3"/>
  <c r="BL555" i="3"/>
  <c r="AZ555" i="3"/>
  <c r="BL553" i="3"/>
  <c r="AZ553" i="3"/>
  <c r="BL551" i="3"/>
  <c r="BL525" i="3"/>
  <c r="AZ525" i="3"/>
  <c r="BL523" i="3"/>
  <c r="AZ523" i="3"/>
  <c r="BA521" i="3"/>
  <c r="AC521" i="3"/>
  <c r="G521" i="3"/>
  <c r="BL521" i="3"/>
  <c r="AZ521" i="3"/>
  <c r="BL520" i="3"/>
  <c r="AZ520" i="3"/>
  <c r="G519" i="3"/>
  <c r="G517" i="3"/>
  <c r="G515" i="3"/>
  <c r="G513" i="3"/>
  <c r="G511" i="3"/>
  <c r="BL519" i="3"/>
  <c r="AZ519" i="3"/>
  <c r="BL517" i="3"/>
  <c r="AZ517" i="3"/>
  <c r="BL515" i="3"/>
  <c r="AZ515" i="3"/>
  <c r="BL513" i="3"/>
  <c r="AZ513" i="3"/>
  <c r="BL511" i="3"/>
  <c r="AZ511" i="3"/>
  <c r="BA509" i="3"/>
  <c r="AC509" i="3"/>
  <c r="AC5" i="3"/>
  <c r="BL509" i="3"/>
  <c r="AZ509" i="3"/>
  <c r="BL508" i="3"/>
  <c r="AZ508" i="3"/>
  <c r="G507" i="3"/>
  <c r="G505" i="3"/>
  <c r="G503" i="3"/>
  <c r="G501" i="3"/>
  <c r="G499" i="3"/>
  <c r="G497" i="3"/>
  <c r="G495" i="3"/>
  <c r="BL507" i="3"/>
  <c r="AZ507" i="3"/>
  <c r="BL505" i="3"/>
  <c r="AZ505" i="3"/>
  <c r="BL503" i="3"/>
  <c r="AZ503" i="3"/>
  <c r="BL501" i="3"/>
  <c r="BL499" i="3"/>
  <c r="BL497" i="3"/>
  <c r="AZ497" i="3"/>
  <c r="BL495" i="3"/>
  <c r="AZ495" i="3"/>
  <c r="BL493" i="3"/>
  <c r="AZ493" i="3"/>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U43" i="33"/>
  <c r="U14" i="40"/>
  <c r="AC33" i="36"/>
  <c r="AA12" i="35"/>
  <c r="W14" i="37"/>
  <c r="AB28" i="37"/>
  <c r="U33" i="37"/>
  <c r="U39" i="37"/>
  <c r="W26" i="37"/>
  <c r="AC8" i="37"/>
  <c r="U26" i="37"/>
  <c r="W47" i="34"/>
  <c r="AB13" i="34"/>
  <c r="W37" i="34"/>
  <c r="AB37" i="34"/>
  <c r="AC36" i="34"/>
  <c r="W44" i="33"/>
  <c r="U11" i="33"/>
  <c r="U19" i="21"/>
  <c r="W44" i="21"/>
  <c r="U26" i="21"/>
  <c r="AC46" i="21"/>
  <c r="U12" i="21"/>
  <c r="AB38" i="21"/>
  <c r="W15" i="34"/>
  <c r="AC15" i="34"/>
  <c r="W16" i="35"/>
  <c r="W40"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AC12" i="37"/>
  <c r="H31" i="37"/>
  <c r="U31" i="37"/>
  <c r="F71" i="37"/>
  <c r="G71" i="37"/>
  <c r="J15" i="37"/>
  <c r="W15" i="37"/>
  <c r="U12" i="37"/>
  <c r="AT6" i="3"/>
  <c r="AA25" i="21"/>
  <c r="C12" i="43"/>
  <c r="H19" i="40"/>
  <c r="U19" i="40"/>
  <c r="F88" i="40"/>
  <c r="G88" i="40"/>
  <c r="F19" i="40"/>
  <c r="S19" i="40"/>
  <c r="S14" i="40"/>
  <c r="AC13" i="40"/>
  <c r="AB33" i="40"/>
  <c r="AB44" i="39"/>
  <c r="U44" i="39"/>
  <c r="G101" i="39"/>
  <c r="H37" i="39"/>
  <c r="AB37" i="39"/>
  <c r="AC37" i="39"/>
  <c r="W37" i="39"/>
  <c r="H25" i="39"/>
  <c r="AB25" i="39"/>
  <c r="J25" i="39"/>
  <c r="F25" i="39"/>
  <c r="AA25" i="39"/>
  <c r="F15" i="39"/>
  <c r="AA15" i="39"/>
  <c r="H15" i="39"/>
  <c r="U15" i="39"/>
  <c r="J15" i="39"/>
  <c r="W15" i="39"/>
  <c r="H41" i="39"/>
  <c r="AB34" i="39"/>
  <c r="S42" i="39"/>
  <c r="AA41" i="39"/>
  <c r="W9" i="39"/>
  <c r="W8" i="39"/>
  <c r="J19" i="40"/>
  <c r="AC19" i="40"/>
  <c r="J50" i="40"/>
  <c r="H103" i="9"/>
  <c r="D8" i="53"/>
  <c r="B16" i="53"/>
  <c r="B33" i="72"/>
  <c r="C7" i="37"/>
  <c r="C7" i="34"/>
  <c r="C7" i="36"/>
  <c r="W35" i="40"/>
  <c r="A118" i="9"/>
  <c r="A4" i="52"/>
  <c r="B41" i="72"/>
  <c r="J11" i="39"/>
  <c r="W11" i="39"/>
  <c r="F11" i="39"/>
  <c r="AA11" i="39"/>
  <c r="A12" i="52"/>
  <c r="B56" i="72"/>
  <c r="G4" i="4"/>
  <c r="I4" i="4"/>
  <c r="K5" i="4"/>
  <c r="B47" i="48"/>
  <c r="A2" i="9"/>
  <c r="N2" i="43"/>
  <c r="F59" i="43"/>
  <c r="AZ24" i="3"/>
  <c r="AZ28" i="3"/>
  <c r="AZ32" i="3"/>
  <c r="BL549" i="3"/>
  <c r="AZ494" i="3"/>
  <c r="AZ502" i="3"/>
  <c r="AZ522" i="3"/>
  <c r="G524" i="3"/>
  <c r="G303" i="3"/>
  <c r="BL304" i="3"/>
  <c r="G305" i="3"/>
  <c r="BL306" i="3"/>
  <c r="BA308" i="3"/>
  <c r="AZ308" i="3"/>
  <c r="BA309" i="3"/>
  <c r="BL309" i="3"/>
  <c r="AZ309" i="3"/>
  <c r="G310" i="3"/>
  <c r="BA311" i="3"/>
  <c r="BL311" i="3"/>
  <c r="AZ311" i="3"/>
  <c r="G319" i="3"/>
  <c r="BL320" i="3"/>
  <c r="G321" i="3"/>
  <c r="BL322" i="3"/>
  <c r="BA324" i="3"/>
  <c r="AZ324" i="3"/>
  <c r="BA325" i="3"/>
  <c r="BL325" i="3"/>
  <c r="AZ325" i="3"/>
  <c r="G326" i="3"/>
  <c r="BA327" i="3"/>
  <c r="G335" i="3"/>
  <c r="BL336" i="3"/>
  <c r="G337" i="3"/>
  <c r="BL338" i="3"/>
  <c r="BA340" i="3"/>
  <c r="AZ340" i="3"/>
  <c r="BA341" i="3"/>
  <c r="BL341" i="3"/>
  <c r="AZ341" i="3"/>
  <c r="BA343" i="3"/>
  <c r="BA345" i="3"/>
  <c r="BL345" i="3"/>
  <c r="AZ345" i="3"/>
  <c r="BL355" i="3"/>
  <c r="G356" i="3"/>
  <c r="BL357" i="3"/>
  <c r="BA359" i="3"/>
  <c r="AZ359" i="3"/>
  <c r="BA360" i="3"/>
  <c r="BL360" i="3"/>
  <c r="G361" i="3"/>
  <c r="BA362" i="3"/>
  <c r="BL362" i="3"/>
  <c r="AZ362" i="3"/>
  <c r="G370" i="3"/>
  <c r="BL371" i="3"/>
  <c r="G372" i="3"/>
  <c r="BL373" i="3"/>
  <c r="BA375" i="3"/>
  <c r="AZ375" i="3"/>
  <c r="BA376" i="3"/>
  <c r="BL376" i="3"/>
  <c r="AZ376" i="3"/>
  <c r="G377" i="3"/>
  <c r="BA378" i="3"/>
  <c r="BL378" i="3"/>
  <c r="AZ378" i="3"/>
  <c r="G379" i="3"/>
  <c r="BA380" i="3"/>
  <c r="G388" i="3"/>
  <c r="BL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AZ356" i="3"/>
  <c r="G357" i="3"/>
  <c r="G360" i="3"/>
  <c r="BL361" i="3"/>
  <c r="BA363" i="3"/>
  <c r="AZ363" i="3"/>
  <c r="BA364" i="3"/>
  <c r="BL364" i="3"/>
  <c r="AZ364" i="3"/>
  <c r="G365" i="3"/>
  <c r="G368" i="3"/>
  <c r="BL369" i="3"/>
  <c r="BA371" i="3"/>
  <c r="AZ371" i="3"/>
  <c r="BA372" i="3"/>
  <c r="BL372" i="3"/>
  <c r="AZ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G346" i="3"/>
  <c r="AZ348" i="3"/>
  <c r="BL349" i="3"/>
  <c r="AZ349" i="3"/>
  <c r="BL352" i="3"/>
  <c r="G353" i="3"/>
  <c r="BA357" i="3"/>
  <c r="AZ357" i="3"/>
  <c r="BL358" i="3"/>
  <c r="AZ358" i="3"/>
  <c r="G359" i="3"/>
  <c r="BA361" i="3"/>
  <c r="AZ361"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H5" i="3"/>
  <c r="BD5" i="3"/>
  <c r="AZ317" i="3"/>
  <c r="AZ333" i="3"/>
  <c r="AZ549" i="3"/>
  <c r="AZ506" i="3"/>
  <c r="AZ496" i="3"/>
  <c r="G538" i="3"/>
  <c r="G520" i="3"/>
  <c r="G502" i="3"/>
  <c r="AZ343" i="3"/>
  <c r="BI5" i="3"/>
  <c r="BE5" i="3"/>
  <c r="G17" i="3"/>
  <c r="BA17" i="3"/>
  <c r="AZ350" i="3"/>
  <c r="AZ352" i="3"/>
  <c r="AZ360" i="3"/>
  <c r="AZ368" i="3"/>
  <c r="BA15" i="3"/>
  <c r="BB5" i="3"/>
  <c r="E10" i="6"/>
  <c r="AZ380" i="3"/>
  <c r="AZ388" i="3"/>
  <c r="AZ396" i="3"/>
  <c r="AZ499" i="3"/>
  <c r="G509" i="3"/>
  <c r="AZ491" i="3"/>
  <c r="AZ390" i="3"/>
  <c r="U36" i="40"/>
  <c r="N4" i="43"/>
  <c r="F36" i="43"/>
  <c r="F81" i="43"/>
  <c r="H83" i="43"/>
  <c r="H113" i="43"/>
  <c r="F48" i="43"/>
  <c r="H52" i="43"/>
  <c r="N7" i="43"/>
  <c r="F70" i="43"/>
  <c r="H73" i="43"/>
  <c r="M6" i="43"/>
  <c r="M11" i="43"/>
  <c r="E17" i="43"/>
  <c r="F39" i="43"/>
  <c r="I17" i="43"/>
  <c r="F35" i="43"/>
  <c r="J17" i="43"/>
  <c r="F6" i="1"/>
  <c r="S14" i="35"/>
  <c r="U43" i="21"/>
  <c r="U35" i="21"/>
  <c r="AC35" i="21"/>
  <c r="U10" i="21"/>
  <c r="F48" i="9"/>
  <c r="O52" i="9"/>
  <c r="AC11" i="39"/>
  <c r="AZ501" i="3"/>
  <c r="W37" i="37"/>
  <c r="W44" i="34"/>
  <c r="S15"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S11" i="40"/>
  <c r="E98" i="40"/>
  <c r="F98" i="40"/>
  <c r="G98" i="40"/>
  <c r="H98" i="40"/>
  <c r="I98" i="40"/>
  <c r="J98" i="40"/>
  <c r="K98" i="40"/>
  <c r="L98" i="40"/>
  <c r="M98" i="40"/>
  <c r="S10" i="33"/>
  <c r="S34" i="33"/>
  <c r="U34" i="33"/>
  <c r="S35" i="33"/>
  <c r="F39" i="34"/>
  <c r="S39" i="34"/>
  <c r="J39" i="34"/>
  <c r="W39" i="34"/>
  <c r="F40" i="34"/>
  <c r="S40" i="34"/>
  <c r="F43" i="34"/>
  <c r="AA43" i="34"/>
  <c r="H44" i="34"/>
  <c r="AB44" i="34"/>
  <c r="F39" i="39"/>
  <c r="S39" i="39"/>
  <c r="J39" i="39"/>
  <c r="AC39" i="39"/>
  <c r="E97" i="39"/>
  <c r="J23" i="39"/>
  <c r="AC23"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c r="H27" i="36"/>
  <c r="U27" i="36"/>
  <c r="F27" i="36"/>
  <c r="AA27" i="36"/>
  <c r="H33" i="34"/>
  <c r="U33" i="34"/>
  <c r="F32" i="37"/>
  <c r="AA32" i="37"/>
  <c r="F20" i="36"/>
  <c r="AA20" i="36"/>
  <c r="J33" i="34"/>
  <c r="AC33" i="34"/>
  <c r="H23" i="39"/>
  <c r="U23" i="39"/>
  <c r="D48" i="9"/>
  <c r="M52" i="9"/>
  <c r="H82" i="43"/>
  <c r="K9" i="1"/>
  <c r="M9" i="1"/>
  <c r="D93" i="9"/>
  <c r="K6" i="1"/>
  <c r="W27" i="34"/>
  <c r="AC27" i="34"/>
  <c r="AB34" i="36"/>
  <c r="U34" i="36"/>
  <c r="AB33" i="36"/>
  <c r="U33" i="36"/>
  <c r="AC12" i="39"/>
  <c r="AC39" i="40"/>
  <c r="W39" i="40"/>
  <c r="AZ401" i="3"/>
  <c r="AZ412" i="3"/>
  <c r="AZ417" i="3"/>
  <c r="AZ428" i="3"/>
  <c r="AZ433" i="3"/>
  <c r="AZ465" i="3"/>
  <c r="W12" i="33"/>
  <c r="AZ408" i="3"/>
  <c r="AZ437" i="3"/>
  <c r="AZ441" i="3"/>
  <c r="AZ457" i="3"/>
  <c r="AZ473" i="3"/>
  <c r="AZ490" i="3"/>
  <c r="BL14" i="3"/>
  <c r="AZ266" i="3"/>
  <c r="AC13" i="34"/>
  <c r="W28" i="37"/>
  <c r="S19" i="39"/>
  <c r="H12" i="39"/>
  <c r="AB12" i="39"/>
  <c r="F39" i="40"/>
  <c r="S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R12" i="1"/>
  <c r="R12" i="1"/>
  <c r="B12" i="1"/>
  <c r="E12" i="1"/>
  <c r="B10" i="1"/>
  <c r="E10" i="1"/>
  <c r="D1" i="66"/>
  <c r="E10" i="66"/>
  <c r="AZ80" i="3"/>
  <c r="AZ84" i="3"/>
  <c r="AZ88" i="3"/>
  <c r="AZ107" i="3"/>
  <c r="AZ111" i="3"/>
  <c r="K12" i="1"/>
  <c r="M12" i="1"/>
  <c r="S13" i="1"/>
  <c r="AR13" i="1"/>
  <c r="R13" i="1"/>
  <c r="J51" i="67"/>
  <c r="C42" i="1"/>
  <c r="C24" i="12"/>
  <c r="H100" i="43"/>
  <c r="C30" i="66"/>
  <c r="E26" i="66"/>
  <c r="B41" i="1"/>
  <c r="F52" i="9"/>
  <c r="J100" i="43"/>
  <c r="AB37" i="40"/>
  <c r="S35" i="40"/>
  <c r="AC36" i="40"/>
  <c r="W38" i="40"/>
  <c r="AA32" i="40"/>
  <c r="S17" i="40"/>
  <c r="S23" i="40"/>
  <c r="AC17" i="40"/>
  <c r="AC15" i="40"/>
  <c r="AB27" i="40"/>
  <c r="S30" i="40"/>
  <c r="S28" i="40"/>
  <c r="AA27" i="40"/>
  <c r="U21" i="40"/>
  <c r="W42" i="39"/>
  <c r="W39" i="39"/>
  <c r="S37" i="39"/>
  <c r="U35" i="39"/>
  <c r="F32" i="39"/>
  <c r="S32" i="39"/>
  <c r="F107" i="39"/>
  <c r="G107" i="39"/>
  <c r="H107" i="39"/>
  <c r="I107" i="39"/>
  <c r="J107" i="39"/>
  <c r="K107" i="39"/>
  <c r="L107" i="39"/>
  <c r="M107" i="39"/>
  <c r="AB27" i="39"/>
  <c r="S25" i="39"/>
  <c r="F21" i="39"/>
  <c r="AA21" i="39"/>
  <c r="H21" i="39"/>
  <c r="AB21" i="39"/>
  <c r="S17" i="39"/>
  <c r="AC15" i="39"/>
  <c r="S15" i="39"/>
  <c r="AB15" i="39"/>
  <c r="AA12" i="39"/>
  <c r="S9" i="39"/>
  <c r="U14" i="39"/>
  <c r="U12" i="39"/>
  <c r="S23" i="36"/>
  <c r="U13" i="36"/>
  <c r="AB27" i="36"/>
  <c r="U26" i="36"/>
  <c r="S33" i="36"/>
  <c r="S27" i="36"/>
  <c r="AA26" i="36"/>
  <c r="AA34" i="36"/>
  <c r="S29" i="36"/>
  <c r="AC26" i="36"/>
  <c r="AA22" i="36"/>
  <c r="W14" i="36"/>
  <c r="AB14" i="36"/>
  <c r="U22" i="36"/>
  <c r="S16" i="36"/>
  <c r="S24" i="36"/>
  <c r="U24" i="36"/>
  <c r="U23" i="36"/>
  <c r="AB20" i="36"/>
  <c r="U16" i="36"/>
  <c r="U10" i="36"/>
  <c r="W10" i="36"/>
  <c r="AA25"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AC12" i="35"/>
  <c r="W13" i="35"/>
  <c r="F9" i="35"/>
  <c r="AA9" i="35"/>
  <c r="F26" i="35"/>
  <c r="AA26" i="35"/>
  <c r="J26" i="35"/>
  <c r="AC26" i="35"/>
  <c r="H26" i="35"/>
  <c r="AB40" i="37"/>
  <c r="W27" i="37"/>
  <c r="S26" i="37"/>
  <c r="AC9" i="37"/>
  <c r="AC29" i="37"/>
  <c r="U29" i="37"/>
  <c r="S32" i="37"/>
  <c r="AB31" i="37"/>
  <c r="W30" i="37"/>
  <c r="S36" i="37"/>
  <c r="U32" i="37"/>
  <c r="W38" i="37"/>
  <c r="AC35" i="37"/>
  <c r="W39" i="37"/>
  <c r="S30" i="37"/>
  <c r="AC15" i="37"/>
  <c r="J17" i="37"/>
  <c r="W17" i="37"/>
  <c r="G73" i="37"/>
  <c r="F17" i="37"/>
  <c r="AA17" i="37"/>
  <c r="AB17" i="37"/>
  <c r="F75" i="37"/>
  <c r="F19" i="37"/>
  <c r="S19" i="37"/>
  <c r="F79" i="37"/>
  <c r="F23" i="37"/>
  <c r="S23" i="37"/>
  <c r="U23" i="37"/>
  <c r="U15" i="37"/>
  <c r="AC13" i="37"/>
  <c r="U9" i="37"/>
  <c r="AA13" i="37"/>
  <c r="AA12" i="37"/>
  <c r="AA9" i="37"/>
  <c r="H10" i="37"/>
  <c r="H60" i="37"/>
  <c r="I60" i="37"/>
  <c r="F63" i="37"/>
  <c r="F11" i="37"/>
  <c r="S11" i="37"/>
  <c r="S27" i="34"/>
  <c r="W25" i="34"/>
  <c r="AB8" i="34"/>
  <c r="AA33" i="34"/>
  <c r="U44" i="34"/>
  <c r="AC39" i="34"/>
  <c r="AC42" i="34"/>
  <c r="U39" i="34"/>
  <c r="AB41" i="34"/>
  <c r="W34" i="34"/>
  <c r="AA25" i="34"/>
  <c r="U28" i="34"/>
  <c r="S17" i="34"/>
  <c r="AA29" i="34"/>
  <c r="S23" i="34"/>
  <c r="S10" i="34"/>
  <c r="S13" i="34"/>
  <c r="H67" i="34"/>
  <c r="I67" i="34"/>
  <c r="H10" i="34"/>
  <c r="F11" i="34"/>
  <c r="S11" i="34"/>
  <c r="F70" i="34"/>
  <c r="W42" i="33"/>
  <c r="S32" i="33"/>
  <c r="W38" i="33"/>
  <c r="U41" i="33"/>
  <c r="U42" i="33"/>
  <c r="S42" i="33"/>
  <c r="S37" i="33"/>
  <c r="S39" i="33"/>
  <c r="F101" i="33"/>
  <c r="G101" i="33"/>
  <c r="H101" i="33"/>
  <c r="I101" i="33"/>
  <c r="J101" i="33"/>
  <c r="K101" i="33"/>
  <c r="L101" i="33"/>
  <c r="M101" i="33"/>
  <c r="W32" i="33"/>
  <c r="S46" i="33"/>
  <c r="W43" i="33"/>
  <c r="S43" i="33"/>
  <c r="F91" i="33"/>
  <c r="F87" i="33"/>
  <c r="F85" i="33"/>
  <c r="G85" i="33"/>
  <c r="F81" i="33"/>
  <c r="S19" i="33"/>
  <c r="S15" i="33"/>
  <c r="W15" i="33"/>
  <c r="I66" i="33"/>
  <c r="W10"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34" i="15"/>
  <c r="F62" i="15"/>
  <c r="G13" i="3"/>
  <c r="G5" i="3"/>
  <c r="B3" i="3"/>
  <c r="A3" i="3"/>
  <c r="BA13" i="3"/>
  <c r="BL13" i="3"/>
  <c r="AZ13" i="3"/>
  <c r="BL17" i="3"/>
  <c r="AZ17" i="3"/>
  <c r="J56" i="9"/>
  <c r="J57" i="9"/>
  <c r="J59" i="9"/>
  <c r="J61" i="9"/>
  <c r="A24" i="51"/>
  <c r="B18" i="72"/>
  <c r="E5" i="6"/>
  <c r="E32" i="6"/>
  <c r="L19" i="6"/>
  <c r="G1" i="68"/>
  <c r="K1" i="12"/>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G6" i="1"/>
  <c r="H85"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c r="C7" i="39"/>
  <c r="C68" i="39"/>
  <c r="C7" i="35"/>
  <c r="C48" i="35"/>
  <c r="D48" i="35"/>
  <c r="E48" i="35"/>
  <c r="F48" i="35"/>
  <c r="C7" i="21"/>
  <c r="C58" i="21"/>
  <c r="D58" i="21"/>
  <c r="E58" i="21"/>
  <c r="C7" i="40"/>
  <c r="C63" i="40"/>
  <c r="D63" i="40"/>
  <c r="M47" i="9"/>
  <c r="G19" i="43"/>
  <c r="C46" i="36"/>
  <c r="D46" i="36"/>
  <c r="C59" i="34"/>
  <c r="D59" i="34"/>
  <c r="E59" i="34"/>
  <c r="F59" i="34"/>
  <c r="G59" i="34"/>
  <c r="C52" i="37"/>
  <c r="D52" i="37"/>
  <c r="E52" i="37"/>
  <c r="A4" i="51"/>
  <c r="B6" i="72"/>
  <c r="C4" i="12"/>
  <c r="H62" i="43"/>
  <c r="H66" i="43"/>
  <c r="H61" i="43"/>
  <c r="H65" i="43"/>
  <c r="H60" i="43"/>
  <c r="H64" i="43"/>
  <c r="H59" i="43"/>
  <c r="H63" i="43"/>
  <c r="H67" i="43"/>
  <c r="H55" i="43"/>
  <c r="H51" i="43"/>
  <c r="H56" i="43"/>
  <c r="H76" i="43"/>
  <c r="H77" i="43"/>
  <c r="L20" i="6"/>
  <c r="B6" i="1"/>
  <c r="E6" i="1"/>
  <c r="K11" i="1"/>
  <c r="AP6" i="1"/>
  <c r="B9" i="1"/>
  <c r="E9" i="1"/>
  <c r="K7" i="1"/>
  <c r="G1" i="15"/>
  <c r="G1" i="69"/>
  <c r="G1" i="67"/>
  <c r="W23" i="40"/>
  <c r="AB31" i="40"/>
  <c r="S37" i="40"/>
  <c r="AB28" i="40"/>
  <c r="W28" i="40"/>
  <c r="W34" i="40"/>
  <c r="W19" i="40"/>
  <c r="W27" i="40"/>
  <c r="S36" i="40"/>
  <c r="W37" i="40"/>
  <c r="AC14" i="40"/>
  <c r="S13" i="40"/>
  <c r="AA15" i="40"/>
  <c r="U11" i="40"/>
  <c r="S31" i="40"/>
  <c r="U15" i="40"/>
  <c r="AB17" i="40"/>
  <c r="U8" i="40"/>
  <c r="S8" i="40"/>
  <c r="AC41" i="39"/>
  <c r="U42" i="39"/>
  <c r="AB23" i="39"/>
  <c r="U41" i="39"/>
  <c r="AB41" i="39"/>
  <c r="W25" i="39"/>
  <c r="AC25" i="39"/>
  <c r="AB13" i="39"/>
  <c r="S14" i="39"/>
  <c r="AA14" i="39"/>
  <c r="U11" i="39"/>
  <c r="S27" i="39"/>
  <c r="W17" i="39"/>
  <c r="AC17" i="39"/>
  <c r="S23" i="39"/>
  <c r="AB39" i="39"/>
  <c r="S8" i="39"/>
  <c r="AC25" i="36"/>
  <c r="S28" i="36"/>
  <c r="AC20" i="36"/>
  <c r="U25" i="36"/>
  <c r="AB28" i="36"/>
  <c r="W9" i="36"/>
  <c r="W22" i="36"/>
  <c r="W23" i="36"/>
  <c r="S9" i="36"/>
  <c r="AB20" i="35"/>
  <c r="AC25" i="35"/>
  <c r="U25" i="35"/>
  <c r="W33" i="35"/>
  <c r="AA30" i="35"/>
  <c r="U24" i="35"/>
  <c r="S35" i="35"/>
  <c r="W35" i="35"/>
  <c r="AA16" i="35"/>
  <c r="AA35" i="37"/>
  <c r="W36" i="37"/>
  <c r="S27" i="37"/>
  <c r="S28" i="37"/>
  <c r="W32" i="37"/>
  <c r="U36" i="37"/>
  <c r="S40" i="37"/>
  <c r="AB37" i="37"/>
  <c r="S33" i="37"/>
  <c r="AC34" i="37"/>
  <c r="AA11" i="37"/>
  <c r="AA31" i="37"/>
  <c r="U19" i="37"/>
  <c r="AA29" i="37"/>
  <c r="AA8" i="37"/>
  <c r="U8" i="37"/>
  <c r="AA40" i="34"/>
  <c r="AB40" i="34"/>
  <c r="U19" i="34"/>
  <c r="AB33" i="34"/>
  <c r="AC45" i="34"/>
  <c r="AA31" i="34"/>
  <c r="AA30" i="34"/>
  <c r="AB45" i="34"/>
  <c r="AB47" i="34"/>
  <c r="U25" i="34"/>
  <c r="AB36" i="34"/>
  <c r="W33" i="34"/>
  <c r="AC14" i="34"/>
  <c r="AC32" i="34"/>
  <c r="AC29" i="34"/>
  <c r="W29" i="34"/>
  <c r="AC46" i="34"/>
  <c r="AA32" i="34"/>
  <c r="AB30" i="34"/>
  <c r="S37" i="34"/>
  <c r="U38" i="34"/>
  <c r="W40" i="34"/>
  <c r="AA19" i="34"/>
  <c r="S19" i="34"/>
  <c r="AA36" i="34"/>
  <c r="S36" i="34"/>
  <c r="AA8" i="34"/>
  <c r="S8" i="34"/>
  <c r="U9" i="34"/>
  <c r="S46" i="34"/>
  <c r="AA46" i="34"/>
  <c r="U32" i="34"/>
  <c r="AB32" i="34"/>
  <c r="U14" i="34"/>
  <c r="AB14" i="34"/>
  <c r="W43" i="34"/>
  <c r="W23" i="34"/>
  <c r="AC23" i="34"/>
  <c r="AC35" i="34"/>
  <c r="U12" i="34"/>
  <c r="AB12" i="34"/>
  <c r="W46" i="33"/>
  <c r="U39" i="33"/>
  <c r="U38" i="33"/>
  <c r="S33" i="33"/>
  <c r="U44" i="33"/>
  <c r="S30" i="33"/>
  <c r="W14" i="33"/>
  <c r="W30" i="33"/>
  <c r="S11" i="33"/>
  <c r="U37" i="33"/>
  <c r="S28" i="33"/>
  <c r="W8" i="33"/>
  <c r="S44" i="21"/>
  <c r="AB42" i="21"/>
  <c r="U28" i="21"/>
  <c r="AA11" i="21"/>
  <c r="S45" i="21"/>
  <c r="F33" i="21"/>
  <c r="AA33" i="21"/>
  <c r="J33" i="21"/>
  <c r="H33" i="21"/>
  <c r="AB33" i="21"/>
  <c r="F37" i="21"/>
  <c r="AA37" i="21"/>
  <c r="AA26" i="21"/>
  <c r="AB46" i="21"/>
  <c r="U40" i="21"/>
  <c r="AB31" i="21"/>
  <c r="U31" i="21"/>
  <c r="AC15" i="21"/>
  <c r="AB13" i="21"/>
  <c r="W8" i="21"/>
  <c r="S35" i="21"/>
  <c r="J37" i="21"/>
  <c r="W37" i="21"/>
  <c r="H15" i="21"/>
  <c r="U15" i="21"/>
  <c r="J17" i="21"/>
  <c r="AC17" i="21"/>
  <c r="AC19" i="21"/>
  <c r="W39" i="21"/>
  <c r="S46" i="21"/>
  <c r="F29" i="21"/>
  <c r="S29" i="21"/>
  <c r="F13" i="21"/>
  <c r="AA13" i="21"/>
  <c r="AC38" i="21"/>
  <c r="H32" i="21"/>
  <c r="U32" i="21"/>
  <c r="J9" i="21"/>
  <c r="AC9" i="21"/>
  <c r="J32" i="21"/>
  <c r="F32" i="21"/>
  <c r="S32" i="21"/>
  <c r="AA31" i="21"/>
  <c r="U17" i="21"/>
  <c r="S19" i="21"/>
  <c r="AA9" i="21"/>
  <c r="K141" i="21"/>
  <c r="K144" i="21"/>
  <c r="K143" i="21"/>
  <c r="U27" i="21"/>
  <c r="AB44" i="21"/>
  <c r="W13" i="21"/>
  <c r="AC45" i="21"/>
  <c r="F10" i="21"/>
  <c r="K145" i="21"/>
  <c r="W25" i="21"/>
  <c r="AA29" i="21"/>
  <c r="W31" i="21"/>
  <c r="S17" i="21"/>
  <c r="AA15" i="21"/>
  <c r="AC27" i="21"/>
  <c r="AB29" i="21"/>
  <c r="S28" i="21"/>
  <c r="AC34" i="21"/>
  <c r="W10" i="21"/>
  <c r="W12" i="21"/>
  <c r="AB36" i="21"/>
  <c r="W30" i="40"/>
  <c r="C19" i="39"/>
  <c r="C15" i="40"/>
  <c r="C17" i="40"/>
  <c r="C23" i="40"/>
  <c r="C21" i="40"/>
  <c r="U30" i="40"/>
  <c r="B65" i="43"/>
  <c r="B52" i="43"/>
  <c r="B56" i="43"/>
  <c r="B60" i="43"/>
  <c r="B63" i="43"/>
  <c r="B67" i="43"/>
  <c r="E22" i="49"/>
  <c r="D23" i="15"/>
  <c r="D22" i="15"/>
  <c r="E11" i="49"/>
  <c r="AQ13" i="1"/>
  <c r="M6" i="1"/>
  <c r="O6" i="1"/>
  <c r="AA39" i="40"/>
  <c r="S12" i="33"/>
  <c r="J32" i="39"/>
  <c r="AC32" i="39"/>
  <c r="H32" i="39"/>
  <c r="AA32" i="39"/>
  <c r="S26" i="35"/>
  <c r="S9" i="35"/>
  <c r="W26" i="35"/>
  <c r="AB26" i="35"/>
  <c r="U26" i="35"/>
  <c r="AC17" i="37"/>
  <c r="S17" i="37"/>
  <c r="J19" i="37"/>
  <c r="G75" i="37"/>
  <c r="AA19" i="37"/>
  <c r="J23" i="37"/>
  <c r="W23" i="37"/>
  <c r="G79" i="37"/>
  <c r="J10" i="37"/>
  <c r="AC10" i="37"/>
  <c r="G63" i="37"/>
  <c r="H63" i="37"/>
  <c r="I63" i="37"/>
  <c r="J63" i="37"/>
  <c r="K63" i="37"/>
  <c r="L63" i="37"/>
  <c r="M63" i="37"/>
  <c r="H11" i="37"/>
  <c r="AB10" i="37"/>
  <c r="U10" i="37"/>
  <c r="G70" i="34"/>
  <c r="H11" i="34"/>
  <c r="AB10" i="34"/>
  <c r="U10" i="34"/>
  <c r="J10" i="34"/>
  <c r="W10" i="34"/>
  <c r="W35" i="33"/>
  <c r="H111" i="33"/>
  <c r="I111" i="33"/>
  <c r="J111" i="33"/>
  <c r="K111" i="33"/>
  <c r="L111" i="33"/>
  <c r="M111" i="33"/>
  <c r="S36" i="33"/>
  <c r="G91" i="33"/>
  <c r="H91" i="33"/>
  <c r="I91" i="33"/>
  <c r="J91" i="33"/>
  <c r="K91" i="33"/>
  <c r="L91" i="33"/>
  <c r="M91" i="33"/>
  <c r="U25" i="33"/>
  <c r="S25" i="33"/>
  <c r="G87" i="33"/>
  <c r="H87" i="33"/>
  <c r="I87" i="33"/>
  <c r="J87" i="33"/>
  <c r="K87" i="33"/>
  <c r="L87" i="33"/>
  <c r="M87" i="33"/>
  <c r="U23" i="33"/>
  <c r="W23" i="33"/>
  <c r="G81" i="33"/>
  <c r="U17" i="33"/>
  <c r="W17" i="33"/>
  <c r="U10" i="33"/>
  <c r="AC37" i="21"/>
  <c r="S37" i="21"/>
  <c r="AB15" i="21"/>
  <c r="J23" i="21"/>
  <c r="F85" i="21"/>
  <c r="G85" i="21"/>
  <c r="H23" i="21"/>
  <c r="U23" i="21"/>
  <c r="S13" i="21"/>
  <c r="O19" i="43"/>
  <c r="F58" i="21"/>
  <c r="C65" i="40"/>
  <c r="AP7" i="1"/>
  <c r="AC33" i="21"/>
  <c r="W33" i="21"/>
  <c r="S33" i="21"/>
  <c r="W32" i="21"/>
  <c r="AC32" i="21"/>
  <c r="AA32" i="21"/>
  <c r="W9" i="21"/>
  <c r="AB32" i="21"/>
  <c r="AA10" i="21"/>
  <c r="S10" i="21"/>
  <c r="U32" i="39"/>
  <c r="AB32" i="39"/>
  <c r="W32" i="39"/>
  <c r="W19" i="37"/>
  <c r="AC19" i="37"/>
  <c r="AC23" i="37"/>
  <c r="AB11" i="37"/>
  <c r="U11" i="37"/>
  <c r="J11" i="37"/>
  <c r="W10" i="37"/>
  <c r="U11" i="34"/>
  <c r="AB11" i="34"/>
  <c r="AC10" i="34"/>
  <c r="H70" i="34"/>
  <c r="I70" i="34"/>
  <c r="J70" i="34"/>
  <c r="K70" i="34"/>
  <c r="L70" i="34"/>
  <c r="M70" i="34"/>
  <c r="J11" i="34"/>
  <c r="W11" i="34"/>
  <c r="W36" i="33"/>
  <c r="U36" i="33"/>
  <c r="W27" i="33"/>
  <c r="W25" i="33"/>
  <c r="S23" i="33"/>
  <c r="U19" i="33"/>
  <c r="S17" i="33"/>
  <c r="AB23" i="21"/>
  <c r="AC23" i="21"/>
  <c r="W23" i="21"/>
  <c r="G39" i="43"/>
  <c r="I39" i="43"/>
  <c r="F1" i="67"/>
  <c r="Q52" i="67"/>
  <c r="AC11" i="37"/>
  <c r="W11" i="37"/>
  <c r="AC11" i="34"/>
  <c r="F34" i="11"/>
  <c r="F11" i="12"/>
  <c r="F34" i="68"/>
  <c r="AG6" i="1"/>
  <c r="H109" i="9"/>
  <c r="H110" i="9"/>
  <c r="D18" i="53"/>
  <c r="B35" i="72"/>
  <c r="D124" i="9"/>
  <c r="H14" i="74"/>
  <c r="B7" i="74"/>
  <c r="H112" i="9"/>
  <c r="D21" i="53"/>
  <c r="B39" i="72"/>
  <c r="H111" i="9"/>
  <c r="D126" i="9"/>
  <c r="I14" i="74"/>
  <c r="B8" i="74"/>
  <c r="D19" i="53"/>
  <c r="D59" i="9"/>
  <c r="M55" i="9"/>
  <c r="B38" i="72"/>
  <c r="D20" i="53"/>
  <c r="B40" i="72"/>
  <c r="AD3" i="71"/>
  <c r="P21" i="43"/>
  <c r="B71" i="39"/>
  <c r="P23" i="43"/>
  <c r="P24" i="43"/>
  <c r="B66" i="40"/>
  <c r="P25" i="43"/>
  <c r="F31" i="67"/>
  <c r="F31" i="15"/>
  <c r="F7" i="15"/>
  <c r="B13" i="76"/>
  <c r="M26" i="15"/>
  <c r="F4" i="73"/>
  <c r="E13" i="76"/>
  <c r="F16" i="15"/>
  <c r="M23" i="15"/>
  <c r="F5" i="73"/>
  <c r="M29" i="15"/>
  <c r="F42" i="15"/>
  <c r="M24" i="67"/>
  <c r="D2" i="21"/>
  <c r="M9" i="15"/>
  <c r="M6" i="15"/>
  <c r="M27" i="67"/>
  <c r="C76" i="15"/>
  <c r="F9" i="67"/>
  <c r="L47" i="15"/>
  <c r="M9" i="67"/>
  <c r="F26" i="15"/>
  <c r="E8" i="76"/>
  <c r="D4" i="73"/>
  <c r="F6" i="67"/>
  <c r="M23" i="67"/>
  <c r="J15" i="15"/>
  <c r="AO13" i="1"/>
  <c r="F8" i="67"/>
  <c r="F3" i="73"/>
  <c r="B10" i="76"/>
  <c r="D2" i="33"/>
  <c r="E2" i="68"/>
  <c r="F37" i="15"/>
  <c r="F20" i="31"/>
  <c r="M27" i="15"/>
  <c r="F6" i="73"/>
  <c r="F13" i="15"/>
  <c r="F40" i="15"/>
  <c r="F41" i="67"/>
  <c r="C76" i="67"/>
  <c r="B12" i="76"/>
  <c r="L48" i="67"/>
  <c r="F38" i="15"/>
  <c r="F35" i="67"/>
  <c r="M8" i="67"/>
  <c r="B8" i="76"/>
  <c r="E9" i="76"/>
  <c r="M29" i="67"/>
  <c r="M22" i="67"/>
  <c r="F13" i="67"/>
  <c r="D2" i="37"/>
  <c r="M6" i="67"/>
  <c r="M22" i="15"/>
  <c r="E2" i="69"/>
  <c r="L48" i="15"/>
  <c r="F6" i="15"/>
  <c r="D2" i="34"/>
  <c r="F43" i="15"/>
  <c r="M28" i="67"/>
  <c r="D7" i="73"/>
  <c r="E11" i="76"/>
  <c r="F38" i="67"/>
  <c r="M24" i="15"/>
  <c r="AO12" i="1"/>
  <c r="M8" i="15"/>
  <c r="D35" i="9"/>
  <c r="F26" i="67"/>
  <c r="B7" i="76"/>
  <c r="F9" i="15"/>
  <c r="F40" i="67"/>
  <c r="D3" i="73"/>
  <c r="F7" i="73"/>
  <c r="F42" i="67"/>
  <c r="D2" i="36"/>
  <c r="F37" i="67"/>
  <c r="F36" i="15"/>
  <c r="E7" i="76"/>
  <c r="B11" i="76"/>
  <c r="F36" i="67"/>
  <c r="D2" i="35"/>
  <c r="D5" i="73"/>
  <c r="M28" i="15"/>
  <c r="M26" i="67"/>
  <c r="J15" i="67"/>
  <c r="E10" i="76"/>
  <c r="F43" i="67"/>
  <c r="L47" i="67"/>
  <c r="F16" i="67"/>
  <c r="E12" i="76"/>
  <c r="D6" i="73"/>
  <c r="F7" i="67"/>
  <c r="F8" i="15"/>
  <c r="M21" i="67"/>
  <c r="B9" i="76"/>
  <c r="D34" i="9"/>
  <c r="E21" i="49"/>
  <c r="W7" i="33"/>
  <c r="U7" i="33"/>
  <c r="E63" i="40"/>
  <c r="D65" i="40"/>
  <c r="C70" i="39"/>
  <c r="D68" i="39"/>
  <c r="D9" i="53"/>
  <c r="B25" i="72"/>
  <c r="B24" i="72"/>
  <c r="W14" i="21"/>
  <c r="AC14" i="21"/>
  <c r="U30" i="21"/>
  <c r="AB30" i="21"/>
  <c r="S27" i="33"/>
  <c r="AA43" i="39"/>
  <c r="S43" i="39"/>
  <c r="W45" i="39"/>
  <c r="AC45" i="39"/>
  <c r="AZ544" i="3"/>
  <c r="AZ532" i="3"/>
  <c r="E11" i="6"/>
  <c r="E61" i="39"/>
  <c r="E14" i="6"/>
  <c r="E64" i="39"/>
  <c r="S41" i="33"/>
  <c r="P22" i="43"/>
  <c r="D125" i="9"/>
  <c r="D11" i="52"/>
  <c r="D10" i="52"/>
  <c r="D16" i="53"/>
  <c r="C36" i="68"/>
  <c r="AA23" i="21"/>
  <c r="U33" i="21"/>
  <c r="AA23" i="37"/>
  <c r="C77" i="9"/>
  <c r="C74" i="9"/>
  <c r="B54" i="43"/>
  <c r="AC26" i="21"/>
  <c r="S27" i="21"/>
  <c r="W17" i="21"/>
  <c r="W42" i="21"/>
  <c r="AA30" i="21"/>
  <c r="AB25" i="21"/>
  <c r="W29" i="21"/>
  <c r="H9" i="21"/>
  <c r="H45" i="21"/>
  <c r="AB37" i="21"/>
  <c r="U15" i="33"/>
  <c r="AA11" i="34"/>
  <c r="W19" i="34"/>
  <c r="AB35" i="37"/>
  <c r="U38" i="37"/>
  <c r="S24" i="35"/>
  <c r="AA13" i="36"/>
  <c r="W29" i="36"/>
  <c r="S20" i="36"/>
  <c r="W34" i="39"/>
  <c r="AB13" i="40"/>
  <c r="S33" i="40"/>
  <c r="U32" i="40"/>
  <c r="H72" i="43"/>
  <c r="C16" i="43"/>
  <c r="C5" i="43"/>
  <c r="H70" i="43"/>
  <c r="H88" i="43"/>
  <c r="H81" i="43"/>
  <c r="U29" i="34"/>
  <c r="D120" i="9"/>
  <c r="W19" i="33"/>
  <c r="U15" i="34"/>
  <c r="U27" i="34"/>
  <c r="AA45" i="34"/>
  <c r="S43" i="34"/>
  <c r="AB35" i="34"/>
  <c r="W41" i="34"/>
  <c r="U43" i="34"/>
  <c r="S37" i="37"/>
  <c r="AA38" i="37"/>
  <c r="H9" i="35"/>
  <c r="AB13" i="35"/>
  <c r="S14" i="36"/>
  <c r="AA25" i="36"/>
  <c r="AC27" i="36"/>
  <c r="AC13" i="39"/>
  <c r="U19" i="39"/>
  <c r="J21" i="39"/>
  <c r="U37" i="39"/>
  <c r="AB19" i="40"/>
  <c r="AA19" i="40"/>
  <c r="U35" i="40"/>
  <c r="AA47" i="34"/>
  <c r="U30" i="33"/>
  <c r="AA39" i="34"/>
  <c r="H87" i="43"/>
  <c r="H86" i="43"/>
  <c r="H74" i="43"/>
  <c r="F97" i="39"/>
  <c r="G97" i="39"/>
  <c r="AC21" i="40"/>
  <c r="U13" i="37"/>
  <c r="BM5" i="3"/>
  <c r="F29" i="6"/>
  <c r="E29" i="6"/>
  <c r="K15" i="1"/>
  <c r="W14" i="39"/>
  <c r="U40" i="39"/>
  <c r="H5" i="3"/>
  <c r="U35" i="35"/>
  <c r="AA12" i="21"/>
  <c r="AZ573" i="3"/>
  <c r="AZ577" i="3"/>
  <c r="AZ583" i="3"/>
  <c r="F13" i="39"/>
  <c r="S14" i="37"/>
  <c r="AA14" i="37"/>
  <c r="J30" i="21"/>
  <c r="H14" i="21"/>
  <c r="AA29" i="35"/>
  <c r="S26" i="33"/>
  <c r="AA28" i="34"/>
  <c r="S28" i="34"/>
  <c r="AB33" i="35"/>
  <c r="U33" i="35"/>
  <c r="W34" i="36"/>
  <c r="AC34" i="36"/>
  <c r="S44" i="39"/>
  <c r="AA12" i="34"/>
  <c r="C27" i="39"/>
  <c r="AC35" i="39"/>
  <c r="W35" i="39"/>
  <c r="BL587" i="3"/>
  <c r="BL585" i="3"/>
  <c r="AZ585" i="3"/>
  <c r="B77" i="43"/>
  <c r="C25" i="39"/>
  <c r="H23" i="35"/>
  <c r="J23" i="35"/>
  <c r="F23" i="35"/>
  <c r="AA10" i="36"/>
  <c r="S10" i="36"/>
  <c r="W16" i="36"/>
  <c r="AC16" i="36"/>
  <c r="F53" i="9"/>
  <c r="F32" i="84"/>
  <c r="F60" i="84"/>
  <c r="F28" i="84"/>
  <c r="C28" i="84"/>
  <c r="M18" i="84"/>
  <c r="F32" i="83"/>
  <c r="F60" i="83"/>
  <c r="F28" i="83"/>
  <c r="C28" i="83"/>
  <c r="M18" i="83"/>
  <c r="F32" i="82"/>
  <c r="F60" i="82"/>
  <c r="F28" i="82"/>
  <c r="C28" i="82"/>
  <c r="M18" i="82"/>
  <c r="F32" i="81"/>
  <c r="F60" i="81"/>
  <c r="F28" i="81"/>
  <c r="C28" i="81"/>
  <c r="M18" i="81"/>
  <c r="F32" i="80"/>
  <c r="F60" i="80"/>
  <c r="F28" i="80"/>
  <c r="C28" i="80"/>
  <c r="M18" i="80"/>
  <c r="AZ587" i="3"/>
  <c r="AZ542" i="3"/>
  <c r="AB31" i="34"/>
  <c r="U31" i="34"/>
  <c r="W28" i="21"/>
  <c r="AC28" i="21"/>
  <c r="U23" i="34"/>
  <c r="AB23" i="34"/>
  <c r="BA586" i="3"/>
  <c r="AZ586" i="3"/>
  <c r="B71" i="43"/>
  <c r="C21" i="39"/>
  <c r="AB34" i="34"/>
  <c r="U34" i="34"/>
  <c r="AA35" i="34"/>
  <c r="S35" i="34"/>
  <c r="AC36" i="35"/>
  <c r="W36" i="35"/>
  <c r="F32" i="36"/>
  <c r="H32" i="36"/>
  <c r="J32" i="36"/>
  <c r="H25" i="37"/>
  <c r="F25" i="37"/>
  <c r="J25" i="37"/>
  <c r="U8" i="39"/>
  <c r="AB8" i="39"/>
  <c r="J43" i="39"/>
  <c r="H43" i="39"/>
  <c r="H45" i="39"/>
  <c r="F45" i="39"/>
  <c r="BA547" i="3"/>
  <c r="AZ547" i="3"/>
  <c r="BL546" i="3"/>
  <c r="BA546" i="3"/>
  <c r="BA543" i="3"/>
  <c r="AZ543" i="3"/>
  <c r="BL540" i="3"/>
  <c r="AZ540" i="3"/>
  <c r="BA539" i="3"/>
  <c r="AZ539" i="3"/>
  <c r="BL538" i="3"/>
  <c r="AZ538" i="3"/>
  <c r="BA535" i="3"/>
  <c r="AZ535" i="3"/>
  <c r="BA531" i="3"/>
  <c r="AZ531" i="3"/>
  <c r="BL530" i="3"/>
  <c r="AZ530" i="3"/>
  <c r="BA528" i="3"/>
  <c r="AZ528" i="3"/>
  <c r="BA527" i="3"/>
  <c r="AZ527" i="3"/>
  <c r="BA526" i="3"/>
  <c r="AZ526" i="3"/>
  <c r="BA551" i="3"/>
  <c r="AZ551" i="3"/>
  <c r="BL550" i="3"/>
  <c r="AZ550" i="3"/>
  <c r="AZ398" i="3"/>
  <c r="AZ405" i="3"/>
  <c r="AZ407" i="3"/>
  <c r="AZ410" i="3"/>
  <c r="AZ415" i="3"/>
  <c r="AZ420" i="3"/>
  <c r="AZ431" i="3"/>
  <c r="AZ448" i="3"/>
  <c r="AZ452" i="3"/>
  <c r="AZ424" i="3"/>
  <c r="AZ429" i="3"/>
  <c r="AZ439" i="3"/>
  <c r="AZ456" i="3"/>
  <c r="AZ466" i="3"/>
  <c r="AZ472" i="3"/>
  <c r="AZ475" i="3"/>
  <c r="AZ483" i="3"/>
  <c r="AZ489" i="3"/>
  <c r="AZ316" i="3"/>
  <c r="AZ332" i="3"/>
  <c r="AZ397" i="3"/>
  <c r="AZ212" i="3"/>
  <c r="AZ217" i="3"/>
  <c r="AZ220" i="3"/>
  <c r="AZ228" i="3"/>
  <c r="AZ231" i="3"/>
  <c r="AZ244" i="3"/>
  <c r="AZ247" i="3"/>
  <c r="AZ260" i="3"/>
  <c r="AZ264" i="3"/>
  <c r="G1" i="84"/>
  <c r="F3" i="35"/>
  <c r="J51" i="84"/>
  <c r="J51" i="83"/>
  <c r="J51" i="82"/>
  <c r="J51" i="81"/>
  <c r="J51" i="80"/>
  <c r="D48" i="71"/>
  <c r="O48" i="71"/>
  <c r="O47" i="71"/>
  <c r="T42" i="71"/>
  <c r="D42" i="71"/>
  <c r="T38" i="71"/>
  <c r="D38" i="71"/>
  <c r="E9" i="71"/>
  <c r="E8" i="71"/>
  <c r="V10" i="71"/>
  <c r="T34" i="71"/>
  <c r="D34" i="71"/>
  <c r="T14" i="71"/>
  <c r="D14" i="71"/>
  <c r="M20" i="15"/>
  <c r="F34" i="84"/>
  <c r="F62" i="84"/>
  <c r="M20" i="84"/>
  <c r="M20" i="83"/>
  <c r="M20" i="82"/>
  <c r="M20" i="81"/>
  <c r="M20" i="80"/>
  <c r="F34" i="83"/>
  <c r="F62" i="83"/>
  <c r="F34" i="82"/>
  <c r="F62" i="82"/>
  <c r="F34" i="81"/>
  <c r="F62" i="81"/>
  <c r="F34" i="80"/>
  <c r="F62" i="80"/>
  <c r="C5" i="11"/>
  <c r="K10" i="1"/>
  <c r="M10" i="1"/>
  <c r="O10" i="1"/>
  <c r="P10" i="1"/>
  <c r="BL15" i="3"/>
  <c r="AZ15" i="3"/>
  <c r="F9" i="1"/>
  <c r="G9" i="1"/>
  <c r="C10" i="39"/>
  <c r="AZ276" i="3"/>
  <c r="AZ278" i="3"/>
  <c r="AZ300" i="3"/>
  <c r="AZ302" i="3"/>
  <c r="AZ113" i="3"/>
  <c r="AZ126" i="3"/>
  <c r="AZ129" i="3"/>
  <c r="AZ141" i="3"/>
  <c r="AZ161" i="3"/>
  <c r="AZ193" i="3"/>
  <c r="AZ205" i="3"/>
  <c r="AZ22" i="3"/>
  <c r="AZ25" i="3"/>
  <c r="AZ36" i="3"/>
  <c r="AZ46" i="3"/>
  <c r="AZ57" i="3"/>
  <c r="AZ62" i="3"/>
  <c r="AZ81" i="3"/>
  <c r="AZ99" i="3"/>
  <c r="BA18" i="3"/>
  <c r="BL18" i="3"/>
  <c r="BA19" i="3"/>
  <c r="AZ19" i="3"/>
  <c r="AZ112" i="3"/>
  <c r="D49" i="71"/>
  <c r="AA9" i="71"/>
  <c r="AA7" i="71"/>
  <c r="F12" i="71"/>
  <c r="F13" i="71"/>
  <c r="F14" i="71"/>
  <c r="V14" i="71"/>
  <c r="S50" i="71"/>
  <c r="B49" i="71"/>
  <c r="V6" i="71"/>
  <c r="E5" i="71"/>
  <c r="J51" i="15"/>
  <c r="S21" i="34"/>
  <c r="C29" i="39"/>
  <c r="B66" i="43"/>
  <c r="Y6" i="71"/>
  <c r="Z6" i="71"/>
  <c r="X6" i="71"/>
  <c r="Y5" i="71"/>
  <c r="Z5" i="71"/>
  <c r="AB5" i="71"/>
  <c r="X5" i="71"/>
  <c r="AA5" i="71"/>
  <c r="AA6" i="71"/>
  <c r="AB6" i="71"/>
  <c r="C6" i="71"/>
  <c r="I15" i="77"/>
  <c r="B6" i="49"/>
  <c r="B13" i="49"/>
  <c r="B7" i="49"/>
  <c r="H31" i="39"/>
  <c r="F105" i="39"/>
  <c r="G105" i="39"/>
  <c r="H105" i="39"/>
  <c r="I105" i="39"/>
  <c r="J105" i="39"/>
  <c r="K105" i="39"/>
  <c r="L105" i="39"/>
  <c r="M105" i="39"/>
  <c r="F31" i="39"/>
  <c r="AA31" i="39"/>
  <c r="J31" i="39"/>
  <c r="G1" i="82"/>
  <c r="G1" i="80"/>
  <c r="G1" i="83"/>
  <c r="G1" i="81"/>
  <c r="B8" i="49"/>
  <c r="E9" i="49"/>
  <c r="B11" i="49"/>
  <c r="B5" i="49"/>
  <c r="B14" i="49"/>
  <c r="B22" i="49"/>
  <c r="J53" i="15"/>
  <c r="F1" i="15"/>
  <c r="P61" i="15"/>
  <c r="Q52" i="15"/>
  <c r="C36" i="69"/>
  <c r="T13" i="1"/>
  <c r="T12" i="1"/>
  <c r="E15" i="3"/>
  <c r="E36" i="3"/>
  <c r="E54" i="3"/>
  <c r="E308" i="3"/>
  <c r="E251" i="3"/>
  <c r="E234" i="3"/>
  <c r="E357" i="3"/>
  <c r="W6" i="3"/>
  <c r="E22" i="3"/>
  <c r="E158" i="3"/>
  <c r="AF6" i="3"/>
  <c r="E206" i="3"/>
  <c r="E325" i="3"/>
  <c r="E100" i="3"/>
  <c r="E93" i="3"/>
  <c r="E208" i="3"/>
  <c r="E471" i="3"/>
  <c r="E448" i="3"/>
  <c r="E83" i="3"/>
  <c r="E326" i="3"/>
  <c r="E287" i="3"/>
  <c r="E113" i="3"/>
  <c r="E102" i="3"/>
  <c r="E370" i="3"/>
  <c r="E232" i="3"/>
  <c r="E49" i="3"/>
  <c r="AQ6" i="3"/>
  <c r="E299" i="3"/>
  <c r="E137" i="3"/>
  <c r="E79" i="3"/>
  <c r="E409" i="3"/>
  <c r="E14" i="3"/>
  <c r="E257" i="3"/>
  <c r="E168" i="3"/>
  <c r="E475" i="3"/>
  <c r="E537" i="3"/>
  <c r="E443" i="3"/>
  <c r="E576" i="3"/>
  <c r="E101" i="3"/>
  <c r="E524" i="3"/>
  <c r="E365" i="3"/>
  <c r="E265" i="3"/>
  <c r="E218" i="3"/>
  <c r="E176" i="3"/>
  <c r="E62" i="3"/>
  <c r="E20" i="3"/>
  <c r="E50" i="3"/>
  <c r="E364" i="3"/>
  <c r="E340" i="3"/>
  <c r="E289" i="3"/>
  <c r="E147" i="3"/>
  <c r="E123" i="3"/>
  <c r="E112" i="3"/>
  <c r="E52" i="3"/>
  <c r="E392" i="3"/>
  <c r="E339" i="3"/>
  <c r="E219" i="3"/>
  <c r="E194" i="3"/>
  <c r="E170" i="3"/>
  <c r="E38" i="3"/>
  <c r="E455" i="3"/>
  <c r="E473" i="3"/>
  <c r="E75" i="3"/>
  <c r="E31" i="3"/>
  <c r="E318" i="3"/>
  <c r="E351" i="3"/>
  <c r="E279" i="3"/>
  <c r="E150" i="3"/>
  <c r="E111" i="3"/>
  <c r="E72" i="3"/>
  <c r="E433" i="3"/>
  <c r="E450" i="3"/>
  <c r="E571" i="3"/>
  <c r="E562" i="3"/>
  <c r="P6" i="3"/>
  <c r="AG6" i="3"/>
  <c r="E164" i="3"/>
  <c r="AZ18" i="3"/>
  <c r="BA5" i="3"/>
  <c r="BL5" i="3"/>
  <c r="E12" i="6"/>
  <c r="E57" i="40"/>
  <c r="E252" i="3"/>
  <c r="E13" i="6"/>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34" i="3"/>
  <c r="E86" i="3"/>
  <c r="E35" i="3"/>
  <c r="E522" i="3"/>
  <c r="E342" i="3"/>
  <c r="E383" i="3"/>
  <c r="E324" i="3"/>
  <c r="E235" i="3"/>
  <c r="E275" i="3"/>
  <c r="E220" i="3"/>
  <c r="E174" i="3"/>
  <c r="E190" i="3"/>
  <c r="E129" i="3"/>
  <c r="E78" i="3"/>
  <c r="E96" i="3"/>
  <c r="E18" i="3"/>
  <c r="E412" i="3"/>
  <c r="E482" i="3"/>
  <c r="E428" i="3"/>
  <c r="E488" i="3"/>
  <c r="E32" i="3"/>
  <c r="E74" i="3"/>
  <c r="E580" i="3"/>
  <c r="E362" i="3"/>
  <c r="E394" i="3"/>
  <c r="E315" i="3"/>
  <c r="E274" i="3"/>
  <c r="E214" i="3"/>
  <c r="E256" i="3"/>
  <c r="E171" i="3"/>
  <c r="E203" i="3"/>
  <c r="E146" i="3"/>
  <c r="E73" i="3"/>
  <c r="E106" i="3"/>
  <c r="E55" i="3"/>
  <c r="E454" i="3"/>
  <c r="E496" i="3"/>
  <c r="E468" i="3"/>
  <c r="E429" i="3"/>
  <c r="E577" i="3"/>
  <c r="AE6" i="3"/>
  <c r="E587" i="3"/>
  <c r="E345" i="3"/>
  <c r="E400" i="3"/>
  <c r="E485" i="3"/>
  <c r="AO6" i="3"/>
  <c r="Z6" i="3"/>
  <c r="E327" i="3"/>
  <c r="E204" i="3"/>
  <c r="E221" i="3"/>
  <c r="E303" i="3"/>
  <c r="E159" i="3"/>
  <c r="E402" i="3"/>
  <c r="M11" i="1"/>
  <c r="L27" i="6"/>
  <c r="M8" i="1"/>
  <c r="U25" i="39"/>
  <c r="W27" i="39"/>
  <c r="S21" i="39"/>
  <c r="U21" i="39"/>
  <c r="W19" i="39"/>
  <c r="U17" i="39"/>
  <c r="E4" i="49"/>
  <c r="B4" i="49"/>
  <c r="E5" i="49"/>
  <c r="E10" i="49"/>
  <c r="E8" i="49"/>
  <c r="E16" i="49"/>
  <c r="B9" i="49"/>
  <c r="C4" i="4"/>
  <c r="E6" i="49"/>
  <c r="E7" i="49"/>
  <c r="B16" i="49"/>
  <c r="E4" i="4"/>
  <c r="B5" i="62"/>
  <c r="B73" i="72"/>
  <c r="B10" i="49"/>
  <c r="W23" i="39"/>
  <c r="S31" i="39"/>
  <c r="W29" i="39"/>
  <c r="U29" i="39"/>
  <c r="S29" i="39"/>
  <c r="AA39" i="39"/>
  <c r="S11" i="39"/>
  <c r="F10" i="1"/>
  <c r="G10" i="1"/>
  <c r="F8" i="1"/>
  <c r="G8" i="1"/>
  <c r="C94" i="9"/>
  <c r="C92" i="9"/>
  <c r="F28" i="15"/>
  <c r="C28" i="15"/>
  <c r="F54" i="9"/>
  <c r="M18" i="67"/>
  <c r="C13" i="12"/>
  <c r="D68" i="9"/>
  <c r="M18" i="15"/>
  <c r="F32" i="15"/>
  <c r="F60" i="15"/>
  <c r="F30" i="69"/>
  <c r="F32" i="67"/>
  <c r="F60" i="67"/>
  <c r="F31" i="12"/>
  <c r="C31" i="12"/>
  <c r="F28" i="67"/>
  <c r="C28" i="67"/>
  <c r="F30" i="11"/>
  <c r="F30" i="68"/>
  <c r="C40" i="68"/>
  <c r="C40" i="69"/>
  <c r="Q16" i="1"/>
  <c r="F27" i="69"/>
  <c r="C29" i="69"/>
  <c r="D27" i="69"/>
  <c r="E15" i="6"/>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67" i="3"/>
  <c r="E477" i="3"/>
  <c r="E432" i="3"/>
  <c r="E414" i="3"/>
  <c r="E548" i="3"/>
  <c r="E478" i="3"/>
  <c r="E411" i="3"/>
  <c r="E515" i="3"/>
  <c r="U6" i="3"/>
  <c r="E585" i="3"/>
  <c r="E379" i="3"/>
  <c r="E107" i="3"/>
  <c r="E145" i="3"/>
  <c r="E271" i="3"/>
  <c r="E207" i="3"/>
  <c r="E180" i="3"/>
  <c r="E91" i="3"/>
  <c r="E134" i="3"/>
  <c r="E301" i="3"/>
  <c r="E350" i="3"/>
  <c r="D9" i="11"/>
  <c r="C9" i="11"/>
  <c r="D9" i="69"/>
  <c r="C9" i="69"/>
  <c r="D9" i="68"/>
  <c r="C9" i="68"/>
  <c r="E16" i="3"/>
  <c r="E536" i="3"/>
  <c r="AK6" i="3"/>
  <c r="E549" i="3"/>
  <c r="E434" i="3"/>
  <c r="E453" i="3"/>
  <c r="E306" i="3"/>
  <c r="E368" i="3"/>
  <c r="E296" i="3"/>
  <c r="E244" i="3"/>
  <c r="E262" i="3"/>
  <c r="E196" i="3"/>
  <c r="E136"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AI6" i="3"/>
  <c r="E578" i="3"/>
  <c r="E423" i="3"/>
  <c r="E382" i="3"/>
  <c r="E263" i="3"/>
  <c r="E245" i="3"/>
  <c r="E191"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28" i="6"/>
  <c r="G30" i="6"/>
  <c r="G31" i="6"/>
  <c r="D19" i="12"/>
  <c r="C19" i="12"/>
  <c r="E60" i="40"/>
  <c r="E65" i="39"/>
  <c r="E8" i="6"/>
  <c r="E51" i="40"/>
  <c r="I4" i="6"/>
  <c r="G3" i="43"/>
  <c r="B113" i="4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F27" i="6"/>
  <c r="E56" i="39"/>
  <c r="G16" i="1"/>
  <c r="J10" i="40"/>
  <c r="AC10" i="40"/>
  <c r="E59" i="40"/>
  <c r="C36" i="11"/>
  <c r="H16" i="1"/>
  <c r="M7" i="1"/>
  <c r="E16" i="6"/>
  <c r="P6" i="1"/>
  <c r="O12" i="1"/>
  <c r="P12" i="1"/>
  <c r="O9" i="1"/>
  <c r="P9" i="1"/>
  <c r="O8" i="1"/>
  <c r="F27" i="68"/>
  <c r="E56" i="40"/>
  <c r="T35" i="4"/>
  <c r="A19" i="51"/>
  <c r="B14" i="72"/>
  <c r="A15" i="62"/>
  <c r="B61" i="72"/>
  <c r="D12" i="52"/>
  <c r="D127" i="9"/>
  <c r="D13" i="52"/>
  <c r="B4" i="62"/>
  <c r="B71" i="72"/>
  <c r="I48" i="33"/>
  <c r="G48" i="33"/>
  <c r="E46" i="36"/>
  <c r="H59" i="34"/>
  <c r="G48" i="35"/>
  <c r="H48" i="35"/>
  <c r="I48" i="35"/>
  <c r="J48" i="35"/>
  <c r="K48" i="35"/>
  <c r="L48" i="35"/>
  <c r="M48" i="35"/>
  <c r="N48" i="35"/>
  <c r="O48" i="35"/>
  <c r="H7" i="35"/>
  <c r="F7" i="35"/>
  <c r="J7" i="35"/>
  <c r="G58" i="21"/>
  <c r="F52" i="37"/>
  <c r="C23" i="12"/>
  <c r="B20" i="31"/>
  <c r="F69" i="67"/>
  <c r="J20" i="67"/>
  <c r="F63" i="67"/>
  <c r="C62" i="67"/>
  <c r="C34" i="67"/>
  <c r="F68" i="67"/>
  <c r="F66" i="67"/>
  <c r="C27" i="15"/>
  <c r="N59" i="67"/>
  <c r="M59" i="67"/>
  <c r="L58" i="67"/>
  <c r="L59" i="67"/>
  <c r="F51" i="15"/>
  <c r="F68" i="15"/>
  <c r="L58" i="15"/>
  <c r="M59" i="15"/>
  <c r="N59" i="15"/>
  <c r="L59" i="15"/>
  <c r="F64" i="15"/>
  <c r="F65" i="15"/>
  <c r="I54" i="67"/>
  <c r="L56" i="67"/>
  <c r="J57" i="67"/>
  <c r="J55" i="67"/>
  <c r="J58" i="67"/>
  <c r="Q50" i="67"/>
  <c r="C6" i="15"/>
  <c r="C27" i="67"/>
  <c r="Q71" i="67"/>
  <c r="B12" i="70"/>
  <c r="B13" i="70"/>
  <c r="E20" i="43"/>
  <c r="K1" i="73"/>
  <c r="F70" i="67"/>
  <c r="F71" i="15"/>
  <c r="F64" i="67"/>
  <c r="F65" i="67"/>
  <c r="I54" i="15"/>
  <c r="J57" i="15"/>
  <c r="J55" i="15"/>
  <c r="J58" i="15"/>
  <c r="Q50" i="15"/>
  <c r="L56" i="15"/>
  <c r="Q71" i="15"/>
  <c r="F71" i="67"/>
  <c r="F50" i="67"/>
  <c r="M7" i="67"/>
  <c r="F66" i="15"/>
  <c r="F51" i="67"/>
  <c r="C6" i="67"/>
  <c r="F50" i="15"/>
  <c r="M7" i="15"/>
  <c r="I1" i="73"/>
  <c r="B39" i="1"/>
  <c r="M17" i="67"/>
  <c r="F59" i="15"/>
  <c r="F59" i="67"/>
  <c r="M17" i="15"/>
  <c r="F38" i="82"/>
  <c r="C76" i="82"/>
  <c r="F16" i="83"/>
  <c r="M26" i="83"/>
  <c r="M27" i="80"/>
  <c r="M22" i="80"/>
  <c r="M29" i="81"/>
  <c r="F26" i="81"/>
  <c r="F38" i="81"/>
  <c r="F7" i="82"/>
  <c r="F16" i="82"/>
  <c r="F42" i="82"/>
  <c r="F7" i="83"/>
  <c r="L48" i="83"/>
  <c r="F38" i="83"/>
  <c r="L48" i="80"/>
  <c r="M23" i="80"/>
  <c r="F38" i="80"/>
  <c r="M23" i="81"/>
  <c r="M6" i="81"/>
  <c r="M26" i="81"/>
  <c r="AE6" i="1"/>
  <c r="C14" i="67"/>
  <c r="M29" i="82"/>
  <c r="M24" i="82"/>
  <c r="F13" i="82"/>
  <c r="F26" i="82"/>
  <c r="M22" i="82"/>
  <c r="M6" i="82"/>
  <c r="M23" i="82"/>
  <c r="F43" i="83"/>
  <c r="F37" i="83"/>
  <c r="F42" i="83"/>
  <c r="M8" i="83"/>
  <c r="M27" i="83"/>
  <c r="M28" i="83"/>
  <c r="F6" i="83"/>
  <c r="F43" i="80"/>
  <c r="M24" i="80"/>
  <c r="F36" i="80"/>
  <c r="C76" i="80"/>
  <c r="F8" i="80"/>
  <c r="M26" i="80"/>
  <c r="L47" i="80"/>
  <c r="F13" i="81"/>
  <c r="F40" i="81"/>
  <c r="F9" i="81"/>
  <c r="F16" i="81"/>
  <c r="M27" i="81"/>
  <c r="C17" i="67"/>
  <c r="L48" i="82"/>
  <c r="M26" i="82"/>
  <c r="F37" i="82"/>
  <c r="F40" i="82"/>
  <c r="J15" i="82"/>
  <c r="M27" i="82"/>
  <c r="M29" i="83"/>
  <c r="M22" i="83"/>
  <c r="M6" i="83"/>
  <c r="J15" i="83"/>
  <c r="F8" i="83"/>
  <c r="L47" i="83"/>
  <c r="F13" i="83"/>
  <c r="F7" i="80"/>
  <c r="F26" i="80"/>
  <c r="M8" i="80"/>
  <c r="F42" i="80"/>
  <c r="F37" i="80"/>
  <c r="M9" i="80"/>
  <c r="M28" i="80"/>
  <c r="F43" i="81"/>
  <c r="F8" i="81"/>
  <c r="F37" i="81"/>
  <c r="M8" i="81"/>
  <c r="M24" i="81"/>
  <c r="M9" i="81"/>
  <c r="F6" i="81"/>
  <c r="C16" i="67"/>
  <c r="L48" i="81"/>
  <c r="C16" i="15"/>
  <c r="F43" i="82"/>
  <c r="M28" i="82"/>
  <c r="F6" i="82"/>
  <c r="F36" i="82"/>
  <c r="F9" i="82"/>
  <c r="F40" i="83"/>
  <c r="F36" i="83"/>
  <c r="M24" i="83"/>
  <c r="M9" i="83"/>
  <c r="M29" i="80"/>
  <c r="F16" i="80"/>
  <c r="M6" i="80"/>
  <c r="F13" i="80"/>
  <c r="F9" i="80"/>
  <c r="F36" i="81"/>
  <c r="L47" i="81"/>
  <c r="C76" i="81"/>
  <c r="F8" i="82"/>
  <c r="L47" i="82"/>
  <c r="M9" i="82"/>
  <c r="M8" i="82"/>
  <c r="F26" i="83"/>
  <c r="F9" i="83"/>
  <c r="M23" i="83"/>
  <c r="C76" i="83"/>
  <c r="F6" i="80"/>
  <c r="J15" i="80"/>
  <c r="F40" i="80"/>
  <c r="F7" i="81"/>
  <c r="M28" i="81"/>
  <c r="J15" i="81"/>
  <c r="F42" i="81"/>
  <c r="G1" i="73"/>
  <c r="M22" i="81"/>
  <c r="H6" i="3"/>
  <c r="K4" i="4"/>
  <c r="B46" i="48"/>
  <c r="B4" i="72"/>
  <c r="N49" i="71"/>
  <c r="B48" i="71"/>
  <c r="S45" i="39"/>
  <c r="AA45" i="39"/>
  <c r="AB43" i="39"/>
  <c r="U43" i="39"/>
  <c r="AC25" i="37"/>
  <c r="W25" i="37"/>
  <c r="U25" i="37"/>
  <c r="AB25" i="37"/>
  <c r="U32" i="36"/>
  <c r="AB32" i="36"/>
  <c r="U26" i="33"/>
  <c r="AC23" i="35"/>
  <c r="W23" i="35"/>
  <c r="S9" i="33"/>
  <c r="W9" i="33"/>
  <c r="U14" i="21"/>
  <c r="AB14" i="21"/>
  <c r="S13" i="39"/>
  <c r="AA13" i="39"/>
  <c r="U9" i="35"/>
  <c r="AB9" i="35"/>
  <c r="U27" i="33"/>
  <c r="D121" i="9"/>
  <c r="D7" i="52"/>
  <c r="K120" i="9"/>
  <c r="A18" i="62"/>
  <c r="B64" i="72"/>
  <c r="D6" i="52"/>
  <c r="AB45" i="21"/>
  <c r="U45" i="21"/>
  <c r="S7" i="33"/>
  <c r="F30" i="6"/>
  <c r="F31" i="6"/>
  <c r="F63" i="40"/>
  <c r="E65" i="40"/>
  <c r="C47" i="69"/>
  <c r="D45" i="69"/>
  <c r="D6" i="71"/>
  <c r="U6" i="71"/>
  <c r="C5" i="71"/>
  <c r="T6" i="71"/>
  <c r="AZ546" i="3"/>
  <c r="AZ5" i="3"/>
  <c r="AB45" i="39"/>
  <c r="U45" i="39"/>
  <c r="W43" i="39"/>
  <c r="AC43" i="39"/>
  <c r="AA25" i="37"/>
  <c r="S25" i="37"/>
  <c r="W32" i="36"/>
  <c r="AC32" i="36"/>
  <c r="S32" i="36"/>
  <c r="AA32" i="36"/>
  <c r="W26" i="33"/>
  <c r="AA23" i="35"/>
  <c r="S23" i="35"/>
  <c r="U23" i="35"/>
  <c r="AB23" i="35"/>
  <c r="U9" i="33"/>
  <c r="AC30" i="21"/>
  <c r="W30" i="21"/>
  <c r="W21" i="39"/>
  <c r="AC21" i="39"/>
  <c r="AB9" i="21"/>
  <c r="U9" i="21"/>
  <c r="B34" i="72"/>
  <c r="D17" i="53"/>
  <c r="B36" i="72"/>
  <c r="D70" i="39"/>
  <c r="E68" i="39"/>
  <c r="W31" i="39"/>
  <c r="AC31" i="39"/>
  <c r="AB31" i="39"/>
  <c r="U31" i="39"/>
  <c r="F11" i="84"/>
  <c r="M11" i="84"/>
  <c r="C6" i="81"/>
  <c r="Q71" i="81"/>
  <c r="J53" i="81"/>
  <c r="L56" i="81"/>
  <c r="I54" i="81"/>
  <c r="J57" i="81"/>
  <c r="J55" i="81"/>
  <c r="J58" i="81"/>
  <c r="Q50" i="81"/>
  <c r="F66" i="81"/>
  <c r="L59" i="81"/>
  <c r="M59" i="81"/>
  <c r="N59" i="81"/>
  <c r="L58" i="81"/>
  <c r="F65" i="81"/>
  <c r="C27" i="81"/>
  <c r="F68" i="81"/>
  <c r="F51" i="81"/>
  <c r="F64" i="81"/>
  <c r="F71" i="81"/>
  <c r="M7" i="81"/>
  <c r="J6" i="81"/>
  <c r="F50" i="81"/>
  <c r="C49" i="81"/>
  <c r="N59" i="80"/>
  <c r="L58" i="80"/>
  <c r="L59" i="80"/>
  <c r="M59" i="80"/>
  <c r="F66" i="80"/>
  <c r="F68" i="80"/>
  <c r="F51" i="80"/>
  <c r="F65" i="80"/>
  <c r="Q71" i="80"/>
  <c r="F64" i="80"/>
  <c r="J57" i="80"/>
  <c r="J55" i="80"/>
  <c r="J58" i="80"/>
  <c r="Q50" i="80"/>
  <c r="J53" i="80"/>
  <c r="L56" i="80"/>
  <c r="I54" i="80"/>
  <c r="C27" i="80"/>
  <c r="C6" i="80"/>
  <c r="F71" i="80"/>
  <c r="F50" i="80"/>
  <c r="M7" i="80"/>
  <c r="J6" i="80"/>
  <c r="Q71" i="83"/>
  <c r="C6" i="83"/>
  <c r="F66" i="83"/>
  <c r="L59" i="83"/>
  <c r="M59" i="83"/>
  <c r="N59" i="83"/>
  <c r="L58" i="83"/>
  <c r="F51" i="83"/>
  <c r="L56" i="83"/>
  <c r="I54" i="83"/>
  <c r="J53" i="83"/>
  <c r="J57" i="83"/>
  <c r="J55" i="83"/>
  <c r="J58" i="83"/>
  <c r="Q50" i="83"/>
  <c r="F64" i="83"/>
  <c r="C27" i="83"/>
  <c r="F65" i="83"/>
  <c r="F68" i="83"/>
  <c r="F50" i="83"/>
  <c r="M7" i="83"/>
  <c r="J6" i="83"/>
  <c r="F71" i="83"/>
  <c r="Q71" i="82"/>
  <c r="F64" i="82"/>
  <c r="F68" i="82"/>
  <c r="C6" i="82"/>
  <c r="C27" i="82"/>
  <c r="F65" i="82"/>
  <c r="N59" i="82"/>
  <c r="L58" i="82"/>
  <c r="L59" i="82"/>
  <c r="M59" i="82"/>
  <c r="F66" i="82"/>
  <c r="F51" i="82"/>
  <c r="J53" i="82"/>
  <c r="J57" i="82"/>
  <c r="J55" i="82"/>
  <c r="J58" i="82"/>
  <c r="Q50" i="82"/>
  <c r="L56" i="82"/>
  <c r="I54" i="82"/>
  <c r="F71" i="82"/>
  <c r="M7" i="82"/>
  <c r="J6" i="82"/>
  <c r="F50" i="82"/>
  <c r="E80" i="3"/>
  <c r="E254" i="3"/>
  <c r="E586" i="3"/>
  <c r="F28" i="12"/>
  <c r="C29" i="12"/>
  <c r="D28" i="12"/>
  <c r="F101" i="43"/>
  <c r="F104" i="43"/>
  <c r="AI11" i="43"/>
  <c r="AI13" i="43"/>
  <c r="H101" i="43"/>
  <c r="H103" i="43"/>
  <c r="AA11" i="43"/>
  <c r="AA13" i="43"/>
  <c r="AD11" i="43"/>
  <c r="AD13" i="43"/>
  <c r="J22" i="43"/>
  <c r="E22" i="43"/>
  <c r="F22" i="43"/>
  <c r="AE11" i="43"/>
  <c r="AE13" i="43"/>
  <c r="Z11" i="43"/>
  <c r="Z13" i="43"/>
  <c r="AH11" i="43"/>
  <c r="AH13" i="43"/>
  <c r="M101" i="43"/>
  <c r="F10" i="40"/>
  <c r="E101" i="43"/>
  <c r="H22" i="43"/>
  <c r="G22" i="43"/>
  <c r="D22" i="43"/>
  <c r="E62" i="39"/>
  <c r="E58" i="40"/>
  <c r="E63" i="39"/>
  <c r="J10" i="39"/>
  <c r="AC10" i="39"/>
  <c r="H10" i="40"/>
  <c r="W10" i="40"/>
  <c r="L101" i="43"/>
  <c r="L109" i="43"/>
  <c r="N101" i="43"/>
  <c r="K101" i="43"/>
  <c r="K103" i="43"/>
  <c r="Y11" i="43"/>
  <c r="Y13" i="43"/>
  <c r="AC11" i="43"/>
  <c r="AC13" i="43"/>
  <c r="AG11" i="43"/>
  <c r="AG13" i="43"/>
  <c r="Z7" i="43"/>
  <c r="AB11" i="43"/>
  <c r="AB13" i="43"/>
  <c r="AF11" i="43"/>
  <c r="AF13" i="43"/>
  <c r="AJ11" i="43"/>
  <c r="AJ13" i="43"/>
  <c r="I101" i="43"/>
  <c r="I104" i="43"/>
  <c r="D101" i="43"/>
  <c r="N104" i="46"/>
  <c r="O7" i="1"/>
  <c r="O11" i="1"/>
  <c r="P11" i="1"/>
  <c r="F11" i="83"/>
  <c r="M11" i="83"/>
  <c r="F11" i="82"/>
  <c r="M11" i="82"/>
  <c r="F11" i="81"/>
  <c r="M11" i="81"/>
  <c r="F11" i="80"/>
  <c r="M11" i="80"/>
  <c r="C48" i="68"/>
  <c r="C30" i="68"/>
  <c r="C30" i="11"/>
  <c r="C48" i="11"/>
  <c r="C30" i="69"/>
  <c r="C48" i="69"/>
  <c r="H10" i="39"/>
  <c r="F10" i="39"/>
  <c r="S10" i="39"/>
  <c r="J101" i="43"/>
  <c r="G101" i="43"/>
  <c r="G103" i="43"/>
  <c r="C101" i="43"/>
  <c r="P7" i="1"/>
  <c r="F27" i="11"/>
  <c r="E27" i="6"/>
  <c r="K19" i="6"/>
  <c r="S6" i="1"/>
  <c r="C29" i="11"/>
  <c r="D27" i="11"/>
  <c r="C47" i="11"/>
  <c r="D45" i="11"/>
  <c r="K26" i="6"/>
  <c r="M26" i="6"/>
  <c r="I26" i="6"/>
  <c r="S26" i="6"/>
  <c r="E30" i="6"/>
  <c r="K14" i="1"/>
  <c r="AC6" i="3"/>
  <c r="E6" i="3"/>
  <c r="P8" i="1"/>
  <c r="C29" i="68"/>
  <c r="D27" i="68"/>
  <c r="C47" i="68"/>
  <c r="D45" i="68"/>
  <c r="H102" i="43"/>
  <c r="H104" i="43"/>
  <c r="H107" i="43"/>
  <c r="H106" i="43"/>
  <c r="F107" i="43"/>
  <c r="F103" i="43"/>
  <c r="F105" i="43"/>
  <c r="E102" i="43"/>
  <c r="E106" i="43"/>
  <c r="E103" i="43"/>
  <c r="E104" i="43"/>
  <c r="E105" i="43"/>
  <c r="E109" i="43"/>
  <c r="E107" i="43"/>
  <c r="M109" i="43"/>
  <c r="M102" i="43"/>
  <c r="M106" i="43"/>
  <c r="M103" i="43"/>
  <c r="M107" i="43"/>
  <c r="M104" i="43"/>
  <c r="M105" i="43"/>
  <c r="J105" i="43"/>
  <c r="J103" i="43"/>
  <c r="J106" i="43"/>
  <c r="J104" i="43"/>
  <c r="J107" i="43"/>
  <c r="J102" i="43"/>
  <c r="J109" i="43"/>
  <c r="N102" i="43"/>
  <c r="N103" i="43"/>
  <c r="N106" i="43"/>
  <c r="N107" i="43"/>
  <c r="N105" i="43"/>
  <c r="N104" i="43"/>
  <c r="N109" i="43"/>
  <c r="I109" i="43"/>
  <c r="D109" i="43"/>
  <c r="D105" i="43"/>
  <c r="D106" i="43"/>
  <c r="D102" i="43"/>
  <c r="D103" i="43"/>
  <c r="D104" i="43"/>
  <c r="D107" i="43"/>
  <c r="C106" i="43"/>
  <c r="C105" i="43"/>
  <c r="C102" i="43"/>
  <c r="C109" i="43"/>
  <c r="C104" i="43"/>
  <c r="C107" i="43"/>
  <c r="C103" i="43"/>
  <c r="D117" i="43"/>
  <c r="E117" i="43"/>
  <c r="F117" i="43"/>
  <c r="G117" i="43"/>
  <c r="H117" i="43"/>
  <c r="I118" i="43"/>
  <c r="J118" i="43"/>
  <c r="K118" i="43"/>
  <c r="L118" i="43"/>
  <c r="M118" i="43"/>
  <c r="D118" i="43"/>
  <c r="E118" i="43"/>
  <c r="F118" i="43"/>
  <c r="D115" i="43"/>
  <c r="E115" i="43"/>
  <c r="F115" i="43"/>
  <c r="G115" i="43"/>
  <c r="H115" i="43"/>
  <c r="B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W7" i="35"/>
  <c r="AC7" i="35"/>
  <c r="V38" i="35"/>
  <c r="I38" i="35"/>
  <c r="G52" i="37"/>
  <c r="H58" i="21"/>
  <c r="AA7" i="35"/>
  <c r="R38" i="35"/>
  <c r="S7" i="35"/>
  <c r="S10" i="40"/>
  <c r="AA10" i="40"/>
  <c r="I59" i="34"/>
  <c r="AB10" i="39"/>
  <c r="U10" i="39"/>
  <c r="G52" i="33"/>
  <c r="H52" i="33"/>
  <c r="G53" i="33"/>
  <c r="H53" i="33"/>
  <c r="U7" i="35"/>
  <c r="AB7" i="35"/>
  <c r="T38" i="35"/>
  <c r="G38" i="35"/>
  <c r="AB10" i="40"/>
  <c r="U10" i="40"/>
  <c r="F46" i="36"/>
  <c r="I52" i="33"/>
  <c r="J52" i="33"/>
  <c r="C15" i="67"/>
  <c r="C18" i="67"/>
  <c r="B40" i="1"/>
  <c r="F24" i="84"/>
  <c r="P17" i="43"/>
  <c r="N17" i="43"/>
  <c r="M17" i="43"/>
  <c r="O17" i="43"/>
  <c r="Q73" i="15"/>
  <c r="Q60" i="15"/>
  <c r="C49" i="15"/>
  <c r="Q73" i="67"/>
  <c r="Q60" i="67"/>
  <c r="F11" i="67"/>
  <c r="M11" i="15"/>
  <c r="M11" i="67"/>
  <c r="J10" i="67"/>
  <c r="F11" i="15"/>
  <c r="C49" i="67"/>
  <c r="J6" i="67"/>
  <c r="J6" i="15"/>
  <c r="Q74" i="15"/>
  <c r="Q61" i="15"/>
  <c r="Q61" i="67"/>
  <c r="Q74" i="67"/>
  <c r="F16" i="84"/>
  <c r="M28" i="84"/>
  <c r="J15" i="84"/>
  <c r="M27" i="84"/>
  <c r="F6" i="84"/>
  <c r="F7" i="84"/>
  <c r="F43" i="84"/>
  <c r="M6" i="84"/>
  <c r="L47" i="84"/>
  <c r="M23" i="84"/>
  <c r="M29" i="84"/>
  <c r="M22" i="84"/>
  <c r="M9" i="84"/>
  <c r="F38" i="84"/>
  <c r="C16" i="82"/>
  <c r="F41" i="15"/>
  <c r="C16" i="83"/>
  <c r="C16" i="81"/>
  <c r="F37" i="84"/>
  <c r="F40" i="84"/>
  <c r="F26" i="84"/>
  <c r="F42" i="84"/>
  <c r="M8" i="84"/>
  <c r="F8" i="84"/>
  <c r="F13" i="84"/>
  <c r="F9" i="84"/>
  <c r="L48" i="84"/>
  <c r="F36" i="84"/>
  <c r="C76" i="84"/>
  <c r="M26" i="84"/>
  <c r="M24" i="84"/>
  <c r="C16" i="80"/>
  <c r="C17" i="15"/>
  <c r="F109" i="43"/>
  <c r="F102" i="43"/>
  <c r="F106" i="43"/>
  <c r="H105" i="43"/>
  <c r="H109" i="43"/>
  <c r="J10" i="81"/>
  <c r="J5" i="81"/>
  <c r="J24" i="81"/>
  <c r="Q71" i="84"/>
  <c r="F64" i="84"/>
  <c r="L57" i="84"/>
  <c r="L56" i="84"/>
  <c r="L60" i="84"/>
  <c r="I54" i="84"/>
  <c r="J53" i="84"/>
  <c r="J57" i="84"/>
  <c r="J55" i="84"/>
  <c r="J58" i="84"/>
  <c r="Q50" i="84"/>
  <c r="F51" i="84"/>
  <c r="C27" i="84"/>
  <c r="F68" i="84"/>
  <c r="F65" i="84"/>
  <c r="F66" i="84"/>
  <c r="L59" i="84"/>
  <c r="M59" i="84"/>
  <c r="N59" i="84"/>
  <c r="L58" i="84"/>
  <c r="F71" i="84"/>
  <c r="M7" i="84"/>
  <c r="J6" i="84"/>
  <c r="J10" i="84"/>
  <c r="J5" i="84"/>
  <c r="F50" i="84"/>
  <c r="C6" i="84"/>
  <c r="C10" i="84"/>
  <c r="C5" i="84"/>
  <c r="E3" i="6"/>
  <c r="AY6" i="3"/>
  <c r="G63" i="40"/>
  <c r="F65" i="40"/>
  <c r="E48" i="33"/>
  <c r="F68" i="39"/>
  <c r="E70" i="39"/>
  <c r="D5" i="71"/>
  <c r="M20" i="43"/>
  <c r="C19" i="43"/>
  <c r="N47" i="71"/>
  <c r="N48" i="71"/>
  <c r="J10" i="82"/>
  <c r="J5" i="82"/>
  <c r="J26" i="82"/>
  <c r="J10" i="80"/>
  <c r="J5" i="80"/>
  <c r="J24" i="80"/>
  <c r="J10" i="83"/>
  <c r="J5" i="83"/>
  <c r="J24" i="83"/>
  <c r="C49" i="80"/>
  <c r="C24" i="84"/>
  <c r="C53" i="84"/>
  <c r="C49" i="82"/>
  <c r="F1" i="82"/>
  <c r="Q52" i="82"/>
  <c r="Q61" i="82"/>
  <c r="Q74" i="82"/>
  <c r="Q61" i="83"/>
  <c r="Q74" i="83"/>
  <c r="Q61" i="80"/>
  <c r="Q74" i="80"/>
  <c r="Q61" i="81"/>
  <c r="Q74" i="81"/>
  <c r="Q60" i="82"/>
  <c r="Q73" i="82"/>
  <c r="C49" i="83"/>
  <c r="F1" i="83"/>
  <c r="Q52" i="83"/>
  <c r="Q60" i="83"/>
  <c r="Q73" i="83"/>
  <c r="Q52" i="80"/>
  <c r="F1" i="80"/>
  <c r="Q60" i="80"/>
  <c r="Q73" i="80"/>
  <c r="Q60" i="81"/>
  <c r="Q73" i="81"/>
  <c r="Q52" i="81"/>
  <c r="F1" i="81"/>
  <c r="E6" i="70"/>
  <c r="J38" i="39"/>
  <c r="F38" i="39"/>
  <c r="H38" i="39"/>
  <c r="F69" i="15"/>
  <c r="W10" i="39"/>
  <c r="I105" i="43"/>
  <c r="K106" i="43"/>
  <c r="L103" i="43"/>
  <c r="I103" i="43"/>
  <c r="I107" i="43"/>
  <c r="K105" i="43"/>
  <c r="K107" i="43"/>
  <c r="L105" i="43"/>
  <c r="L106" i="43"/>
  <c r="I102" i="43"/>
  <c r="I106" i="43"/>
  <c r="K109" i="43"/>
  <c r="K102" i="43"/>
  <c r="K104" i="43"/>
  <c r="L104" i="43"/>
  <c r="L102" i="43"/>
  <c r="L107" i="43"/>
  <c r="G102" i="43"/>
  <c r="G107" i="43"/>
  <c r="G106" i="43"/>
  <c r="G109" i="43"/>
  <c r="G104" i="43"/>
  <c r="G105" i="43"/>
  <c r="K23" i="6"/>
  <c r="K22" i="6"/>
  <c r="M22" i="6"/>
  <c r="I22" i="6"/>
  <c r="S22" i="6"/>
  <c r="F24" i="82"/>
  <c r="C24" i="82"/>
  <c r="F24" i="83"/>
  <c r="C53" i="83"/>
  <c r="C10" i="83"/>
  <c r="C5" i="83"/>
  <c r="C53" i="82"/>
  <c r="C10" i="82"/>
  <c r="C5" i="82"/>
  <c r="F24" i="80"/>
  <c r="C24" i="80"/>
  <c r="F24" i="81"/>
  <c r="C53" i="81"/>
  <c r="C48" i="81"/>
  <c r="C10" i="81"/>
  <c r="C5" i="81"/>
  <c r="J26" i="80"/>
  <c r="C53" i="80"/>
  <c r="C10" i="80"/>
  <c r="C5" i="80"/>
  <c r="AA10" i="39"/>
  <c r="E31" i="6"/>
  <c r="K25" i="6"/>
  <c r="M25" i="6"/>
  <c r="I25" i="6"/>
  <c r="S25" i="6"/>
  <c r="S9" i="1"/>
  <c r="AQ6" i="1"/>
  <c r="T6" i="1"/>
  <c r="AR6" i="1"/>
  <c r="M23" i="6"/>
  <c r="I23" i="6"/>
  <c r="S23" i="6"/>
  <c r="S10" i="1"/>
  <c r="K20" i="6"/>
  <c r="K21" i="6"/>
  <c r="K24" i="6"/>
  <c r="M14" i="1"/>
  <c r="C34" i="69"/>
  <c r="K16" i="1"/>
  <c r="M19" i="6"/>
  <c r="C115" i="43"/>
  <c r="D113" i="43"/>
  <c r="S3" i="43"/>
  <c r="T3" i="43"/>
  <c r="V3" i="43"/>
  <c r="S5" i="43"/>
  <c r="T5" i="43"/>
  <c r="V5" i="43"/>
  <c r="S4" i="43"/>
  <c r="T4" i="43"/>
  <c r="V4" i="43"/>
  <c r="S6" i="43"/>
  <c r="T6" i="43"/>
  <c r="V6" i="43"/>
  <c r="S2" i="43"/>
  <c r="T2" i="43"/>
  <c r="V2" i="43"/>
  <c r="C23" i="43"/>
  <c r="C21" i="43"/>
  <c r="C29" i="43"/>
  <c r="S7" i="43"/>
  <c r="T7" i="43"/>
  <c r="V7" i="43"/>
  <c r="G46" i="36"/>
  <c r="J59" i="34"/>
  <c r="R39" i="35"/>
  <c r="E38" i="35"/>
  <c r="I58" i="21"/>
  <c r="C19" i="67"/>
  <c r="C20" i="67"/>
  <c r="C26" i="67"/>
  <c r="G42" i="35"/>
  <c r="H42" i="35"/>
  <c r="G43" i="35"/>
  <c r="H43" i="35"/>
  <c r="H52" i="37"/>
  <c r="I52" i="37"/>
  <c r="J52" i="37"/>
  <c r="K52" i="37"/>
  <c r="L52" i="37"/>
  <c r="M52" i="37"/>
  <c r="N52" i="37"/>
  <c r="O52" i="37"/>
  <c r="J7" i="37"/>
  <c r="H7" i="37"/>
  <c r="I42" i="35"/>
  <c r="J42" i="35"/>
  <c r="I43" i="35"/>
  <c r="J43" i="35"/>
  <c r="J5" i="67"/>
  <c r="J24" i="67"/>
  <c r="J10" i="15"/>
  <c r="J5" i="15"/>
  <c r="C53" i="67"/>
  <c r="C48" i="67"/>
  <c r="C10" i="67"/>
  <c r="C5" i="67"/>
  <c r="F25" i="12"/>
  <c r="F24" i="67"/>
  <c r="C24" i="67"/>
  <c r="F22" i="68"/>
  <c r="F24" i="15"/>
  <c r="C24" i="15"/>
  <c r="F22" i="11"/>
  <c r="F22" i="69"/>
  <c r="J18" i="67"/>
  <c r="C53" i="15"/>
  <c r="C48" i="15"/>
  <c r="C10" i="15"/>
  <c r="C5" i="15"/>
  <c r="C16" i="84"/>
  <c r="AE10" i="1"/>
  <c r="AE8" i="1"/>
  <c r="C17" i="82"/>
  <c r="AE7" i="1"/>
  <c r="C14" i="15"/>
  <c r="C17" i="83"/>
  <c r="AE9" i="1"/>
  <c r="J18" i="80"/>
  <c r="J18" i="81"/>
  <c r="J26" i="81"/>
  <c r="J18" i="83"/>
  <c r="C48" i="80"/>
  <c r="C66" i="80"/>
  <c r="J26" i="84"/>
  <c r="J18" i="84"/>
  <c r="J24" i="84"/>
  <c r="J24" i="82"/>
  <c r="J26" i="83"/>
  <c r="T12" i="43"/>
  <c r="V12" i="43"/>
  <c r="T15" i="43"/>
  <c r="V15" i="43"/>
  <c r="T10" i="43"/>
  <c r="V10" i="43"/>
  <c r="C33" i="43"/>
  <c r="C36" i="43"/>
  <c r="T11" i="43"/>
  <c r="V11" i="43"/>
  <c r="T9" i="43"/>
  <c r="V9" i="43"/>
  <c r="T13" i="43"/>
  <c r="V13" i="43"/>
  <c r="C34" i="43"/>
  <c r="T16" i="43"/>
  <c r="V16" i="43"/>
  <c r="C39" i="43"/>
  <c r="E39" i="43"/>
  <c r="C35" i="43"/>
  <c r="C38" i="43"/>
  <c r="T14" i="43"/>
  <c r="V14" i="43"/>
  <c r="T8" i="43"/>
  <c r="V8" i="43"/>
  <c r="C37" i="43"/>
  <c r="E52" i="33"/>
  <c r="F52" i="33"/>
  <c r="E53" i="33"/>
  <c r="F53" i="33"/>
  <c r="I53" i="33"/>
  <c r="J53" i="33"/>
  <c r="D19" i="11"/>
  <c r="C19" i="11"/>
  <c r="C20" i="11"/>
  <c r="C28" i="11"/>
  <c r="C27" i="11"/>
  <c r="D37" i="11"/>
  <c r="C37" i="11"/>
  <c r="M18" i="9"/>
  <c r="B118" i="9"/>
  <c r="B14" i="74"/>
  <c r="B1" i="74"/>
  <c r="D3" i="33"/>
  <c r="L18" i="9"/>
  <c r="D3" i="21"/>
  <c r="C17" i="4"/>
  <c r="B4" i="52"/>
  <c r="B43" i="72"/>
  <c r="D14" i="12"/>
  <c r="D3" i="34"/>
  <c r="E6" i="6"/>
  <c r="D3" i="37"/>
  <c r="Q74" i="84"/>
  <c r="Q61" i="84"/>
  <c r="G68" i="39"/>
  <c r="F70" i="39"/>
  <c r="B2" i="33"/>
  <c r="B3" i="33"/>
  <c r="C48" i="33"/>
  <c r="G65" i="40"/>
  <c r="H63" i="4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83" i="3"/>
  <c r="AY23" i="3"/>
  <c r="AY155" i="3"/>
  <c r="AY59" i="3"/>
  <c r="AY131" i="3"/>
  <c r="AY58" i="3"/>
  <c r="AY268" i="3"/>
  <c r="AY371" i="3"/>
  <c r="AY318" i="3"/>
  <c r="AY428" i="3"/>
  <c r="AY106" i="3"/>
  <c r="AY245" i="3"/>
  <c r="AY395" i="3"/>
  <c r="AY342" i="3"/>
  <c r="AY452" i="3"/>
  <c r="AY513" i="3"/>
  <c r="AY569" i="3"/>
  <c r="AY553" i="3"/>
  <c r="AY77" i="3"/>
  <c r="AY60" i="3"/>
  <c r="AY25" i="3"/>
  <c r="AY182" i="3"/>
  <c r="AY178" i="3"/>
  <c r="AY146" i="3"/>
  <c r="AY157" i="3"/>
  <c r="AY126" i="3"/>
  <c r="AY117" i="3"/>
  <c r="AY302" i="3"/>
  <c r="AY271" i="3"/>
  <c r="AY239" i="3"/>
  <c r="AY254" i="3"/>
  <c r="AY222" i="3"/>
  <c r="AY211" i="3"/>
  <c r="AY389" i="3"/>
  <c r="AY365" i="3"/>
  <c r="BS6" i="3"/>
  <c r="BI6" i="3"/>
  <c r="AY87" i="3"/>
  <c r="AY34" i="3"/>
  <c r="AY144" i="3"/>
  <c r="AY95" i="3"/>
  <c r="AY152" i="3"/>
  <c r="AY111" i="3"/>
  <c r="AY253" i="3"/>
  <c r="AY382" i="3"/>
  <c r="AY303"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66" i="3"/>
  <c r="AY176" i="3"/>
  <c r="AY115" i="3"/>
  <c r="AY188" i="3"/>
  <c r="AY276" i="3"/>
  <c r="AY297" i="3"/>
  <c r="AY225" i="3"/>
  <c r="AY335" i="3"/>
  <c r="AY470" i="3"/>
  <c r="AY409" i="3"/>
  <c r="AY180" i="3"/>
  <c r="AY228" i="3"/>
  <c r="AY358" i="3"/>
  <c r="AY465" i="3"/>
  <c r="AY433" i="3"/>
  <c r="BK6" i="3"/>
  <c r="AY541" i="3"/>
  <c r="AY108" i="3"/>
  <c r="AY45" i="3"/>
  <c r="AY28" i="3"/>
  <c r="AY198" i="3"/>
  <c r="AY193" i="3"/>
  <c r="AY162" i="3"/>
  <c r="AY173" i="3"/>
  <c r="AY141" i="3"/>
  <c r="AY134" i="3"/>
  <c r="AY291" i="3"/>
  <c r="AY286" i="3"/>
  <c r="AY255" i="3"/>
  <c r="AY270" i="3"/>
  <c r="AY238" i="3"/>
  <c r="AY227" i="3"/>
  <c r="AY384" i="3"/>
  <c r="AY373" i="3"/>
  <c r="AY368" i="3"/>
  <c r="AY507" i="3"/>
  <c r="BB6" i="3"/>
  <c r="AY51" i="3"/>
  <c r="AY207" i="3"/>
  <c r="AY124" i="3"/>
  <c r="AY42" i="3"/>
  <c r="AY281" i="3"/>
  <c r="AY168" i="3"/>
  <c r="AY236" i="3"/>
  <c r="AY366" i="3"/>
  <c r="AY473" i="3"/>
  <c r="AY441" i="3"/>
  <c r="AY26" i="3"/>
  <c r="AY260" i="3"/>
  <c r="AY372" i="3"/>
  <c r="AY310" i="3"/>
  <c r="AY420" i="3"/>
  <c r="AY549" i="3"/>
  <c r="AY533" i="3"/>
  <c r="AY97" i="3"/>
  <c r="AY61" i="3"/>
  <c r="AY44" i="3"/>
  <c r="AY206" i="3"/>
  <c r="AY201" i="3"/>
  <c r="AY170" i="3"/>
  <c r="AY138" i="3"/>
  <c r="AY149" i="3"/>
  <c r="AY118" i="3"/>
  <c r="AY299" i="3"/>
  <c r="AY294" i="3"/>
  <c r="AY263" i="3"/>
  <c r="AY231" i="3"/>
  <c r="AY246" i="3"/>
  <c r="AY214" i="3"/>
  <c r="AY392" i="3"/>
  <c r="AY381" i="3"/>
  <c r="AY357" i="3"/>
  <c r="AY554" i="3"/>
  <c r="BJ6" i="3"/>
  <c r="AY104"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72" i="3"/>
  <c r="AY181" i="3"/>
  <c r="AY121" i="3"/>
  <c r="AY258" i="3"/>
  <c r="AY370" i="3"/>
  <c r="AY309" i="3"/>
  <c r="AY483" i="3"/>
  <c r="AY449" i="3"/>
  <c r="AY406" i="3"/>
  <c r="AY503" i="3"/>
  <c r="AY572" i="3"/>
  <c r="AY520" i="3"/>
  <c r="AY543" i="3"/>
  <c r="AY81" i="3"/>
  <c r="AY21" i="3"/>
  <c r="AY153" i="3"/>
  <c r="AY267" i="3"/>
  <c r="AY396" i="3"/>
  <c r="AY337" i="3"/>
  <c r="AY320" i="3"/>
  <c r="AY476" i="3"/>
  <c r="AY434" i="3"/>
  <c r="AY415" i="3"/>
  <c r="AY505" i="3"/>
  <c r="AY538" i="3"/>
  <c r="AY522" i="3"/>
  <c r="AY515" i="3"/>
  <c r="AY551" i="3"/>
  <c r="AY545" i="3"/>
  <c r="BP6" i="3"/>
  <c r="AY493" i="3"/>
  <c r="AY79" i="3"/>
  <c r="AY62" i="3"/>
  <c r="AY19" i="3"/>
  <c r="AY172" i="3"/>
  <c r="AY151" i="3"/>
  <c r="AY301" i="3"/>
  <c r="AY265" i="3"/>
  <c r="AY248" i="3"/>
  <c r="AY394" i="3"/>
  <c r="AY315" i="3"/>
  <c r="AY485" i="3"/>
  <c r="AY451" i="3"/>
  <c r="AY408" i="3"/>
  <c r="AY500" i="3"/>
  <c r="AY547" i="3"/>
  <c r="AY568" i="3"/>
  <c r="AY107" i="3"/>
  <c r="AY71" i="3"/>
  <c r="AY54" i="3"/>
  <c r="AY200" i="3"/>
  <c r="AY164" i="3"/>
  <c r="AY293" i="3"/>
  <c r="AY257" i="3"/>
  <c r="AY240" i="3"/>
  <c r="AY386" i="3"/>
  <c r="AY351" i="3"/>
  <c r="AY307" i="3"/>
  <c r="AY443" i="3"/>
  <c r="AY400" i="3"/>
  <c r="AY521" i="3"/>
  <c r="BT6" i="3"/>
  <c r="AY93" i="3"/>
  <c r="AY40" i="3"/>
  <c r="AY150" i="3"/>
  <c r="AY226" i="3"/>
  <c r="AY356" i="3"/>
  <c r="AY340" i="3"/>
  <c r="AY454" i="3"/>
  <c r="AY435" i="3"/>
  <c r="BN6" i="3"/>
  <c r="AY508" i="3"/>
  <c r="AY49" i="3"/>
  <c r="AY205" i="3"/>
  <c r="AY235" i="3"/>
  <c r="AY385" i="3"/>
  <c r="AY304" i="3"/>
  <c r="AY461" i="3"/>
  <c r="AY407" i="3"/>
  <c r="AY506" i="3"/>
  <c r="AY524" i="3"/>
  <c r="AY565" i="3"/>
  <c r="AY570" i="3"/>
  <c r="AY578" i="3"/>
  <c r="AY63" i="3"/>
  <c r="AY192" i="3"/>
  <c r="AY135" i="3"/>
  <c r="AY249" i="3"/>
  <c r="AY378" i="3"/>
  <c r="AY362" i="3"/>
  <c r="AY469" i="3"/>
  <c r="AY456" i="3"/>
  <c r="AY558" i="3"/>
  <c r="AY560" i="3"/>
  <c r="AY91" i="3"/>
  <c r="AY38" i="3"/>
  <c r="AY184" i="3"/>
  <c r="AY128" i="3"/>
  <c r="AY241" i="3"/>
  <c r="AY391" i="3"/>
  <c r="AY338" i="3"/>
  <c r="AY490" i="3"/>
  <c r="AY429" i="3"/>
  <c r="BD6" i="3"/>
  <c r="AY586" i="3"/>
  <c r="AY41" i="3"/>
  <c r="AY496" i="3"/>
  <c r="AY359" i="3"/>
  <c r="AY143" i="3"/>
  <c r="AY477" i="3"/>
  <c r="AY566" i="3"/>
  <c r="AY279" i="3"/>
  <c r="AY467" i="3"/>
  <c r="AY525" i="3"/>
  <c r="AY518" i="3"/>
  <c r="AY577" i="3"/>
  <c r="AY122" i="3"/>
  <c r="AY321" i="3"/>
  <c r="AY418" i="3"/>
  <c r="AY14" i="3"/>
  <c r="AY542" i="3"/>
  <c r="AY99" i="3"/>
  <c r="AY46" i="3"/>
  <c r="AY156" i="3"/>
  <c r="AY285" i="3"/>
  <c r="AY232" i="3"/>
  <c r="AY346" i="3"/>
  <c r="AY437" i="3"/>
  <c r="BL6" i="3"/>
  <c r="AY55" i="3"/>
  <c r="AY148" i="3"/>
  <c r="AY277" i="3"/>
  <c r="AY224" i="3"/>
  <c r="AY354" i="3"/>
  <c r="AY448" i="3"/>
  <c r="AY511" i="3"/>
  <c r="Q73" i="84"/>
  <c r="Q60" i="84"/>
  <c r="C49" i="84"/>
  <c r="C48" i="84"/>
  <c r="Q52" i="84"/>
  <c r="F1" i="84"/>
  <c r="Q57" i="84"/>
  <c r="Q66" i="84"/>
  <c r="J18" i="82"/>
  <c r="C48" i="82"/>
  <c r="C60" i="82"/>
  <c r="C48" i="83"/>
  <c r="C66" i="83"/>
  <c r="C38" i="84"/>
  <c r="C33" i="84"/>
  <c r="C32" i="84"/>
  <c r="H23" i="6"/>
  <c r="M24" i="6"/>
  <c r="I24" i="6"/>
  <c r="S11" i="1"/>
  <c r="C18" i="15"/>
  <c r="C15" i="15"/>
  <c r="E10" i="70"/>
  <c r="AB38" i="39"/>
  <c r="U38" i="39"/>
  <c r="W38" i="39"/>
  <c r="AC38" i="39"/>
  <c r="E9" i="70"/>
  <c r="AA38" i="39"/>
  <c r="S38" i="39"/>
  <c r="K27" i="6"/>
  <c r="C38" i="83"/>
  <c r="C32" i="83"/>
  <c r="C24" i="83"/>
  <c r="C38" i="82"/>
  <c r="C32" i="82"/>
  <c r="C66" i="82"/>
  <c r="C38" i="81"/>
  <c r="C32" i="81"/>
  <c r="C24" i="81"/>
  <c r="C66" i="81"/>
  <c r="C60" i="81"/>
  <c r="C38" i="80"/>
  <c r="C32" i="80"/>
  <c r="C60" i="80"/>
  <c r="M21" i="6"/>
  <c r="I21" i="6"/>
  <c r="S8" i="1"/>
  <c r="AQ10" i="1"/>
  <c r="AR10" i="1"/>
  <c r="T10" i="1"/>
  <c r="AR9" i="1"/>
  <c r="T9" i="1"/>
  <c r="AQ9" i="1"/>
  <c r="M20" i="6"/>
  <c r="I20" i="6"/>
  <c r="S7" i="1"/>
  <c r="I19" i="6"/>
  <c r="C35" i="69"/>
  <c r="C38" i="69"/>
  <c r="M16" i="1"/>
  <c r="O14" i="1"/>
  <c r="N16" i="1"/>
  <c r="J26" i="67"/>
  <c r="J29" i="67"/>
  <c r="C19" i="68"/>
  <c r="C24" i="68"/>
  <c r="E29" i="43"/>
  <c r="C30" i="43"/>
  <c r="E30" i="43"/>
  <c r="AB7" i="37"/>
  <c r="T42" i="37"/>
  <c r="G42" i="37"/>
  <c r="U7" i="37"/>
  <c r="J58" i="21"/>
  <c r="C39" i="35"/>
  <c r="B2" i="35"/>
  <c r="B3" i="35"/>
  <c r="C38" i="35"/>
  <c r="H46" i="36"/>
  <c r="W7" i="37"/>
  <c r="AC7" i="37"/>
  <c r="V42" i="37"/>
  <c r="I42" i="37"/>
  <c r="E43" i="35"/>
  <c r="F43" i="35"/>
  <c r="E42" i="35"/>
  <c r="F42" i="35"/>
  <c r="K59" i="34"/>
  <c r="F7" i="37"/>
  <c r="J18" i="15"/>
  <c r="J24" i="15"/>
  <c r="J26" i="15"/>
  <c r="J29" i="15"/>
  <c r="C32" i="15"/>
  <c r="C38" i="15"/>
  <c r="C26" i="69"/>
  <c r="D22" i="69"/>
  <c r="C44" i="69"/>
  <c r="D41" i="69"/>
  <c r="C60" i="15"/>
  <c r="C66" i="15"/>
  <c r="C26" i="11"/>
  <c r="D22" i="11"/>
  <c r="C24" i="11"/>
  <c r="C25" i="11"/>
  <c r="C44" i="11"/>
  <c r="D41" i="11"/>
  <c r="C23" i="11"/>
  <c r="C26" i="68"/>
  <c r="D22" i="68"/>
  <c r="C44" i="68"/>
  <c r="D41" i="68"/>
  <c r="C26" i="12"/>
  <c r="D25" i="12"/>
  <c r="C32" i="67"/>
  <c r="C38" i="67"/>
  <c r="C60" i="67"/>
  <c r="C66" i="67"/>
  <c r="C23" i="67"/>
  <c r="C29" i="67"/>
  <c r="AE11" i="1"/>
  <c r="F41" i="84"/>
  <c r="F41" i="81"/>
  <c r="F41" i="80"/>
  <c r="C14" i="82"/>
  <c r="C14" i="83"/>
  <c r="F41" i="83"/>
  <c r="C17" i="81"/>
  <c r="F41" i="82"/>
  <c r="C17" i="80"/>
  <c r="C17" i="84"/>
  <c r="C60" i="83"/>
  <c r="F69" i="84"/>
  <c r="J29" i="84"/>
  <c r="C60" i="84"/>
  <c r="C66" i="84"/>
  <c r="E11" i="70"/>
  <c r="I63" i="40"/>
  <c r="H65" i="40"/>
  <c r="D20" i="12"/>
  <c r="C20" i="12"/>
  <c r="D10" i="69"/>
  <c r="D10" i="11"/>
  <c r="C10" i="11"/>
  <c r="D10" i="68"/>
  <c r="D17" i="12"/>
  <c r="C17" i="12"/>
  <c r="C14" i="12"/>
  <c r="G38" i="43"/>
  <c r="I38" i="43"/>
  <c r="E38" i="43"/>
  <c r="E34" i="43"/>
  <c r="G34" i="43"/>
  <c r="I34" i="43"/>
  <c r="G36" i="43"/>
  <c r="I36" i="43"/>
  <c r="E36" i="43"/>
  <c r="E66" i="39"/>
  <c r="D15" i="6"/>
  <c r="D21" i="6"/>
  <c r="D6" i="6"/>
  <c r="D13" i="6"/>
  <c r="E61" i="40"/>
  <c r="D19" i="6"/>
  <c r="C18" i="4"/>
  <c r="D23" i="6"/>
  <c r="R23" i="6"/>
  <c r="R10" i="1"/>
  <c r="D5" i="6"/>
  <c r="D10" i="6"/>
  <c r="D29" i="6"/>
  <c r="D14" i="6"/>
  <c r="H25" i="6"/>
  <c r="D25" i="6"/>
  <c r="D22" i="6"/>
  <c r="D24" i="6"/>
  <c r="D9" i="6"/>
  <c r="D28" i="6"/>
  <c r="D30" i="6"/>
  <c r="M19" i="9"/>
  <c r="C118" i="9"/>
  <c r="C14" i="74"/>
  <c r="B2" i="74"/>
  <c r="D26" i="6"/>
  <c r="D8" i="6"/>
  <c r="D20" i="6"/>
  <c r="D12" i="6"/>
  <c r="L19" i="9"/>
  <c r="D11" i="6"/>
  <c r="H26" i="6"/>
  <c r="H22" i="6"/>
  <c r="R22" i="6"/>
  <c r="R9" i="1"/>
  <c r="G70" i="39"/>
  <c r="H68" i="39"/>
  <c r="C8" i="74"/>
  <c r="C7" i="74"/>
  <c r="E37" i="43"/>
  <c r="G37" i="43"/>
  <c r="I37" i="43"/>
  <c r="E35" i="43"/>
  <c r="G35" i="43"/>
  <c r="I35" i="43"/>
  <c r="E33" i="43"/>
  <c r="C26" i="43"/>
  <c r="G33" i="43"/>
  <c r="I33" i="43"/>
  <c r="C27" i="43"/>
  <c r="F69" i="82"/>
  <c r="J29" i="82"/>
  <c r="F69" i="80"/>
  <c r="J29" i="80"/>
  <c r="J29" i="81"/>
  <c r="F69" i="81"/>
  <c r="F69" i="83"/>
  <c r="J29" i="83"/>
  <c r="C19" i="15"/>
  <c r="AQ11" i="1"/>
  <c r="T11" i="1"/>
  <c r="AR11" i="1"/>
  <c r="S24" i="6"/>
  <c r="H24" i="6"/>
  <c r="C18" i="83"/>
  <c r="C15" i="83"/>
  <c r="C15" i="82"/>
  <c r="C18" i="82"/>
  <c r="C20" i="15"/>
  <c r="C26" i="15"/>
  <c r="M27" i="6"/>
  <c r="S16" i="1"/>
  <c r="E7" i="70"/>
  <c r="E8" i="70"/>
  <c r="C33" i="82"/>
  <c r="C33" i="80"/>
  <c r="C22" i="11"/>
  <c r="C31" i="11"/>
  <c r="AQ7" i="1"/>
  <c r="T7" i="1"/>
  <c r="AR7" i="1"/>
  <c r="AQ8" i="1"/>
  <c r="T8" i="1"/>
  <c r="AR8" i="1"/>
  <c r="S20" i="6"/>
  <c r="H20" i="6"/>
  <c r="S21" i="6"/>
  <c r="H21" i="6"/>
  <c r="R21" i="6"/>
  <c r="R8" i="1"/>
  <c r="C34" i="68"/>
  <c r="L16" i="1"/>
  <c r="C34" i="11"/>
  <c r="I27" i="6"/>
  <c r="S19" i="6"/>
  <c r="H19" i="6"/>
  <c r="F50" i="11"/>
  <c r="F50" i="69"/>
  <c r="F50" i="68"/>
  <c r="P14" i="1"/>
  <c r="P16" i="1"/>
  <c r="C11" i="12"/>
  <c r="O16" i="1"/>
  <c r="AA7" i="37"/>
  <c r="R42" i="37"/>
  <c r="S7" i="37"/>
  <c r="L59" i="34"/>
  <c r="I46" i="37"/>
  <c r="J46" i="37"/>
  <c r="K58" i="21"/>
  <c r="G47" i="37"/>
  <c r="H47" i="37"/>
  <c r="G46" i="37"/>
  <c r="H46" i="37"/>
  <c r="I46" i="36"/>
  <c r="Q49" i="67"/>
  <c r="J14" i="67"/>
  <c r="J19" i="67"/>
  <c r="J17" i="67"/>
  <c r="C57" i="67"/>
  <c r="C13" i="67"/>
  <c r="C36" i="67"/>
  <c r="C33" i="67"/>
  <c r="C31" i="67"/>
  <c r="J59" i="67"/>
  <c r="J60" i="67"/>
  <c r="M21" i="82"/>
  <c r="F35" i="82"/>
  <c r="C14" i="84"/>
  <c r="C14" i="80"/>
  <c r="M21" i="83"/>
  <c r="F35" i="83"/>
  <c r="F35" i="81"/>
  <c r="M21" i="81"/>
  <c r="C14" i="81"/>
  <c r="E6" i="76"/>
  <c r="R20" i="6"/>
  <c r="R7" i="1"/>
  <c r="C23" i="15"/>
  <c r="E2" i="76"/>
  <c r="F63" i="83"/>
  <c r="C62" i="83"/>
  <c r="C34" i="83"/>
  <c r="J20" i="83"/>
  <c r="C18" i="84"/>
  <c r="C15" i="84"/>
  <c r="C34" i="82"/>
  <c r="C31" i="82"/>
  <c r="F63" i="82"/>
  <c r="C62" i="82"/>
  <c r="J20" i="82"/>
  <c r="B2" i="43"/>
  <c r="S27" i="6"/>
  <c r="R24" i="6"/>
  <c r="R11" i="1"/>
  <c r="I68" i="39"/>
  <c r="H70" i="39"/>
  <c r="D16" i="6"/>
  <c r="D8" i="74"/>
  <c r="D7" i="74"/>
  <c r="R25" i="6"/>
  <c r="A7" i="51"/>
  <c r="B7" i="72"/>
  <c r="C4" i="52"/>
  <c r="B45" i="72"/>
  <c r="A10" i="51"/>
  <c r="B9" i="72"/>
  <c r="C10" i="68"/>
  <c r="B29" i="1"/>
  <c r="C8" i="68"/>
  <c r="D19" i="68"/>
  <c r="D37" i="68"/>
  <c r="C37" i="68"/>
  <c r="C10" i="69"/>
  <c r="C8" i="69"/>
  <c r="C5" i="69"/>
  <c r="D19" i="69"/>
  <c r="R26" i="6"/>
  <c r="D27" i="6"/>
  <c r="D31" i="6"/>
  <c r="I65" i="40"/>
  <c r="J63" i="40"/>
  <c r="C19" i="82"/>
  <c r="C19" i="83"/>
  <c r="C29" i="15"/>
  <c r="J19" i="15"/>
  <c r="C20" i="83"/>
  <c r="C26" i="83"/>
  <c r="C20" i="82"/>
  <c r="C26" i="82"/>
  <c r="C15" i="80"/>
  <c r="C18" i="80"/>
  <c r="C15" i="81"/>
  <c r="C18" i="81"/>
  <c r="T16" i="1"/>
  <c r="E2" i="70"/>
  <c r="J20" i="81"/>
  <c r="F63" i="81"/>
  <c r="C62" i="81"/>
  <c r="C34" i="81"/>
  <c r="C33" i="83"/>
  <c r="C31" i="83"/>
  <c r="C33" i="81"/>
  <c r="C35" i="11"/>
  <c r="C38" i="11"/>
  <c r="C38" i="68"/>
  <c r="C35" i="68"/>
  <c r="C15" i="12"/>
  <c r="C12" i="12"/>
  <c r="R19" i="6"/>
  <c r="H27" i="6"/>
  <c r="C33" i="15"/>
  <c r="B3" i="43"/>
  <c r="L58" i="21"/>
  <c r="J46" i="36"/>
  <c r="K46" i="36"/>
  <c r="L46" i="36"/>
  <c r="M46" i="36"/>
  <c r="N46" i="36"/>
  <c r="O46" i="36"/>
  <c r="F7" i="36"/>
  <c r="M59" i="34"/>
  <c r="R43" i="37"/>
  <c r="E42" i="37"/>
  <c r="Q48" i="67"/>
  <c r="L46" i="67"/>
  <c r="C61" i="67"/>
  <c r="C59" i="67"/>
  <c r="C64" i="67"/>
  <c r="J22" i="67"/>
  <c r="J13" i="67"/>
  <c r="J23" i="67"/>
  <c r="Q70" i="67"/>
  <c r="C56" i="67"/>
  <c r="C65" i="67"/>
  <c r="C37" i="67"/>
  <c r="C30" i="67"/>
  <c r="C39" i="67"/>
  <c r="C75" i="67"/>
  <c r="F35" i="80"/>
  <c r="M21" i="80"/>
  <c r="F35" i="84"/>
  <c r="M21" i="84"/>
  <c r="B6" i="76"/>
  <c r="J20" i="80"/>
  <c r="F63" i="80"/>
  <c r="C62" i="80"/>
  <c r="C34" i="80"/>
  <c r="C31" i="80"/>
  <c r="C19" i="84"/>
  <c r="Q49" i="15"/>
  <c r="C57" i="15"/>
  <c r="C64" i="15"/>
  <c r="J14" i="15"/>
  <c r="J13" i="15"/>
  <c r="J23" i="15"/>
  <c r="C36" i="15"/>
  <c r="C13" i="15"/>
  <c r="Q70" i="15"/>
  <c r="J59" i="15"/>
  <c r="J60" i="15"/>
  <c r="Q48" i="15"/>
  <c r="B2" i="76"/>
  <c r="B3" i="76"/>
  <c r="J20" i="84"/>
  <c r="C34" i="84"/>
  <c r="C31" i="84"/>
  <c r="F63" i="84"/>
  <c r="C62" i="84"/>
  <c r="J7" i="36"/>
  <c r="K63" i="40"/>
  <c r="J65" i="40"/>
  <c r="C18" i="12"/>
  <c r="I6" i="6"/>
  <c r="I5" i="6"/>
  <c r="C19" i="69"/>
  <c r="D37" i="69"/>
  <c r="C37" i="69"/>
  <c r="C33" i="69"/>
  <c r="J68" i="39"/>
  <c r="I70" i="39"/>
  <c r="C23" i="69"/>
  <c r="C20" i="84"/>
  <c r="C26" i="84"/>
  <c r="C23" i="82"/>
  <c r="C29" i="82"/>
  <c r="C57" i="82"/>
  <c r="C31" i="81"/>
  <c r="C19" i="81"/>
  <c r="C20" i="81"/>
  <c r="C26" i="81"/>
  <c r="C19" i="80"/>
  <c r="C20" i="80"/>
  <c r="C26" i="80"/>
  <c r="C23" i="83"/>
  <c r="C29" i="83"/>
  <c r="C33" i="11"/>
  <c r="C39" i="11"/>
  <c r="C43" i="11"/>
  <c r="L57" i="82"/>
  <c r="L60" i="82"/>
  <c r="L57" i="80"/>
  <c r="L60" i="80"/>
  <c r="C75" i="15"/>
  <c r="C16" i="12"/>
  <c r="R27" i="6"/>
  <c r="R6" i="1"/>
  <c r="C33" i="68"/>
  <c r="C42" i="68"/>
  <c r="C42" i="11"/>
  <c r="E47" i="37"/>
  <c r="F47" i="37"/>
  <c r="E46" i="37"/>
  <c r="F46" i="37"/>
  <c r="I47" i="37"/>
  <c r="J47" i="37"/>
  <c r="AC7" i="36"/>
  <c r="V36" i="36"/>
  <c r="I36" i="36"/>
  <c r="W7" i="36"/>
  <c r="M58" i="21"/>
  <c r="J16" i="67"/>
  <c r="J25" i="67"/>
  <c r="C43" i="37"/>
  <c r="B2" i="37"/>
  <c r="B3" i="37"/>
  <c r="C42" i="37"/>
  <c r="N59" i="34"/>
  <c r="S7" i="36"/>
  <c r="AA7" i="36"/>
  <c r="R36" i="36"/>
  <c r="H7" i="36"/>
  <c r="Q69" i="67"/>
  <c r="Q68" i="67"/>
  <c r="C40" i="67"/>
  <c r="C58" i="67"/>
  <c r="C67" i="67"/>
  <c r="C68" i="67"/>
  <c r="C80" i="67"/>
  <c r="C79" i="67"/>
  <c r="F35" i="15"/>
  <c r="L51" i="67"/>
  <c r="M21" i="15"/>
  <c r="C61" i="15"/>
  <c r="C56" i="15"/>
  <c r="C65" i="15"/>
  <c r="C23" i="84"/>
  <c r="C29" i="84"/>
  <c r="C36" i="84"/>
  <c r="C39" i="68"/>
  <c r="C46" i="68"/>
  <c r="C45" i="68"/>
  <c r="C37" i="15"/>
  <c r="J22" i="15"/>
  <c r="J59" i="84"/>
  <c r="J60" i="84"/>
  <c r="C21" i="12"/>
  <c r="C22" i="12"/>
  <c r="C30" i="12"/>
  <c r="C28" i="12"/>
  <c r="K68" i="39"/>
  <c r="J70" i="39"/>
  <c r="C20" i="69"/>
  <c r="C24" i="69"/>
  <c r="C42" i="69"/>
  <c r="C39" i="69"/>
  <c r="K65" i="40"/>
  <c r="L63" i="40"/>
  <c r="J19" i="82"/>
  <c r="J17" i="82"/>
  <c r="C36" i="82"/>
  <c r="J59" i="82"/>
  <c r="J60" i="82"/>
  <c r="Q48" i="82"/>
  <c r="J14" i="82"/>
  <c r="J22" i="82"/>
  <c r="C13" i="82"/>
  <c r="Q70" i="82"/>
  <c r="Q49" i="82"/>
  <c r="C36" i="83"/>
  <c r="J14" i="83"/>
  <c r="Q49" i="83"/>
  <c r="J59" i="83"/>
  <c r="J60" i="83"/>
  <c r="Q48" i="83"/>
  <c r="C57" i="83"/>
  <c r="J19" i="83"/>
  <c r="J17" i="83"/>
  <c r="C13" i="83"/>
  <c r="C64" i="82"/>
  <c r="C61" i="82"/>
  <c r="C59" i="82"/>
  <c r="J20" i="15"/>
  <c r="J17" i="15"/>
  <c r="C34" i="15"/>
  <c r="C31" i="15"/>
  <c r="F63" i="15"/>
  <c r="C62" i="15"/>
  <c r="R16" i="1"/>
  <c r="C23" i="80"/>
  <c r="C29" i="80"/>
  <c r="C36" i="80"/>
  <c r="C23" i="81"/>
  <c r="C29" i="81"/>
  <c r="J19" i="81"/>
  <c r="J17" i="81"/>
  <c r="Q66" i="82"/>
  <c r="Q57" i="82"/>
  <c r="Q66" i="80"/>
  <c r="Q57" i="80"/>
  <c r="C46" i="11"/>
  <c r="C45" i="11"/>
  <c r="C41" i="11"/>
  <c r="C43" i="68"/>
  <c r="C41" i="68"/>
  <c r="E36" i="36"/>
  <c r="R37" i="36"/>
  <c r="N58" i="21"/>
  <c r="I40" i="36"/>
  <c r="J40" i="36"/>
  <c r="I41" i="36"/>
  <c r="J41" i="36"/>
  <c r="U7" i="36"/>
  <c r="AB7" i="36"/>
  <c r="T36" i="36"/>
  <c r="G36" i="36"/>
  <c r="O59" i="34"/>
  <c r="J7" i="34"/>
  <c r="F7" i="34"/>
  <c r="Q67" i="67"/>
  <c r="L57" i="67"/>
  <c r="L60" i="67"/>
  <c r="C43" i="67"/>
  <c r="Q65" i="67"/>
  <c r="Q56" i="67"/>
  <c r="Q47" i="67"/>
  <c r="Q53" i="67"/>
  <c r="D2" i="67"/>
  <c r="C83" i="67"/>
  <c r="C82" i="67"/>
  <c r="C71" i="67"/>
  <c r="C45" i="67"/>
  <c r="C46" i="67"/>
  <c r="C59" i="15"/>
  <c r="C57" i="84"/>
  <c r="C58" i="15"/>
  <c r="C67" i="15"/>
  <c r="C68" i="15"/>
  <c r="C71" i="15"/>
  <c r="C30" i="15"/>
  <c r="C39" i="15"/>
  <c r="C80" i="15"/>
  <c r="C79" i="15"/>
  <c r="C13" i="84"/>
  <c r="Q70" i="84"/>
  <c r="J14" i="84"/>
  <c r="J13" i="84"/>
  <c r="J23" i="84"/>
  <c r="J19" i="84"/>
  <c r="J17" i="84"/>
  <c r="Q49" i="84"/>
  <c r="C27" i="12"/>
  <c r="C25" i="12"/>
  <c r="C32" i="12"/>
  <c r="B2" i="12"/>
  <c r="B3" i="12"/>
  <c r="J16" i="15"/>
  <c r="J25" i="15"/>
  <c r="H7" i="34"/>
  <c r="M63" i="40"/>
  <c r="L65" i="40"/>
  <c r="C43" i="69"/>
  <c r="C41" i="69"/>
  <c r="C46" i="69"/>
  <c r="C45" i="69"/>
  <c r="C25" i="69"/>
  <c r="C22" i="69"/>
  <c r="C28" i="69"/>
  <c r="C27" i="69"/>
  <c r="L68" i="39"/>
  <c r="K70" i="39"/>
  <c r="C37" i="84"/>
  <c r="C30" i="84"/>
  <c r="C39" i="84"/>
  <c r="C61" i="84"/>
  <c r="C59" i="84"/>
  <c r="C64" i="84"/>
  <c r="J22" i="84"/>
  <c r="L46" i="84"/>
  <c r="Q48" i="84"/>
  <c r="C57" i="80"/>
  <c r="C61" i="80"/>
  <c r="C59" i="80"/>
  <c r="J13" i="82"/>
  <c r="J23" i="82"/>
  <c r="C75" i="82"/>
  <c r="J16" i="82"/>
  <c r="J25" i="82"/>
  <c r="L46" i="82"/>
  <c r="C56" i="82"/>
  <c r="C65" i="82"/>
  <c r="C58" i="82"/>
  <c r="C67" i="82"/>
  <c r="C68" i="82"/>
  <c r="C71" i="82"/>
  <c r="C37" i="82"/>
  <c r="C30" i="82"/>
  <c r="C39" i="82"/>
  <c r="C40" i="82"/>
  <c r="J22" i="83"/>
  <c r="J13" i="83"/>
  <c r="J23" i="83"/>
  <c r="Q70" i="83"/>
  <c r="C56" i="83"/>
  <c r="C65" i="83"/>
  <c r="C75" i="83"/>
  <c r="C37" i="83"/>
  <c r="C30" i="83"/>
  <c r="C39" i="83"/>
  <c r="C61" i="83"/>
  <c r="C59" i="83"/>
  <c r="C64" i="83"/>
  <c r="J19" i="80"/>
  <c r="J17" i="80"/>
  <c r="J59" i="80"/>
  <c r="J60" i="80"/>
  <c r="Q48" i="80"/>
  <c r="J59" i="81"/>
  <c r="J60" i="81"/>
  <c r="Q48" i="81"/>
  <c r="J14" i="81"/>
  <c r="J13" i="81"/>
  <c r="J23" i="81"/>
  <c r="C13" i="81"/>
  <c r="C75" i="81"/>
  <c r="C57" i="81"/>
  <c r="C64" i="81"/>
  <c r="Q49" i="81"/>
  <c r="C36" i="81"/>
  <c r="Q49" i="80"/>
  <c r="C13" i="80"/>
  <c r="C75" i="80"/>
  <c r="J14" i="80"/>
  <c r="J22" i="80"/>
  <c r="L57" i="15"/>
  <c r="L60" i="15"/>
  <c r="L46" i="15"/>
  <c r="J13" i="80"/>
  <c r="J23" i="80"/>
  <c r="L57" i="83"/>
  <c r="L60" i="83"/>
  <c r="L46" i="83"/>
  <c r="L57" i="81"/>
  <c r="L60" i="81"/>
  <c r="C49" i="11"/>
  <c r="C51" i="11"/>
  <c r="C52" i="11"/>
  <c r="B2" i="11"/>
  <c r="B3" i="11"/>
  <c r="C49" i="68"/>
  <c r="C51" i="68"/>
  <c r="W7" i="34"/>
  <c r="AC7" i="34"/>
  <c r="V49" i="34"/>
  <c r="I49" i="34"/>
  <c r="O58" i="21"/>
  <c r="F7" i="21"/>
  <c r="E40" i="36"/>
  <c r="F40" i="36"/>
  <c r="E41" i="36"/>
  <c r="F41" i="36"/>
  <c r="S7" i="34"/>
  <c r="AA7" i="34"/>
  <c r="R49" i="34"/>
  <c r="G40" i="36"/>
  <c r="H40" i="36"/>
  <c r="G41" i="36"/>
  <c r="H41" i="36"/>
  <c r="C37" i="36"/>
  <c r="B2" i="36"/>
  <c r="B3" i="36"/>
  <c r="C36" i="36"/>
  <c r="U7" i="34"/>
  <c r="AB7" i="34"/>
  <c r="T49" i="34"/>
  <c r="G49" i="34"/>
  <c r="Q57" i="67"/>
  <c r="Q62" i="67"/>
  <c r="Q66" i="67"/>
  <c r="Q75" i="67"/>
  <c r="B2" i="67"/>
  <c r="B3" i="67"/>
  <c r="L51" i="15"/>
  <c r="L51" i="83"/>
  <c r="L51" i="82"/>
  <c r="C56" i="84"/>
  <c r="C65" i="84"/>
  <c r="C75" i="84"/>
  <c r="C80" i="84"/>
  <c r="C79" i="84"/>
  <c r="Q66" i="15"/>
  <c r="C64" i="80"/>
  <c r="Q67" i="15"/>
  <c r="C40" i="15"/>
  <c r="Q69" i="15"/>
  <c r="Q68" i="15"/>
  <c r="J16" i="84"/>
  <c r="J25" i="84"/>
  <c r="C58" i="84"/>
  <c r="C67" i="84"/>
  <c r="C68" i="84"/>
  <c r="C71" i="84"/>
  <c r="C31" i="69"/>
  <c r="C40" i="84"/>
  <c r="Q69" i="84"/>
  <c r="Q68" i="84"/>
  <c r="N63" i="40"/>
  <c r="M65" i="40"/>
  <c r="M68" i="39"/>
  <c r="L70" i="39"/>
  <c r="C49" i="69"/>
  <c r="C51" i="69"/>
  <c r="C80" i="82"/>
  <c r="C79" i="82"/>
  <c r="L46" i="81"/>
  <c r="Q57" i="15"/>
  <c r="Q69" i="82"/>
  <c r="Q68" i="82"/>
  <c r="C46" i="82"/>
  <c r="Q67" i="82"/>
  <c r="C58" i="83"/>
  <c r="C67" i="83"/>
  <c r="C68" i="83"/>
  <c r="C71" i="83"/>
  <c r="C61" i="81"/>
  <c r="C59" i="81"/>
  <c r="J22" i="81"/>
  <c r="J16" i="81"/>
  <c r="J25" i="81"/>
  <c r="L46" i="80"/>
  <c r="J16" i="83"/>
  <c r="J25" i="83"/>
  <c r="Q67" i="83"/>
  <c r="C80" i="83"/>
  <c r="C79" i="83"/>
  <c r="C40" i="83"/>
  <c r="Q69" i="83"/>
  <c r="Q68" i="83"/>
  <c r="B2" i="82"/>
  <c r="Q56" i="82"/>
  <c r="Q62" i="82"/>
  <c r="C83" i="82"/>
  <c r="C82" i="82"/>
  <c r="Q47" i="82"/>
  <c r="Q53" i="82"/>
  <c r="Q65" i="82"/>
  <c r="Q75" i="82"/>
  <c r="C43" i="82"/>
  <c r="C56" i="80"/>
  <c r="C65" i="80"/>
  <c r="C58" i="80"/>
  <c r="C67" i="80"/>
  <c r="C68" i="80"/>
  <c r="C56" i="81"/>
  <c r="C65" i="81"/>
  <c r="C37" i="80"/>
  <c r="C30" i="80"/>
  <c r="C39" i="80"/>
  <c r="C40" i="80"/>
  <c r="C37" i="81"/>
  <c r="C30" i="81"/>
  <c r="C39" i="81"/>
  <c r="Q69" i="81"/>
  <c r="Q70" i="80"/>
  <c r="Q70" i="81"/>
  <c r="J16" i="80"/>
  <c r="J25" i="80"/>
  <c r="Q66" i="83"/>
  <c r="Q57" i="83"/>
  <c r="Q66" i="81"/>
  <c r="Q57" i="81"/>
  <c r="C56" i="11"/>
  <c r="C57" i="11"/>
  <c r="S7" i="21"/>
  <c r="AA7" i="21"/>
  <c r="R48" i="21"/>
  <c r="I53" i="34"/>
  <c r="J53" i="34"/>
  <c r="E49" i="34"/>
  <c r="I54" i="34"/>
  <c r="J54" i="34"/>
  <c r="R50" i="34"/>
  <c r="G53" i="34"/>
  <c r="H53" i="34"/>
  <c r="G54" i="34"/>
  <c r="H54" i="34"/>
  <c r="H7" i="21"/>
  <c r="J7" i="21"/>
  <c r="L51" i="84"/>
  <c r="L51" i="81"/>
  <c r="AO10" i="1"/>
  <c r="L51" i="80"/>
  <c r="Q69" i="80"/>
  <c r="Q68" i="80"/>
  <c r="C40" i="81"/>
  <c r="Q47" i="81"/>
  <c r="Q53" i="81"/>
  <c r="C80" i="80"/>
  <c r="C79" i="80"/>
  <c r="C58" i="81"/>
  <c r="C67" i="81"/>
  <c r="C68" i="81"/>
  <c r="C71" i="81"/>
  <c r="C46" i="84"/>
  <c r="C43" i="15"/>
  <c r="C83" i="15"/>
  <c r="C82" i="15"/>
  <c r="B2" i="15"/>
  <c r="C46" i="15"/>
  <c r="Q56" i="15"/>
  <c r="Q62" i="15"/>
  <c r="Q65" i="15"/>
  <c r="Q75" i="15"/>
  <c r="Q47" i="15"/>
  <c r="Q53" i="15"/>
  <c r="Q67" i="84"/>
  <c r="O63" i="40"/>
  <c r="O65" i="40"/>
  <c r="N65" i="40"/>
  <c r="J7" i="40"/>
  <c r="C52" i="69"/>
  <c r="B2" i="69"/>
  <c r="B3" i="69"/>
  <c r="N68" i="39"/>
  <c r="M70" i="39"/>
  <c r="H7" i="40"/>
  <c r="F7" i="40"/>
  <c r="Q47" i="84"/>
  <c r="Q53" i="84"/>
  <c r="Q65" i="84"/>
  <c r="Q75" i="84"/>
  <c r="C43" i="84"/>
  <c r="B2" i="84"/>
  <c r="Q56" i="84"/>
  <c r="Q62" i="84"/>
  <c r="C83" i="84"/>
  <c r="C82" i="84"/>
  <c r="C80" i="81"/>
  <c r="C79" i="81"/>
  <c r="Q68" i="81"/>
  <c r="B10" i="70"/>
  <c r="B3" i="82"/>
  <c r="C46" i="83"/>
  <c r="Q65" i="83"/>
  <c r="Q75" i="83"/>
  <c r="C43" i="83"/>
  <c r="Q47" i="83"/>
  <c r="Q53" i="83"/>
  <c r="Q56" i="83"/>
  <c r="C83" i="83"/>
  <c r="C82" i="83"/>
  <c r="Q62" i="83"/>
  <c r="B2" i="83"/>
  <c r="Q67" i="81"/>
  <c r="Q67" i="80"/>
  <c r="Q47" i="80"/>
  <c r="Q53" i="80"/>
  <c r="Q65" i="80"/>
  <c r="Q75" i="80"/>
  <c r="C43" i="80"/>
  <c r="B2" i="80"/>
  <c r="Q56" i="80"/>
  <c r="Q62" i="80"/>
  <c r="C83" i="80"/>
  <c r="C82" i="80"/>
  <c r="C71" i="80"/>
  <c r="C46" i="80"/>
  <c r="AC7" i="21"/>
  <c r="V48" i="21"/>
  <c r="I48" i="21"/>
  <c r="W7" i="21"/>
  <c r="C49" i="34"/>
  <c r="C50" i="34"/>
  <c r="B2" i="34"/>
  <c r="B3" i="34"/>
  <c r="R49" i="21"/>
  <c r="E48" i="21"/>
  <c r="AB7" i="21"/>
  <c r="T48" i="21"/>
  <c r="G48" i="21"/>
  <c r="U7" i="21"/>
  <c r="E54" i="34"/>
  <c r="F54" i="34"/>
  <c r="E53" i="34"/>
  <c r="F53" i="34"/>
  <c r="AO6" i="1"/>
  <c r="AO11" i="1"/>
  <c r="AO7" i="1"/>
  <c r="AO9" i="1"/>
  <c r="C46" i="81"/>
  <c r="Q56" i="81"/>
  <c r="Q62" i="81"/>
  <c r="Q65" i="81"/>
  <c r="Q75" i="81"/>
  <c r="C83" i="81"/>
  <c r="C82" i="81"/>
  <c r="B2" i="81"/>
  <c r="B3" i="81"/>
  <c r="C43" i="81"/>
  <c r="B6" i="70"/>
  <c r="B3" i="15"/>
  <c r="B11" i="70"/>
  <c r="AB7" i="40"/>
  <c r="T42" i="40"/>
  <c r="G42" i="40"/>
  <c r="U7" i="40"/>
  <c r="O68" i="39"/>
  <c r="O70" i="39"/>
  <c r="N70" i="39"/>
  <c r="W7" i="40"/>
  <c r="AC7" i="40"/>
  <c r="V42" i="40"/>
  <c r="I42" i="40"/>
  <c r="I46" i="40"/>
  <c r="J46" i="40"/>
  <c r="B3" i="84"/>
  <c r="AA7" i="40"/>
  <c r="R42" i="40"/>
  <c r="S7" i="40"/>
  <c r="J7" i="39"/>
  <c r="C57" i="69"/>
  <c r="C56" i="69"/>
  <c r="B9" i="70"/>
  <c r="B3" i="83"/>
  <c r="B7" i="70"/>
  <c r="B3" i="80"/>
  <c r="E52" i="21"/>
  <c r="F52" i="21"/>
  <c r="E53" i="21"/>
  <c r="F53" i="21"/>
  <c r="G52" i="21"/>
  <c r="H52" i="21"/>
  <c r="G53" i="21"/>
  <c r="H53" i="21"/>
  <c r="C48" i="21"/>
  <c r="C49" i="21"/>
  <c r="B2" i="21"/>
  <c r="B3" i="21"/>
  <c r="I52" i="21"/>
  <c r="J52" i="21"/>
  <c r="I53" i="21"/>
  <c r="J53" i="21"/>
  <c r="AO8" i="1"/>
  <c r="B8" i="70"/>
  <c r="B2" i="70"/>
  <c r="B3" i="70"/>
  <c r="F7" i="39"/>
  <c r="H7" i="39"/>
  <c r="G47" i="40"/>
  <c r="H47" i="40"/>
  <c r="G46" i="40"/>
  <c r="H46" i="40"/>
  <c r="AC7" i="39"/>
  <c r="V47" i="39"/>
  <c r="I47" i="39"/>
  <c r="W7" i="39"/>
  <c r="E42" i="40"/>
  <c r="R43" i="40"/>
  <c r="D20" i="9"/>
  <c r="D19" i="9"/>
  <c r="I47" i="40"/>
  <c r="J47" i="40"/>
  <c r="E47" i="40"/>
  <c r="F47" i="40"/>
  <c r="E46" i="40"/>
  <c r="F46" i="40"/>
  <c r="C42" i="40"/>
  <c r="C43" i="40"/>
  <c r="AB7" i="39"/>
  <c r="T47" i="39"/>
  <c r="G47" i="39"/>
  <c r="U7" i="39"/>
  <c r="I51" i="39"/>
  <c r="J51" i="39"/>
  <c r="S7" i="39"/>
  <c r="AA7" i="39"/>
  <c r="R47" i="39"/>
  <c r="D102" i="9"/>
  <c r="D21" i="9"/>
  <c r="D103" i="9"/>
  <c r="G52" i="39"/>
  <c r="H52" i="39"/>
  <c r="G51" i="39"/>
  <c r="H51" i="39"/>
  <c r="R48" i="39"/>
  <c r="E47" i="39"/>
  <c r="B53" i="40"/>
  <c r="F53" i="40"/>
  <c r="B57" i="40"/>
  <c r="F57" i="40"/>
  <c r="B59" i="40"/>
  <c r="F59" i="40"/>
  <c r="B56" i="40"/>
  <c r="F56" i="40"/>
  <c r="B54" i="40"/>
  <c r="F54" i="40"/>
  <c r="B60" i="40"/>
  <c r="F60" i="40"/>
  <c r="F61" i="40"/>
  <c r="B2" i="40"/>
  <c r="B3" i="40"/>
  <c r="B58" i="40"/>
  <c r="F58" i="40"/>
  <c r="B52" i="40"/>
  <c r="F52" i="40"/>
  <c r="B51" i="40"/>
  <c r="F51" i="40"/>
  <c r="B55" i="40"/>
  <c r="F55" i="40"/>
  <c r="E52" i="39"/>
  <c r="F52" i="39"/>
  <c r="E51" i="39"/>
  <c r="F51" i="39"/>
  <c r="I52" i="39"/>
  <c r="J52" i="39"/>
  <c r="C48" i="39"/>
  <c r="C47" i="39"/>
  <c r="B63" i="39"/>
  <c r="F63" i="39"/>
  <c r="B56" i="39"/>
  <c r="F56" i="39"/>
  <c r="F66" i="39"/>
  <c r="B2" i="39"/>
  <c r="B65" i="39"/>
  <c r="F65" i="39"/>
  <c r="B60" i="39"/>
  <c r="F60" i="39"/>
  <c r="B64" i="39"/>
  <c r="F64" i="39"/>
  <c r="B62" i="39"/>
  <c r="F62" i="39"/>
  <c r="B61" i="39"/>
  <c r="F61" i="39"/>
  <c r="B59" i="39"/>
  <c r="F59" i="39"/>
  <c r="B58" i="39"/>
  <c r="F58" i="39"/>
  <c r="B57" i="39"/>
  <c r="F57" i="39"/>
  <c r="B3" i="39"/>
  <c r="C6" i="68"/>
  <c r="C7" i="68"/>
  <c r="C5" i="68"/>
  <c r="C20" i="68"/>
  <c r="C25" i="68"/>
  <c r="C23" i="68"/>
  <c r="C28" i="68"/>
  <c r="C27" i="68"/>
  <c r="C22" i="68"/>
  <c r="C31" i="68"/>
  <c r="C52" i="68"/>
  <c r="B2" i="68"/>
  <c r="C57" i="68"/>
  <c r="C56" i="68"/>
  <c r="C19" i="9"/>
  <c r="C21" i="9"/>
  <c r="C102" i="9"/>
  <c r="D22" i="9"/>
  <c r="G19" i="9"/>
  <c r="B3" i="68"/>
  <c r="C20" i="9"/>
  <c r="C103" i="9"/>
  <c r="G20" i="9"/>
  <c r="C32" i="9"/>
  <c r="G21" i="9"/>
  <c r="H118" i="9"/>
  <c r="C35" i="9"/>
  <c r="F118" i="9"/>
  <c r="C34" i="9"/>
  <c r="D118" i="9"/>
  <c r="F119" i="9"/>
  <c r="F5" i="52"/>
  <c r="B53" i="72"/>
  <c r="F4" i="52"/>
  <c r="B51" i="72"/>
  <c r="G118" i="9"/>
  <c r="G4" i="52"/>
  <c r="B52" i="72"/>
  <c r="D119" i="9"/>
  <c r="D5" i="52"/>
  <c r="B49" i="72"/>
  <c r="D4" i="52"/>
  <c r="B47" i="72"/>
  <c r="H101" i="9"/>
  <c r="H4" i="52"/>
  <c r="H119" i="9"/>
  <c r="H5" i="52"/>
  <c r="D14" i="74"/>
  <c r="I118" i="9"/>
  <c r="C104" i="9"/>
  <c r="D5" i="53"/>
  <c r="H107" i="9"/>
  <c r="M48" i="9"/>
  <c r="D45" i="9"/>
  <c r="I4" i="52"/>
  <c r="E118" i="9"/>
  <c r="E4" i="52"/>
  <c r="B48" i="72"/>
  <c r="C105" i="9"/>
  <c r="H102" i="9"/>
  <c r="D7" i="53"/>
  <c r="B21" i="72"/>
  <c r="F14" i="74"/>
  <c r="B5" i="74"/>
  <c r="E14" i="74"/>
  <c r="D53" i="9"/>
  <c r="C85" i="9"/>
  <c r="C93" i="9"/>
  <c r="C86" i="9"/>
  <c r="C78" i="9"/>
  <c r="C73" i="9"/>
  <c r="D52" i="9"/>
  <c r="C64" i="9"/>
  <c r="C63" i="9"/>
  <c r="C67" i="9"/>
  <c r="C68" i="9"/>
  <c r="D54" i="9"/>
  <c r="C72" i="9"/>
  <c r="C79" i="9"/>
  <c r="D55" i="9"/>
  <c r="M53" i="9"/>
  <c r="M49" i="9"/>
  <c r="D13" i="53"/>
  <c r="H108" i="9"/>
  <c r="D15" i="53"/>
  <c r="B31" i="72"/>
  <c r="D122" i="9"/>
  <c r="D5" i="74"/>
  <c r="C5" i="74"/>
  <c r="D6" i="53"/>
  <c r="B22" i="72"/>
  <c r="B20" i="72"/>
  <c r="G14" i="74"/>
  <c r="B6" i="74"/>
  <c r="D123" i="9"/>
  <c r="D9" i="52"/>
  <c r="D8" i="52"/>
  <c r="B30" i="72"/>
  <c r="D14" i="53"/>
  <c r="B32" i="72"/>
  <c r="C95" i="9"/>
  <c r="L68" i="9"/>
  <c r="M68" i="9"/>
  <c r="L63" i="9"/>
  <c r="M63" i="9"/>
  <c r="L64" i="9"/>
  <c r="M64" i="9"/>
  <c r="L66" i="9"/>
  <c r="M66" i="9"/>
  <c r="L65" i="9"/>
  <c r="M65" i="9"/>
  <c r="L67" i="9"/>
  <c r="M67" i="9"/>
  <c r="C80" i="9"/>
  <c r="E80" i="9"/>
  <c r="E81" i="9"/>
  <c r="M69" i="9"/>
  <c r="N69" i="9"/>
  <c r="C96" i="9"/>
  <c r="E96" i="9"/>
  <c r="E97" i="9"/>
  <c r="C81" i="9"/>
  <c r="C6" i="74"/>
  <c r="D6" i="74"/>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<sst xmlns="http://schemas.openxmlformats.org/spreadsheetml/2006/main" count="9830" uniqueCount="3357">
  <si>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</si>
  <si>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</si>
  <si>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</si>
  <si>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</si>
  <si>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</si>
  <si>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</si>
  <si>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</si>
  <si>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</si>
  <si>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</si>
  <si>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</si>
  <si>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</si>
  <si>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</si>
  <si>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</si>
  <si>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</si>
  <si>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</si>
  <si>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</si>
  <si>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</si>
  <si>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</si>
  <si>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</si>
  <si>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</si>
  <si>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</si>
  <si>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</si>
  <si>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</si>
  <si>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</si>
  <si>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</si>
  <si>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</si>
  <si>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</si>
  <si>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</si>
  <si>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</si>
  <si>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</si>
  <si>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</si>
  <si>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</si>
  <si>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</si>
  <si>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</si>
  <si>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</si>
  <si>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</si>
  <si>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</si>
  <si>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</si>
  <si>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</si>
  <si>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</si>
  <si>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</si>
  <si>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</si>
  <si>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</si>
  <si>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</si>
  <si>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</si>
  <si>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</si>
  <si>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</si>
  <si>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</si>
  <si>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</si>
  <si>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</si>
  <si>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</si>
  <si>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</si>
  <si>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</si>
  <si>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</si>
  <si>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</si>
  <si>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</si>
  <si>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</si>
  <si>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</si>
  <si>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</si>
  <si>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</si>
  <si>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</si>
  <si>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</si>
  <si>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</si>
  <si>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</si>
  <si>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</si>
  <si>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</si>
  <si>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</si>
  <si>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</si>
  <si>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</si>
  <si>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</si>
  <si>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</si>
  <si>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</si>
  <si>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</si>
  <si>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</si>
  <si>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</si>
  <si>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</si>
  <si>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</si>
  <si>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</si>
  <si>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</si>
  <si>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</si>
  <si>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</si>
  <si>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</si>
  <si>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</si>
  <si>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</si>
  <si>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</si>
  <si>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</si>
  <si>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</si>
  <si>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</si>
  <si>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</si>
  <si>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</si>
  <si>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</si>
  <si>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</si>
  <si>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</si>
  <si>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</si>
  <si>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</si>
  <si>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</si>
  <si>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</si>
  <si>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</si>
  <si>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</si>
  <si>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</si>
  <si>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</si>
  <si>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</si>
  <si>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</si>
  <si>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</si>
  <si>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</si>
  <si>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</si>
  <si>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</si>
  <si>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</si>
  <si>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</si>
  <si>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</si>
  <si>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</si>
  <si>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</si>
  <si>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</si>
  <si>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</si>
  <si>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</si>
  <si>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</si>
  <si>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</si>
  <si>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</si>
  <si>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</si>
  <si>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</si>
  <si>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</si>
  <si>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</si>
  <si>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</si>
  <si>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</si>
  <si>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</si>
  <si>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</si>
  <si>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</si>
  <si>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</si>
  <si>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</si>
  <si>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</si>
  <si>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</si>
  <si>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</si>
  <si>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</si>
  <si>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</si>
  <si>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</si>
  <si>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</si>
  <si>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</si>
  <si>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</si>
  <si>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</si>
  <si>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</si>
  <si>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</si>
  <si>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</si>
  <si>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</si>
  <si>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</si>
  <si>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</si>
  <si>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</si>
  <si>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</si>
  <si>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</si>
  <si>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</si>
  <si>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</si>
  <si>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</si>
  <si>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</si>
  <si>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</si>
  <si>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</si>
  <si>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</si>
  <si>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</si>
  <si>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</si>
  <si>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</si>
  <si>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</si>
  <si>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</si>
  <si>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</si>
  <si>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</si>
  <si>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</si>
  <si>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</si>
  <si>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</si>
  <si>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</si>
  <si>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</si>
  <si>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</si>
  <si>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</si>
  <si>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</si>
  <si>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</si>
  <si>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</si>
  <si>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</si>
  <si>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</si>
  <si>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</si>
  <si>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</si>
  <si>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</si>
  <si>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</si>
  <si>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</si>
  <si>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</si>
  <si>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</si>
  <si>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</si>
  <si>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</si>
  <si>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</si>
  <si>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</si>
  <si>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</si>
  <si>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</si>
  <si>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</si>
  <si>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</si>
  <si>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</si>
  <si>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</si>
  <si>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</si>
  <si>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</si>
  <si>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</si>
  <si>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</si>
  <si>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</si>
  <si>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</si>
  <si>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</si>
  <si>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</si>
  <si>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</si>
  <si>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</si>
  <si>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</si>
  <si>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</si>
  <si>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</si>
  <si>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</si>
  <si>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</si>
  <si>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</si>
  <si>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</si>
  <si>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</si>
  <si>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</si>
  <si>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</si>
  <si>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</si>
  <si>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</si>
  <si>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</si>
  <si>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</si>
  <si>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</si>
  <si>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</si>
  <si>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</si>
  <si>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</si>
  <si>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</si>
  <si>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</si>
  <si>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</si>
  <si>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</si>
  <si>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</si>
  <si>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</si>
  <si>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</si>
  <si>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</si>
  <si>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</si>
  <si>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</si>
  <si>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</si>
  <si>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</si>
  <si>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</si>
  <si>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</si>
  <si>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</si>
  <si>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</si>
  <si>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</si>
  <si>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</si>
  <si>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</si>
  <si>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</si>
  <si>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</si>
  <si>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</si>
  <si>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</si>
  <si>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</si>
  <si>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</si>
  <si>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</si>
  <si>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</si>
  <si>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</si>
  <si>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</si>
  <si>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</si>
  <si>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</si>
  <si>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</si>
  <si>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</si>
  <si>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</si>
  <si>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</si>
  <si>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</si>
  <si>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</si>
  <si>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</si>
  <si>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</si>
  <si>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</si>
  <si>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</si>
  <si>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</si>
  <si>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</si>
  <si>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</si>
  <si>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</si>
  <si>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</si>
  <si>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</si>
  <si>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</si>
  <si>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</si>
  <si>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</si>
  <si>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</si>
  <si>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</si>
  <si>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</si>
  <si>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</si>
  <si>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</si>
  <si>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</si>
  <si>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</si>
  <si>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</si>
  <si>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</si>
  <si>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</si>
  <si>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</si>
  <si>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</si>
  <si>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</si>
  <si>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</si>
  <si>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</si>
  <si>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</si>
  <si>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</si>
  <si>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</si>
  <si>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</si>
  <si>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</si>
  <si>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</si>
  <si>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</si>
  <si>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</si>
  <si>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</si>
  <si>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</si>
  <si>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</si>
  <si>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</si>
  <si>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</si>
  <si>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</si>
  <si>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</si>
  <si>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</si>
  <si>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</si>
  <si>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</si>
  <si>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</si>
  <si>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</si>
  <si>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</si>
  <si>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</si>
  <si>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</si>
  <si>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</si>
  <si>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</si>
  <si>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</si>
  <si>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</si>
  <si>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</si>
  <si>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</si>
  <si>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</si>
  <si>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</si>
  <si>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</si>
  <si>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</si>
  <si>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</si>
  <si>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</si>
  <si>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</si>
  <si>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</si>
  <si>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</si>
  <si>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</si>
  <si>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</si>
  <si>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</si>
  <si>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</si>
  <si>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</si>
  <si>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</si>
  <si>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</si>
  <si>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</si>
  <si>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</si>
  <si>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</si>
  <si>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</si>
  <si>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</si>
  <si>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</si>
  <si>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</si>
  <si>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</si>
  <si>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</si>
  <si>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</si>
  <si>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</si>
  <si>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</si>
  <si>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</si>
  <si>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</si>
  <si>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</si>
  <si>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</si>
  <si>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</si>
  <si>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</si>
  <si>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</si>
  <si>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</si>
  <si>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</si>
  <si>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</si>
  <si>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</si>
  <si>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</si>
  <si>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</si>
  <si>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</si>
  <si>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</si>
  <si>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</si>
  <si>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</si>
  <si>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</si>
  <si>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</si>
  <si>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</si>
  <si>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</si>
  <si>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</si>
  <si>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</si>
  <si>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</si>
  <si>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</si>
  <si>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</si>
  <si>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</si>
  <si>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</si>
  <si>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</si>
  <si>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</si>
  <si>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</si>
  <si>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</si>
  <si>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</si>
  <si>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</si>
  <si>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</si>
  <si>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</si>
  <si>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</si>
  <si>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</si>
  <si>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</si>
  <si>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</si>
  <si>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</si>
  <si>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</si>
  <si>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</si>
  <si>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</si>
  <si>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</si>
  <si>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</si>
  <si>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</si>
  <si>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</si>
  <si>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</si>
  <si>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</si>
  <si>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</si>
  <si>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</si>
  <si>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</si>
  <si>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</si>
  <si>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</si>
  <si>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</si>
  <si>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</si>
  <si>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</si>
  <si>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</si>
  <si>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</si>
  <si>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</si>
  <si>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</si>
  <si>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</si>
  <si>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</si>
  <si>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</si>
  <si>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</si>
  <si>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</si>
  <si>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</si>
  <si>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</si>
  <si>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</si>
  <si>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</si>
  <si>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</si>
  <si>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</si>
  <si>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</si>
  <si>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</si>
  <si>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</si>
  <si>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</si>
  <si>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</si>
  <si>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</si>
  <si>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</si>
  <si>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</si>
  <si>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</si>
  <si>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</si>
  <si>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</si>
  <si>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</si>
  <si>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</si>
  <si>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</si>
  <si>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</si>
  <si>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</si>
  <si>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</si>
  <si>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</si>
  <si>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</si>
  <si>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</si>
  <si>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</si>
  <si>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</si>
  <si>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</si>
  <si>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</si>
  <si>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</si>
  <si>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</si>
  <si>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</si>
  <si>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</si>
  <si>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</si>
  <si>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</si>
  <si>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</si>
  <si>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</si>
  <si>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</si>
  <si>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</si>
  <si>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</si>
  <si>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</si>
  <si>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</si>
  <si>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</si>
  <si>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</si>
  <si>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</si>
  <si>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</si>
  <si>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</si>
  <si>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</si>
  <si>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</si>
  <si>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</si>
  <si>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</si>
  <si>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</si>
  <si>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</si>
  <si>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</si>
  <si>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</si>
  <si>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</si>
  <si>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</si>
  <si>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</si>
  <si>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</si>
  <si>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</si>
  <si>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</si>
  <si>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</si>
  <si>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</si>
  <si>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</si>
  <si>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</si>
  <si>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</si>
  <si>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</si>
  <si>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</si>
  <si>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</si>
  <si>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</si>
  <si>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</si>
  <si>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</si>
  <si>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</si>
  <si>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</si>
  <si>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</si>
  <si>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</si>
  <si>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</si>
  <si>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</si>
  <si>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</si>
  <si>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</si>
  <si>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</si>
  <si>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</si>
  <si>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</si>
  <si>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</si>
  <si>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</si>
  <si>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</si>
  <si>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</si>
  <si>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</si>
  <si>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</si>
  <si>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</si>
  <si>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</si>
  <si>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</si>
  <si>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</si>
  <si>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</si>
  <si>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</si>
  <si>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</si>
  <si>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</si>
  <si>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</si>
  <si>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</si>
  <si>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</si>
  <si>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</si>
  <si>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</si>
  <si>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</si>
  <si>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</si>
  <si>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</si>
  <si>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</si>
  <si>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</si>
  <si>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</si>
  <si>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</si>
  <si>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</si>
  <si>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</si>
  <si>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</si>
  <si>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</si>
  <si>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</si>
  <si>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</si>
  <si>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</si>
  <si>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</si>
  <si>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</si>
  <si>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</si>
  <si>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</si>
  <si>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</si>
  <si>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</si>
  <si>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</si>
  <si>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</si>
  <si>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</si>
  <si>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</si>
  <si>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</si>
  <si>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</si>
  <si>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</si>
  <si>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</si>
  <si>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</si>
  <si>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</si>
  <si>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</si>
  <si>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</si>
  <si>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</si>
  <si>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</si>
  <si>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</si>
  <si>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</si>
  <si>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</si>
  <si>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</si>
  <si>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</si>
  <si>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</si>
  <si>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</si>
  <si>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</si>
  <si>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</si>
  <si>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</si>
  <si>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</si>
  <si>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</si>
  <si>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</si>
  <si>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</si>
  <si>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</si>
  <si>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</si>
  <si>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</si>
  <si>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</si>
  <si>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</si>
  <si>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</si>
  <si>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</si>
  <si>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</si>
  <si>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</si>
  <si>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</si>
  <si>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</si>
  <si>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</si>
  <si>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</si>
  <si>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</si>
  <si>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</si>
  <si>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</si>
  <si>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</si>
  <si>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</si>
  <si>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</si>
  <si>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</si>
  <si>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</si>
  <si>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</si>
  <si>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</si>
  <si>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</si>
  <si>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</si>
  <si>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</si>
  <si>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</si>
  <si>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</si>
  <si>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</si>
  <si>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</si>
  <si>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</si>
  <si>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</si>
  <si>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</si>
  <si>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</si>
  <si>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</si>
  <si>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</si>
  <si>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</si>
  <si>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</si>
  <si>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</si>
  <si>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</si>
  <si>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</si>
  <si>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</si>
  <si>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</si>
  <si>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</si>
  <si>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</si>
  <si>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</si>
  <si>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</si>
  <si>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</si>
  <si>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</si>
  <si>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</si>
  <si>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</si>
  <si>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</si>
  <si>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</si>
  <si>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</si>
  <si>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</si>
  <si>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</si>
  <si>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</si>
  <si>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</si>
  <si>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</si>
  <si>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</si>
  <si>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</si>
  <si>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</si>
  <si>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</si>
  <si>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</si>
  <si>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</si>
  <si>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</si>
  <si>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</si>
  <si>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</si>
  <si>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</si>
  <si>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</si>
  <si>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</si>
  <si>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</si>
  <si>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</si>
  <si>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</si>
  <si>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</si>
  <si>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</si>
  <si>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</si>
  <si>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</si>
  <si>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</si>
  <si>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</si>
  <si>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</si>
  <si>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</si>
  <si>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</si>
  <si>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</si>
  <si>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</si>
  <si>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</si>
  <si>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</si>
  <si>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</si>
  <si>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</si>
  <si>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</si>
  <si>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</si>
  <si>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</si>
  <si>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</si>
  <si>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</si>
  <si>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</si>
  <si>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</si>
  <si>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</si>
  <si>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</si>
  <si>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</si>
  <si>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</si>
  <si>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</si>
  <si>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</si>
  <si>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</si>
  <si>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</si>
  <si>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</si>
  <si>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</si>
  <si>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</si>
  <si>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</si>
  <si>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</si>
  <si>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</si>
  <si>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</si>
  <si>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</si>
  <si>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</si>
  <si>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</si>
  <si>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</si>
  <si>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</si>
  <si>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</si>
  <si>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</si>
  <si>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</si>
  <si>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</si>
  <si>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</si>
  <si>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</si>
  <si>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</si>
  <si>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</si>
  <si>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</si>
  <si>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</si>
  <si>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</si>
  <si>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</si>
  <si>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</si>
  <si>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</si>
  <si>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</si>
  <si>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</si>
  <si>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</si>
  <si>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</si>
  <si>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</si>
  <si>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</si>
  <si>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</si>
  <si>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</si>
  <si>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</si>
  <si>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</si>
  <si>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</si>
  <si>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</si>
  <si>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</si>
  <si>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</si>
  <si>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</si>
  <si>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</si>
  <si>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</si>
  <si>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</si>
  <si>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</si>
  <si>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</si>
  <si>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</si>
  <si>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</si>
  <si>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</si>
  <si>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</si>
  <si>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</si>
  <si>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</si>
  <si>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</si>
  <si>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</si>
  <si>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</si>
  <si>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</si>
  <si>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</si>
  <si>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</si>
  <si>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</si>
  <si>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</si>
  <si>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</si>
  <si>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</si>
  <si>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</si>
  <si>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</si>
  <si>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</si>
  <si>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</si>
  <si>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</si>
  <si>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</si>
  <si>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</si>
  <si>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</si>
  <si>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</si>
  <si>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</si>
  <si>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</si>
  <si>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</si>
  <si>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</si>
  <si>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</si>
  <si>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</si>
  <si>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</si>
  <si>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</si>
  <si>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</si>
  <si>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</si>
  <si>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</si>
  <si>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</si>
  <si>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</si>
  <si>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</si>
  <si>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</si>
  <si>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</si>
  <si>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</si>
  <si>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</si>
  <si>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</si>
  <si>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</si>
  <si>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</si>
  <si>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</si>
  <si>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</si>
  <si>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</si>
  <si>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</si>
  <si>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</si>
  <si>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</si>
  <si>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</si>
  <si>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</si>
  <si>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</si>
  <si>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</si>
  <si>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</si>
  <si>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</si>
  <si>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</si>
  <si>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</si>
  <si>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</si>
  <si>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</si>
  <si>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</si>
  <si>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</si>
  <si>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</si>
  <si>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</si>
  <si>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</si>
  <si>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</si>
  <si>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</si>
  <si>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</si>
  <si>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</si>
  <si>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</si>
  <si>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</si>
  <si>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</si>
  <si>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</si>
  <si>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</si>
  <si>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</si>
  <si>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</si>
  <si>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</si>
  <si>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</si>
  <si>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</si>
  <si>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</si>
  <si>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</si>
  <si>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</si>
  <si>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</si>
  <si>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</si>
  <si>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</si>
  <si>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</si>
  <si>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</si>
  <si>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</si>
  <si>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</si>
  <si>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</si>
  <si>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</si>
  <si>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</si>
  <si>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</si>
  <si>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</si>
  <si>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</si>
  <si>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</si>
  <si>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</si>
  <si>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</si>
  <si>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</si>
  <si>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</si>
  <si>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</si>
  <si>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</si>
  <si>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</si>
  <si>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</si>
  <si>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</si>
  <si>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</si>
  <si>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</si>
  <si>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</si>
  <si>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</si>
  <si>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</si>
  <si>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</si>
  <si>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</si>
  <si>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</si>
  <si>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</si>
  <si>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</si>
  <si>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</si>
  <si>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</si>
  <si>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</si>
  <si>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</si>
  <si>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</si>
  <si>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</si>
  <si>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</si>
  <si>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</si>
  <si>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</si>
  <si>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</si>
  <si>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</si>
  <si>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</si>
  <si>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</si>
  <si>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</si>
  <si>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</si>
  <si>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</si>
  <si>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</si>
  <si>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</si>
  <si>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</si>
  <si>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</si>
  <si>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</si>
  <si>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</si>
  <si>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</si>
  <si>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</si>
  <si>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</si>
  <si>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</si>
  <si>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</si>
  <si>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</si>
  <si>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</si>
  <si>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</si>
  <si>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</si>
  <si>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</si>
  <si>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</si>
  <si>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</si>
  <si>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</si>
  <si>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</si>
  <si>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</si>
  <si>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</si>
  <si>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</si>
  <si>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</si>
  <si>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</si>
  <si>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</si>
  <si>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</si>
  <si>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</si>
  <si>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</si>
  <si>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</si>
  <si>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</si>
  <si>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</si>
  <si>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</si>
  <si>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</si>
  <si>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</si>
  <si>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</si>
  <si>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</si>
  <si>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</si>
  <si>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</si>
  <si>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</si>
  <si>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</si>
  <si>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</si>
  <si>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</si>
  <si>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</si>
  <si>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</si>
  <si>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</si>
  <si>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</si>
  <si>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</si>
  <si>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</si>
  <si>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</si>
  <si>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</si>
  <si>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</si>
  <si>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</si>
  <si>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</si>
  <si>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</si>
  <si>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</si>
  <si>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</si>
  <si>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</si>
  <si>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</si>
  <si>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</si>
  <si>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</si>
  <si>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</si>
  <si>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</si>
  <si>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</si>
  <si>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</si>
  <si>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</si>
  <si>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</si>
  <si>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</si>
  <si>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</si>
  <si>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</si>
  <si>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</si>
  <si>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</si>
  <si>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</si>
  <si>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</si>
  <si>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</si>
  <si>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</si>
  <si>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</si>
  <si>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</si>
  <si>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</si>
  <si>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</si>
  <si>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</si>
  <si>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</si>
  <si>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</si>
  <si>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</si>
  <si>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</si>
  <si>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</si>
  <si>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</si>
  <si>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</si>
  <si>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</si>
  <si>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</si>
  <si>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</si>
  <si>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</si>
  <si>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</si>
  <si>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</si>
  <si>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</si>
  <si>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</si>
  <si>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</si>
  <si>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</si>
  <si>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</si>
  <si>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</si>
  <si>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</si>
  <si>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</si>
  <si>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</si>
  <si>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</si>
  <si>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</si>
  <si>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</si>
  <si>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</si>
  <si>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</si>
  <si>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</si>
  <si>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</si>
  <si>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</si>
  <si>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</si>
  <si>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</si>
  <si>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</si>
  <si>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</si>
  <si>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</si>
  <si>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</si>
  <si>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</si>
  <si>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</si>
  <si>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</si>
  <si>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</si>
  <si>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</si>
  <si>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</si>
  <si>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</si>
  <si>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</si>
  <si>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</si>
  <si>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</si>
  <si>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</si>
  <si>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</si>
  <si>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</si>
  <si>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</si>
  <si>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</si>
  <si>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</si>
  <si>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</si>
  <si>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</si>
  <si>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</si>
  <si>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</si>
  <si>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</si>
  <si>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</si>
  <si>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</si>
  <si>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</si>
  <si>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</si>
  <si>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</si>
  <si>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</si>
  <si>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</si>
  <si>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</si>
  <si>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</si>
  <si>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</si>
  <si>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</si>
  <si>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</si>
  <si>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</si>
  <si>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</si>
  <si>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</si>
  <si>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</si>
  <si>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</si>
  <si>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</si>
  <si>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</si>
  <si>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</si>
  <si>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</si>
  <si>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</si>
  <si>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</si>
  <si>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</si>
  <si>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</si>
  <si>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</si>
  <si>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</si>
  <si>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</si>
  <si>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</si>
  <si>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</si>
  <si>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</si>
  <si>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</si>
  <si>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</si>
  <si>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</si>
  <si>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</si>
  <si>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</si>
  <si>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</si>
  <si>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</si>
  <si>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</si>
  <si>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</si>
  <si>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</si>
  <si>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</si>
  <si>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</si>
  <si>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</si>
  <si>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</si>
  <si>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</si>
  <si>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</si>
  <si>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</si>
  <si>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</si>
  <si>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</si>
  <si>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</si>
  <si>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</si>
  <si>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</si>
  <si>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</si>
  <si>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</si>
  <si>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</si>
  <si>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</si>
  <si>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</si>
  <si>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</si>
  <si>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</si>
  <si>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</si>
  <si>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</si>
  <si>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</si>
  <si>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</si>
  <si>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</si>
  <si>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</si>
  <si>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</si>
  <si>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</si>
  <si>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</si>
  <si>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</si>
  <si>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</si>
  <si>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</si>
  <si>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</si>
  <si>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</si>
  <si>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</si>
  <si>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</si>
  <si>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</si>
  <si>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</si>
  <si>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</si>
  <si>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</si>
  <si>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</si>
  <si>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</si>
  <si>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</si>
  <si>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</si>
  <si>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</si>
  <si>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</si>
  <si>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</si>
  <si>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</si>
  <si>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</si>
  <si>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</si>
  <si>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</si>
  <si>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</si>
  <si>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</si>
  <si>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</si>
  <si>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</si>
  <si>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</si>
  <si>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</si>
  <si>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</si>
  <si>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</si>
  <si>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</si>
  <si>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</si>
  <si>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</si>
  <si>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</si>
  <si>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</si>
  <si>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</si>
  <si>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</si>
  <si>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</si>
  <si>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</si>
  <si>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</si>
  <si>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</si>
  <si>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</si>
  <si>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</si>
  <si>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</si>
  <si>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</si>
  <si>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</si>
  <si>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</si>
  <si>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</si>
  <si>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</si>
  <si>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</si>
  <si>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</si>
  <si>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</si>
  <si>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</si>
  <si>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</si>
  <si>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</si>
  <si>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</si>
  <si>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</si>
  <si>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</si>
  <si>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</si>
  <si>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</si>
  <si>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</si>
  <si>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</si>
  <si>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</si>
  <si>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</si>
  <si>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</si>
  <si>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</si>
  <si>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</si>
  <si>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</si>
  <si>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</si>
  <si>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</si>
  <si>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</si>
  <si>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</si>
  <si>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</si>
  <si>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</si>
  <si>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</si>
  <si>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</si>
  <si>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</si>
  <si>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</si>
  <si>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</si>
  <si>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</si>
  <si>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</si>
  <si>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</si>
  <si>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</si>
  <si>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</si>
  <si>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</si>
  <si>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</si>
  <si>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</si>
  <si>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</si>
  <si>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</si>
  <si>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</si>
  <si>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</si>
  <si>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</si>
  <si>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</si>
  <si>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</si>
  <si>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</si>
  <si>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</si>
  <si>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</si>
  <si>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</si>
  <si>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</si>
  <si>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</si>
  <si>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</si>
  <si>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</si>
  <si>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</si>
  <si>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</si>
  <si>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</si>
  <si>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</si>
  <si>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</si>
  <si>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</si>
  <si>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</si>
  <si>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</si>
  <si>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</si>
  <si>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</si>
  <si>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</si>
  <si>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</si>
  <si>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</si>
  <si>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</si>
  <si>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</si>
  <si>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</si>
  <si>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</si>
  <si>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</si>
  <si>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</si>
  <si>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</si>
  <si>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</si>
  <si>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</si>
  <si>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</si>
  <si>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</si>
  <si>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</si>
  <si>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</si>
  <si>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</si>
  <si>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</si>
  <si>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</si>
  <si>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</si>
  <si>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</si>
  <si>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</si>
  <si>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</si>
  <si>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</si>
  <si>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</si>
  <si>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</si>
  <si>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</si>
  <si>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</si>
  <si>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</si>
  <si>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</si>
  <si>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</si>
  <si>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</si>
  <si>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</si>
  <si>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</si>
  <si>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</si>
  <si>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</si>
  <si>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</si>
  <si>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</si>
  <si>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</si>
  <si>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</si>
  <si>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</si>
  <si>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</si>
  <si>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</si>
  <si>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</si>
  <si>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</si>
  <si>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</si>
  <si>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</si>
  <si>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</si>
  <si>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</si>
  <si>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</si>
  <si>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</si>
  <si>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</si>
  <si>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</si>
  <si>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</si>
  <si>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</si>
  <si>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</si>
  <si>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</si>
  <si>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</si>
  <si>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</si>
  <si>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</si>
  <si>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</si>
  <si>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</si>
  <si>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</si>
  <si>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</si>
  <si>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</si>
  <si>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</si>
  <si>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</si>
  <si>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</si>
  <si>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</si>
  <si>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</si>
  <si>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</si>
  <si>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</si>
  <si>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</si>
  <si>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</si>
  <si>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</si>
  <si>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</si>
  <si>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</si>
  <si>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</si>
  <si>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</si>
  <si>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</si>
  <si>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</si>
  <si>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</si>
  <si>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</si>
  <si>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</si>
  <si>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</si>
  <si>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</si>
  <si>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</si>
  <si>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</si>
  <si>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</si>
  <si>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</si>
  <si>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</si>
  <si>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</si>
  <si>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</si>
  <si>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</si>
  <si>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</si>
  <si>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</si>
  <si>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</si>
  <si>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</si>
  <si>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</si>
  <si>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</si>
  <si>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</si>
  <si>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</si>
  <si>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</si>
  <si>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</si>
  <si>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</si>
  <si>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</si>
  <si>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</si>
  <si>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</si>
  <si>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</si>
  <si>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</si>
  <si>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</si>
  <si>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</si>
  <si>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</si>
  <si>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</si>
  <si>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</si>
  <si>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</si>
  <si>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</si>
  <si>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</si>
  <si>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</si>
  <si>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</si>
  <si>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</si>
  <si>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</si>
  <si>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</si>
  <si>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</si>
  <si>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</si>
  <si>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</si>
  <si>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</si>
  <si>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</si>
  <si>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</si>
  <si>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</si>
  <si>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</si>
  <si>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</si>
  <si>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</si>
  <si>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</si>
  <si>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</si>
  <si>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</si>
  <si>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</si>
  <si>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</si>
  <si>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</si>
  <si>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</si>
  <si>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</si>
  <si>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</si>
  <si>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</si>
  <si>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</si>
  <si>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</si>
  <si>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</si>
  <si>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</si>
  <si>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</si>
  <si>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</si>
  <si>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</si>
  <si>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</si>
  <si>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</si>
  <si>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</si>
  <si>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</si>
  <si>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</si>
  <si>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</si>
  <si>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</si>
  <si>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</si>
  <si>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</si>
  <si>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</si>
  <si>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</si>
  <si>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</si>
  <si>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</si>
  <si>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</si>
  <si>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</si>
  <si>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</si>
  <si>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</si>
  <si>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</si>
  <si>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</si>
  <si>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</si>
  <si>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</si>
  <si>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</si>
  <si>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</si>
  <si>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</si>
  <si>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</si>
  <si>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</si>
  <si>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</si>
  <si>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</si>
  <si>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</si>
  <si>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</si>
  <si>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</si>
  <si>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</si>
  <si>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</si>
  <si>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</si>
  <si>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</si>
  <si>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</si>
  <si>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</si>
  <si>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</si>
  <si>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</si>
  <si>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</si>
  <si>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</si>
  <si>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</si>
  <si>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</si>
  <si>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</si>
  <si>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</si>
  <si>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</si>
  <si>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</si>
  <si>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</si>
  <si>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</si>
  <si>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</si>
  <si>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</si>
  <si>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</si>
  <si>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</si>
  <si>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</si>
  <si>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</si>
  <si>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</si>
  <si>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</si>
  <si>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</si>
  <si>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</si>
  <si>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</si>
  <si>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</si>
  <si>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</si>
  <si>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</si>
  <si>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</si>
  <si>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</si>
  <si>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</si>
  <si>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</si>
  <si>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</si>
  <si>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</si>
  <si>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</si>
  <si>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</si>
  <si>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</si>
  <si>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</si>
  <si>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</si>
  <si>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</si>
  <si>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</si>
  <si>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</si>
  <si>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</si>
  <si>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</si>
  <si>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</si>
  <si>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</si>
  <si>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</si>
  <si>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</si>
  <si>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</si>
  <si>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</si>
  <si>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</si>
  <si>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</si>
  <si>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</si>
  <si>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</si>
  <si>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</si>
  <si>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</si>
  <si>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</si>
  <si>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</si>
  <si>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</si>
  <si>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</si>
  <si>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</si>
  <si>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</si>
  <si>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</si>
  <si>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</si>
  <si>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</si>
  <si>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</si>
  <si>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</si>
  <si>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</si>
  <si>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</si>
  <si>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</si>
  <si>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</si>
  <si>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</si>
  <si>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</si>
  <si>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</si>
  <si>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</si>
  <si>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</si>
  <si>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</si>
  <si>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</si>
  <si>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</si>
  <si>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</si>
  <si>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</si>
  <si>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</si>
  <si>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</si>
  <si>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</si>
  <si>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</si>
  <si>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</si>
  <si>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</si>
  <si>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</si>
  <si>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</si>
  <si>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</si>
  <si>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</si>
  <si>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</si>
  <si>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</si>
  <si>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</si>
  <si>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</si>
  <si>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</si>
  <si>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</si>
  <si>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</si>
  <si>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</si>
  <si>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</si>
  <si>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</si>
  <si>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</si>
  <si>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</si>
  <si>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</si>
  <si>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</si>
  <si>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</si>
  <si>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</si>
  <si>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</si>
  <si>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</si>
  <si>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</si>
  <si>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</si>
  <si>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</si>
  <si>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</si>
  <si>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</si>
  <si>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</si>
  <si>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</si>
  <si>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</si>
  <si>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</si>
  <si>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</si>
  <si>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</si>
  <si>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</si>
  <si>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</si>
  <si>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</si>
  <si>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</si>
  <si>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</si>
  <si>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</si>
  <si>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</si>
  <si>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</si>
  <si>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</si>
  <si>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</si>
  <si>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</si>
  <si>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</si>
  <si>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</si>
  <si>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</si>
  <si>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</si>
  <si>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</si>
  <si>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</si>
  <si>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</si>
  <si>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</si>
  <si>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</si>
  <si>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</si>
  <si>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</si>
  <si>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</si>
  <si>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</si>
  <si>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</si>
  <si>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</si>
  <si>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</si>
  <si>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</si>
  <si>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</si>
  <si>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</si>
  <si>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</si>
  <si>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</si>
  <si>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</si>
  <si>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</si>
  <si>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</si>
  <si>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</si>
  <si>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</si>
  <si>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</si>
  <si>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</si>
  <si>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</si>
  <si>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</si>
  <si>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</si>
  <si>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</si>
  <si>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</si>
  <si>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</si>
  <si>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</si>
  <si>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</si>
  <si>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</si>
  <si>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</si>
  <si>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</si>
  <si>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</si>
  <si>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</si>
  <si>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</si>
  <si>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</si>
  <si>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</si>
  <si>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</si>
  <si>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</si>
  <si>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</si>
  <si>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</si>
  <si>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</si>
  <si>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</si>
  <si>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</si>
  <si>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</si>
  <si>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</si>
  <si>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</si>
  <si>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</si>
  <si>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</si>
  <si>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</si>
  <si>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</si>
  <si>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</si>
  <si>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</si>
  <si>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</si>
  <si>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</si>
  <si>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</si>
  <si>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</si>
  <si>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</si>
  <si>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</si>
  <si>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</si>
  <si>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</si>
  <si>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</si>
  <si>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</si>
  <si>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</si>
  <si>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</si>
  <si>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</si>
  <si>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</si>
  <si>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</si>
  <si>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</si>
  <si>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</si>
  <si>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</si>
  <si>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</si>
  <si>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</si>
  <si>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</si>
  <si>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</si>
  <si>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</si>
  <si>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</si>
  <si>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</si>
  <si>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</si>
  <si>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</si>
  <si>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</si>
  <si>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</si>
  <si>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</si>
  <si>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</si>
  <si>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</si>
  <si>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</si>
  <si>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</si>
  <si>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</si>
  <si>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</si>
  <si>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</si>
  <si>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</si>
  <si>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</si>
  <si>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</si>
  <si>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</si>
  <si>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</si>
  <si>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</si>
  <si>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</si>
  <si>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</si>
  <si>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</si>
  <si>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</si>
  <si>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</si>
  <si>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</si>
  <si>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</si>
  <si>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</si>
  <si>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</si>
  <si>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</si>
  <si>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</si>
  <si>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</si>
  <si>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</si>
  <si>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</si>
  <si>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</si>
  <si>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</si>
  <si>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</si>
  <si>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</si>
  <si>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</si>
  <si>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</si>
  <si>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</si>
  <si>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</si>
  <si>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</si>
  <si>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</si>
  <si>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</si>
  <si>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</si>
  <si>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</si>
  <si>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</si>
  <si>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</si>
  <si>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</si>
  <si>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</si>
  <si>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</si>
  <si>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</si>
  <si>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</si>
  <si>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</si>
  <si>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</si>
  <si>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</si>
  <si>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</si>
  <si>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</si>
  <si>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</si>
  <si>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</si>
  <si>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</si>
  <si>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</si>
  <si>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</si>
  <si>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</si>
  <si>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</si>
  <si>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</si>
  <si>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</si>
  <si>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</si>
  <si>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</si>
  <si>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</si>
  <si>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</si>
  <si>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</si>
  <si>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</si>
  <si>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</si>
  <si>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</si>
  <si>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</si>
  <si>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</si>
  <si>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</si>
  <si>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</si>
  <si>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</si>
  <si>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</si>
  <si>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</si>
  <si>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</si>
  <si>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</si>
  <si>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</si>
  <si>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</si>
  <si>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</si>
  <si>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</si>
  <si>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</si>
  <si>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</si>
  <si>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</si>
  <si>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</si>
  <si>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</si>
  <si>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</si>
  <si>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</si>
  <si>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</si>
  <si>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</si>
  <si>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</si>
  <si>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</si>
  <si>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</si>
  <si>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</si>
  <si>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</si>
  <si>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</si>
  <si>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</si>
  <si>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</si>
  <si>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</si>
  <si>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</si>
  <si>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</si>
  <si>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</si>
  <si>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</si>
  <si>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</si>
  <si>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</si>
  <si>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</si>
  <si>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</si>
  <si>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</si>
  <si>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</si>
  <si>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</si>
  <si>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</si>
  <si>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</si>
  <si>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</si>
  <si>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</si>
  <si>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</si>
  <si>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</si>
  <si>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</si>
  <si>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</si>
  <si>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</si>
  <si>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</si>
  <si>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</si>
  <si>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</si>
  <si>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</si>
  <si>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</si>
  <si>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</si>
  <si>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</si>
  <si>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</si>
  <si>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</si>
  <si>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</si>
  <si>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</si>
  <si>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</si>
  <si>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</si>
  <si>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</si>
  <si>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</si>
  <si>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</si>
  <si>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</si>
  <si>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</si>
  <si>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</si>
  <si>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</si>
  <si>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</si>
  <si>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</si>
  <si>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</si>
  <si>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</si>
  <si>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</si>
  <si>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</si>
  <si>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</si>
  <si>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</si>
  <si>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</si>
  <si>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</si>
  <si>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</si>
  <si>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</si>
  <si>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</si>
  <si>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</si>
  <si>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</si>
  <si>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</si>
  <si>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</si>
  <si>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</si>
  <si>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</si>
  <si>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</si>
  <si>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</si>
  <si>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</si>
  <si>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</si>
  <si>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</si>
  <si>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</si>
  <si>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</si>
  <si>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</si>
  <si>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</si>
  <si>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</si>
  <si>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</si>
  <si>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</si>
  <si>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</si>
  <si>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</si>
  <si>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</si>
  <si>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</si>
  <si>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</si>
  <si>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</si>
  <si>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</si>
  <si>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</si>
  <si>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</si>
  <si>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</si>
  <si>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</si>
  <si>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</si>
  <si>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</si>
  <si>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</si>
  <si>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</si>
  <si>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</si>
  <si>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</si>
  <si>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</si>
  <si>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</si>
  <si>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</si>
  <si>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</si>
  <si>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</si>
  <si>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</si>
  <si>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</si>
  <si>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</si>
  <si>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</si>
  <si>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</si>
  <si>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</si>
  <si>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</si>
  <si>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</si>
  <si>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</si>
  <si>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</si>
  <si>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</si>
  <si>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</si>
  <si>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</si>
  <si>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</si>
  <si>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</si>
  <si>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</si>
  <si>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</si>
  <si>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</si>
  <si>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</si>
  <si>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</si>
  <si>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</si>
  <si>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</si>
  <si>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</si>
  <si>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</si>
  <si>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</si>
  <si>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</si>
  <si>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</si>
  <si>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</si>
  <si>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</si>
  <si>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</si>
  <si>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</si>
  <si>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</si>
  <si>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</si>
  <si>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</si>
  <si>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</si>
  <si>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</si>
  <si>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</si>
  <si>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</si>
  <si>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</si>
  <si>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</si>
  <si>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</si>
  <si>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</si>
  <si>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</si>
  <si>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</si>
  <si>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</si>
  <si>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</si>
  <si>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</si>
  <si>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</si>
  <si>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</si>
  <si>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</si>
  <si>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</si>
  <si>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</si>
  <si>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</si>
  <si>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</si>
  <si>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</si>
  <si>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</si>
  <si>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</si>
  <si>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</si>
  <si>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</si>
  <si>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</si>
  <si>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</si>
  <si>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</si>
  <si>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</si>
  <si>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</si>
  <si>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</si>
  <si>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</si>
  <si>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</si>
  <si>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</si>
  <si>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</si>
  <si>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</si>
  <si>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</si>
  <si>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</si>
  <si>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</si>
  <si>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</si>
  <si>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</si>
  <si>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</si>
  <si>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</si>
  <si>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</si>
  <si>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</si>
  <si>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</si>
  <si>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</si>
  <si>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</si>
  <si>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</si>
  <si>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</si>
  <si>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</si>
  <si>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</si>
  <si>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</si>
  <si>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</si>
  <si>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</si>
  <si>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</si>
  <si>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</si>
  <si>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</si>
  <si>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</si>
  <si>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</si>
  <si>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</si>
  <si>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</si>
  <si>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</si>
  <si>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</si>
  <si>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</si>
  <si>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</si>
  <si>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</si>
  <si>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</si>
  <si>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</si>
  <si>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</si>
  <si>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</si>
  <si>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</si>
  <si>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</si>
  <si>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</si>
  <si>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</si>
  <si>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</si>
  <si>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</si>
  <si>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</si>
  <si>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</si>
  <si>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</si>
  <si>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</si>
  <si>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</si>
  <si>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</si>
  <si>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</si>
  <si>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</si>
  <si>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</si>
  <si>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</si>
  <si>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</si>
  <si>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</si>
  <si>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</si>
  <si>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</si>
  <si>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</si>
  <si>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</si>
  <si>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</si>
  <si>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</si>
  <si>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</si>
  <si>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</si>
  <si>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</si>
  <si>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</si>
  <si>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</si>
  <si>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</si>
  <si>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</si>
  <si>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</si>
  <si>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</si>
  <si>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</si>
  <si>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</si>
  <si>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</si>
  <si>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</si>
  <si>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</si>
  <si>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</si>
  <si>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</si>
  <si>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</si>
  <si>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</si>
  <si>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</si>
  <si>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</si>
  <si>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</si>
  <si>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</si>
  <si>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</si>
  <si>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</si>
  <si>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</si>
  <si>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</si>
  <si>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</si>
  <si>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</si>
  <si>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</si>
  <si>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</si>
  <si>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</si>
  <si>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</si>
  <si>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</si>
  <si>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</si>
  <si>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</si>
  <si>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</si>
  <si>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</si>
  <si>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</si>
  <si>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</si>
  <si>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</si>
  <si>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</si>
  <si>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</si>
  <si>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</si>
  <si>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</si>
  <si>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</si>
  <si>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</si>
  <si>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</si>
  <si>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</si>
  <si>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</si>
  <si>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</si>
  <si>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</si>
  <si>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</si>
  <si>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</si>
  <si>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</si>
  <si>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</si>
  <si>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</si>
  <si>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</si>
  <si>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</si>
  <si>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</si>
  <si>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</si>
  <si>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</si>
  <si>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</si>
  <si>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</si>
  <si>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</si>
  <si>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</si>
  <si>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</si>
  <si>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</si>
  <si>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</si>
  <si>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</si>
  <si>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</si>
  <si>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</si>
  <si>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</si>
  <si>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</si>
  <si>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</si>
  <si>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</si>
  <si>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</si>
  <si>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</si>
  <si>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</si>
  <si>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</si>
  <si>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</si>
  <si>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</si>
  <si>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</si>
  <si>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</si>
  <si>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</si>
  <si>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</si>
  <si>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</si>
  <si>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</si>
  <si>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</si>
  <si>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</si>
  <si>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</si>
  <si>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</si>
  <si>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</si>
  <si>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</si>
  <si>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</si>
  <si>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</si>
  <si>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</si>
  <si>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</si>
  <si>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</si>
  <si>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</si>
  <si>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</si>
  <si>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</si>
  <si>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</si>
  <si>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</si>
  <si>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</si>
  <si>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</si>
  <si>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</si>
  <si>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</si>
  <si>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</si>
  <si>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</si>
  <si>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</si>
  <si>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</si>
  <si>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</si>
  <si>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</si>
  <si>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</si>
  <si>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</si>
  <si>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</si>
  <si>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</si>
  <si>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</si>
  <si>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</si>
  <si>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</si>
  <si>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</si>
  <si>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</si>
  <si>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</si>
  <si>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</si>
  <si>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</si>
  <si>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</si>
  <si>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</si>
  <si>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</si>
  <si>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</si>
  <si>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</si>
  <si>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</si>
  <si>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</si>
  <si>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</si>
  <si>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</si>
  <si>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</si>
  <si>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</si>
  <si>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</si>
  <si>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</si>
  <si>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</si>
  <si>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</si>
  <si>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</si>
  <si>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</si>
  <si>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</si>
  <si>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</si>
  <si>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</si>
  <si>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</si>
  <si>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</si>
  <si>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</si>
  <si>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</si>
  <si>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</si>
  <si>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</si>
  <si>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</si>
  <si>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</si>
  <si>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</si>
  <si>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</si>
  <si>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</si>
  <si>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</si>
  <si>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</si>
  <si>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</si>
  <si>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</si>
  <si>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</si>
  <si>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</si>
  <si>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</si>
  <si>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</si>
  <si>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</si>
  <si>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</si>
  <si>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</si>
  <si>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</si>
  <si>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</si>
  <si>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</si>
  <si>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</si>
  <si>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</si>
  <si>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</si>
  <si>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</si>
  <si>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</si>
  <si>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</si>
  <si>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</si>
  <si>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</si>
  <si>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</si>
  <si>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</si>
  <si>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</si>
  <si>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</si>
  <si>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</si>
  <si>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</si>
  <si>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</si>
  <si>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</si>
  <si>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</si>
  <si>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</si>
  <si>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</si>
  <si>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</si>
  <si>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</si>
  <si>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</si>
  <si>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</si>
  <si>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</si>
  <si>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</si>
  <si>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</si>
  <si>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</si>
  <si>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</si>
  <si>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</si>
  <si>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</si>
  <si>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</si>
  <si>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</si>
  <si>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</si>
  <si>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</si>
  <si>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</si>
  <si>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</si>
  <si>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</si>
  <si>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</si>
  <si>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</si>
  <si>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</si>
  <si>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</si>
  <si>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</si>
  <si>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</si>
  <si>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</si>
  <si>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</si>
  <si>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</si>
  <si>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</si>
  <si>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</si>
  <si>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</si>
  <si>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</si>
  <si>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</si>
  <si>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</si>
  <si>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</si>
  <si>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</si>
  <si>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</si>
  <si>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</si>
  <si>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</si>
  <si>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</si>
  <si>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</si>
  <si>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</si>
  <si>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</si>
  <si>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</si>
  <si>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</si>
  <si>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</si>
  <si>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</si>
  <si>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</si>
  <si>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</si>
  <si>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</si>
  <si>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</si>
  <si>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</si>
  <si>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</si>
  <si>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</si>
  <si>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</si>
  <si>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</si>
  <si>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</si>
  <si>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</si>
  <si>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</si>
  <si>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</si>
  <si>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</si>
  <si>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</si>
  <si>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</si>
  <si>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</si>
  <si>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</si>
  <si>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</si>
  <si>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</si>
  <si>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</si>
  <si>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</si>
  <si>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</si>
  <si>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</si>
  <si>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</si>
  <si>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</si>
  <si>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</si>
  <si>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</si>
  <si>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</si>
  <si>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</si>
  <si>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</si>
  <si>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</si>
  <si>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</si>
  <si>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</si>
  <si>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</si>
  <si>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</si>
  <si>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</si>
  <si>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</si>
  <si>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</si>
  <si>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</si>
  <si>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</si>
  <si>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</si>
  <si>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</si>
  <si>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</si>
  <si>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</si>
  <si>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</si>
  <si>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</si>
  <si>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</si>
  <si>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</si>
  <si>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</si>
  <si>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</si>
  <si>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</si>
  <si>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</si>
  <si>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</si>
  <si>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</si>
  <si>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</si>
  <si>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</si>
  <si>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</si>
  <si>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</si>
  <si>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</si>
  <si>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</si>
  <si>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</si>
  <si>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</si>
  <si>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</si>
  <si>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</si>
  <si>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</si>
  <si>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</si>
  <si>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</si>
  <si>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</si>
  <si>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</si>
  <si>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</si>
  <si>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</si>
  <si>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</si>
  <si>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</si>
  <si>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</si>
  <si>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</si>
  <si>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</si>
  <si>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</si>
  <si>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</si>
  <si>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</si>
  <si>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</si>
  <si>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</si>
  <si>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</si>
  <si>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</si>
  <si>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</si>
  <si>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</si>
  <si>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</si>
  <si>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</si>
  <si>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</si>
  <si>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</si>
  <si>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</si>
  <si>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</si>
  <si>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</si>
  <si>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</si>
  <si>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</si>
  <si>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</si>
  <si>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</si>
  <si>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</si>
  <si>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</si>
  <si>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</si>
  <si>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</si>
  <si>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</si>
  <si>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</si>
  <si>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</si>
  <si>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</si>
  <si>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</si>
  <si>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</si>
  <si>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</si>
  <si>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</si>
  <si>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</si>
  <si>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</si>
  <si>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</si>
  <si>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</si>
  <si>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</si>
  <si>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</si>
  <si>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</si>
  <si>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</si>
  <si>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</si>
  <si>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</si>
  <si>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</si>
  <si>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</si>
  <si>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</si>
  <si>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</si>
  <si>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</si>
  <si>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</si>
  <si>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</si>
  <si>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</si>
  <si>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</si>
  <si>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</si>
  <si>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</si>
  <si>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</si>
  <si>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</si>
  <si>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</si>
  <si>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</si>
  <si>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</si>
  <si>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</si>
  <si>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</si>
  <si>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</si>
  <si>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</si>
  <si>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</si>
  <si>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</si>
  <si>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</si>
  <si>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</si>
  <si>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</si>
  <si>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</si>
  <si>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</si>
  <si>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</si>
  <si>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</si>
  <si>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</si>
  <si>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</si>
  <si>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</si>
  <si>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</si>
  <si>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</si>
  <si>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</si>
  <si>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</si>
  <si>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</si>
  <si>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</si>
  <si>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</si>
  <si>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</si>
  <si>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</si>
  <si>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</si>
  <si>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</si>
  <si>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</si>
  <si>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</si>
  <si>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</si>
  <si>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</si>
  <si>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</si>
  <si>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</si>
  <si>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</si>
  <si>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</si>
  <si>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</si>
  <si>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</si>
  <si>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</si>
  <si>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</si>
  <si>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</si>
  <si>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</si>
  <si>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</si>
  <si>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</si>
  <si>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</si>
  <si>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</si>
  <si>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</si>
  <si>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</si>
  <si>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</si>
  <si>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</si>
  <si>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</si>
  <si>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</si>
  <si>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</si>
  <si>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</si>
  <si>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</si>
  <si>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</si>
  <si>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</si>
  <si>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</si>
  <si>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</si>
  <si>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</si>
  <si>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</si>
  <si>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</si>
  <si>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</si>
  <si>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</si>
  <si>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</si>
  <si>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</si>
  <si>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</si>
  <si>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</si>
  <si>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</si>
  <si>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</si>
  <si>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</si>
  <si>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</si>
  <si>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</si>
  <si>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</si>
  <si>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</si>
  <si>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</si>
  <si>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</si>
  <si>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</si>
  <si>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</si>
  <si>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</si>
  <si>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</si>
  <si>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</si>
  <si>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</si>
  <si>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</si>
  <si>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</si>
  <si>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</si>
  <si>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</si>
  <si>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</si>
  <si>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</si>
  <si>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</si>
  <si>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</si>
  <si>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</si>
  <si>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</si>
  <si>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</si>
  <si>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</si>
  <si>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</si>
  <si>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</si>
  <si>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</si>
  <si>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</si>
  <si>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</si>
  <si>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</si>
  <si>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</si>
  <si>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</si>
  <si>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</si>
  <si>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</si>
  <si>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</si>
  <si>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</si>
  <si>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</si>
  <si>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</si>
  <si>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</si>
  <si>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</si>
  <si>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</si>
  <si>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</si>
  <si>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</si>
  <si>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</si>
  <si>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</si>
  <si>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</si>
  <si>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</si>
  <si>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</si>
  <si>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</si>
  <si>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</si>
  <si>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</si>
  <si>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</si>
  <si>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</si>
  <si>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</si>
  <si>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</si>
  <si>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</si>
  <si>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</si>
  <si>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</si>
  <si>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</si>
  <si>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</si>
  <si>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</si>
  <si>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</si>
  <si>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</si>
  <si>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</si>
  <si>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</si>
  <si>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</si>
  <si>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</si>
  <si>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</si>
  <si>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</si>
  <si>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</si>
  <si>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</si>
  <si>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</si>
  <si>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</si>
  <si>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</si>
  <si>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</si>
  <si>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</si>
  <si>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</si>
  <si>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</si>
  <si>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</si>
  <si>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</si>
  <si>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</si>
  <si>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</si>
  <si>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</si>
  <si>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</si>
  <si>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</si>
  <si>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</si>
  <si>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</si>
  <si>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</si>
  <si>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</si>
  <si>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</si>
  <si>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</si>
  <si>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</si>
  <si>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</si>
  <si>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</si>
  <si>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</si>
  <si>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</si>
  <si>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</si>
  <si>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</si>
  <si>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</si>
  <si>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</si>
  <si>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</si>
  <si>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</si>
  <si>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</si>
  <si>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</si>
  <si>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</si>
  <si>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</si>
  <si>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</si>
  <si>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</si>
  <si>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</si>
  <si>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</si>
  <si>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</si>
  <si>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</si>
  <si>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</si>
  <si>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</si>
  <si>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</si>
  <si>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</si>
  <si>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</si>
  <si>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</si>
  <si>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</si>
  <si>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</si>
  <si>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</si>
  <si>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</si>
  <si>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</si>
  <si>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</si>
  <si>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</si>
  <si>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</si>
  <si>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</si>
  <si>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</si>
  <si>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</si>
  <si>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</si>
  <si>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</si>
  <si>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</si>
  <si>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</si>
  <si>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</si>
  <si>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</si>
  <si>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</si>
  <si>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</si>
  <si>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</si>
  <si>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</si>
  <si>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</si>
  <si>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</si>
  <si>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</si>
  <si>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</si>
  <si>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</si>
  <si>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</si>
  <si>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</si>
  <si>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</si>
  <si>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</si>
  <si>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</si>
  <si>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</si>
  <si>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</si>
  <si>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</si>
  <si>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</si>
  <si>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</si>
  <si>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</si>
  <si>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</si>
  <si>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</si>
  <si>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</si>
  <si>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</si>
  <si>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</si>
  <si>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</si>
  <si>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</si>
  <si>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</si>
  <si>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</si>
  <si>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</si>
  <si>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</si>
  <si>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</si>
  <si>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</si>
  <si>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</si>
  <si>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</si>
  <si>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</si>
  <si>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</si>
  <si>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</si>
  <si>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</si>
  <si>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</si>
  <si>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</si>
  <si>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</si>
  <si>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</si>
  <si>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</si>
  <si>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</si>
  <si>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</si>
  <si>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</si>
  <si>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</si>
  <si>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</si>
  <si>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</si>
  <si>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</si>
  <si>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</si>
  <si>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</si>
  <si>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</si>
  <si>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</si>
  <si>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</si>
  <si>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</si>
  <si>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</si>
  <si>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</si>
  <si>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</si>
  <si>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</si>
  <si>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</si>
  <si>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</si>
  <si>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</si>
  <si>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</si>
  <si>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</si>
  <si>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</si>
  <si>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</si>
  <si>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</si>
  <si>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</si>
  <si>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</si>
  <si>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</si>
  <si>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</si>
  <si>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</si>
  <si>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</si>
  <si>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</si>
  <si>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</si>
  <si>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</si>
  <si>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</si>
  <si>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</si>
  <si>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</si>
  <si>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</si>
  <si>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</si>
  <si>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</si>
  <si>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</si>
  <si>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</si>
  <si>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</si>
  <si>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</si>
  <si>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</si>
  <si>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</si>
  <si>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</si>
  <si>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</si>
  <si>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</si>
  <si>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</si>
  <si>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</si>
  <si>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</si>
  <si>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</si>
  <si>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</si>
  <si>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</si>
  <si>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</si>
  <si>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</si>
  <si>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</si>
  <si>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</si>
  <si>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</si>
  <si>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</si>
  <si>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</si>
  <si>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</si>
  <si>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</si>
  <si>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</si>
  <si>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</si>
  <si>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</si>
  <si>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</si>
  <si>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</si>
  <si>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</si>
  <si>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</si>
  <si>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</si>
  <si>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</si>
  <si>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</si>
  <si>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</si>
  <si>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</si>
  <si>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</si>
  <si>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</si>
  <si>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</si>
  <si>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</si>
  <si>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</si>
  <si>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</si>
  <si>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</si>
  <si>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</si>
  <si>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</si>
  <si>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</si>
  <si>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</si>
  <si>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</si>
  <si>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</si>
  <si>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</si>
  <si>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</si>
  <si>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</si>
  <si>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</si>
  <si>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</si>
  <si>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</si>
  <si>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</si>
  <si>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</si>
  <si>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</si>
  <si>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</si>
  <si>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</si>
  <si>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</si>
  <si>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</si>
  <si>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</si>
  <si>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</si>
  <si>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</si>
  <si>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</si>
  <si>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</si>
  <si>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</si>
  <si>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</si>
  <si>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</si>
  <si>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</si>
  <si>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</si>
  <si>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</si>
  <si>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</si>
  <si>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</si>
  <si>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</si>
  <si>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</si>
  <si>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</si>
  <si>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</si>
  <si>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</si>
  <si>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</si>
  <si>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</si>
  <si>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</si>
  <si>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</si>
  <si>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</si>
  <si>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</si>
  <si>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</si>
  <si>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</si>
  <si>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</si>
  <si>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</si>
  <si>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</si>
  <si>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</si>
  <si>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</si>
  <si>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</si>
  <si>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</si>
  <si>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</si>
  <si>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</si>
  <si>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</si>
  <si>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</si>
  <si>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</si>
  <si>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</si>
  <si>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</si>
  <si>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</si>
  <si>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</si>
  <si>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</si>
  <si>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</si>
  <si>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</si>
  <si>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</si>
  <si>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</si>
  <si>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</si>
  <si>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</si>
  <si>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</si>
  <si>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</si>
  <si>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</si>
  <si>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</si>
  <si>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</si>
  <si>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</si>
  <si>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</si>
  <si>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</si>
  <si>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</si>
  <si>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</si>
  <si>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</si>
  <si>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</si>
  <si>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</si>
  <si>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</si>
  <si>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</si>
  <si>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</si>
  <si>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</si>
  <si>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</si>
  <si>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</si>
  <si>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</si>
  <si>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</si>
  <si>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</si>
  <si>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</si>
  <si>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</si>
  <si>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</si>
  <si>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</si>
  <si>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</si>
  <si>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</si>
  <si>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</si>
  <si>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</si>
  <si>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</si>
  <si>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</si>
  <si>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</si>
  <si>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</si>
  <si>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</si>
  <si>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</si>
  <si>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</si>
  <si>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</si>
  <si>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</si>
  <si>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</si>
  <si>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</si>
  <si>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</si>
  <si>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</si>
  <si>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</si>
  <si>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</si>
  <si>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</si>
  <si>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</si>
  <si>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</si>
  <si>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</si>
  <si>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</si>
  <si>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</si>
  <si>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</si>
  <si>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</si>
  <si>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</si>
  <si>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</si>
  <si>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</si>
  <si>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</si>
  <si>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</si>
  <si>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</si>
  <si>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</si>
  <si>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</si>
  <si>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</si>
  <si>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</si>
  <si>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</si>
  <si>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</si>
  <si>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</si>
  <si>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</si>
  <si>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</si>
  <si>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</si>
  <si>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</si>
  <si>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</si>
  <si>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</si>
  <si>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</si>
  <si>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</si>
  <si>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</si>
  <si>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</si>
  <si>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</si>
  <si>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</si>
  <si>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</si>
  <si>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</si>
  <si>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</si>
  <si>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</si>
  <si>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</si>
  <si>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</si>
  <si>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</si>
  <si>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</si>
  <si>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</si>
  <si>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</si>
  <si>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</si>
  <si>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</si>
  <si>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</si>
  <si>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</si>
  <si>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</si>
  <si>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</si>
  <si>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</si>
  <si>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</si>
  <si>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</si>
  <si>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</si>
  <si>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</si>
  <si>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</si>
  <si>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</si>
  <si>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</si>
  <si>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</si>
  <si>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</si>
  <si>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</si>
  <si>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</si>
  <si>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</si>
  <si>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</si>
  <si>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</si>
  <si>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</si>
  <si>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</si>
  <si>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</si>
  <si>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</si>
  <si>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</si>
  <si>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</si>
  <si>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</si>
  <si>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</si>
  <si>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</si>
  <si>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</si>
  <si>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</si>
  <si>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</si>
  <si>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</si>
  <si>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</si>
  <si>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</si>
  <si>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</si>
  <si>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</si>
  <si>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</si>
  <si>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</si>
  <si>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</si>
  <si>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</si>
  <si>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</si>
  <si>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</si>
  <si>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</si>
  <si>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</si>
  <si>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</si>
  <si>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</si>
  <si>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</si>
  <si>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</si>
  <si>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</si>
  <si>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</si>
  <si>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</si>
  <si>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</si>
  <si>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</si>
  <si>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</si>
  <si>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</si>
  <si>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</si>
  <si>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</si>
  <si>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</si>
  <si>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</si>
  <si>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</si>
  <si>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</si>
  <si>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</si>
  <si>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</si>
  <si>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</si>
  <si>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</si>
  <si>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</si>
  <si>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</si>
  <si>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</si>
  <si>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</si>
  <si>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</si>
  <si>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</si>
  <si>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</si>
  <si>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</si>
  <si>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</si>
  <si>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</si>
  <si>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</si>
  <si>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</si>
  <si>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</si>
  <si>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</si>
  <si>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</si>
  <si>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</si>
  <si>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</si>
  <si>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</si>
  <si>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</si>
  <si>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</si>
  <si>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</si>
  <si>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</si>
  <si>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</si>
  <si>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</si>
  <si>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</si>
  <si>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</si>
  <si>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</si>
  <si>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</si>
  <si>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</si>
  <si>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</si>
  <si>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</si>
  <si>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</si>
  <si>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</si>
  <si>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</si>
  <si>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</si>
  <si>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</si>
  <si>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</si>
  <si>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</si>
  <si>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</si>
  <si>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</si>
  <si>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</si>
  <si>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</si>
  <si>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</si>
  <si>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</si>
  <si>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</si>
  <si>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</si>
  <si>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</si>
  <si>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</si>
  <si>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</si>
  <si>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</si>
  <si>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</si>
  <si>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</si>
  <si>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</si>
  <si>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</si>
  <si>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</si>
  <si>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</si>
  <si>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</si>
  <si>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</si>
  <si>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</si>
  <si>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</si>
  <si>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</si>
  <si>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</si>
  <si>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</si>
  <si>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</si>
  <si>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</si>
  <si>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</si>
  <si>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</si>
  <si>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</si>
  <si>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</si>
  <si>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</si>
  <si>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</si>
  <si>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</si>
  <si>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</si>
  <si>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</si>
  <si>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</si>
  <si>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</si>
  <si>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</si>
  <si>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</si>
  <si>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</si>
  <si>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</si>
  <si>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</si>
  <si>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</si>
  <si>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</si>
  <si>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</si>
  <si>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</si>
  <si>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</si>
  <si>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</si>
  <si>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</si>
  <si>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</si>
  <si>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</si>
  <si>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</si>
  <si>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</si>
  <si>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</si>
  <si>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</si>
  <si>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</si>
  <si>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</si>
  <si>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</si>
  <si>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</si>
  <si>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</si>
  <si>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</si>
  <si>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</si>
  <si>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</si>
  <si>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</si>
  <si>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</si>
  <si>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</si>
  <si>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</si>
  <si>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</si>
  <si>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</si>
  <si>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</si>
  <si>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</si>
  <si>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</si>
  <si>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</si>
  <si>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</si>
  <si>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</si>
  <si>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</si>
  <si>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</si>
  <si>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</si>
  <si>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</si>
  <si>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</si>
  <si>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</si>
  <si>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</si>
  <si>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</si>
  <si>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</si>
  <si>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</si>
  <si>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</si>
  <si>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</si>
  <si>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</si>
  <si>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</si>
  <si>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</si>
  <si>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</si>
  <si>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</si>
  <si>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</si>
  <si>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</si>
  <si>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</si>
  <si>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</si>
  <si>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</si>
  <si>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</si>
  <si>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</si>
  <si>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</si>
  <si>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</si>
  <si>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</si>
  <si>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</si>
  <si>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</si>
  <si>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</si>
  <si>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</si>
  <si>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</si>
  <si>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</si>
  <si>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</si>
  <si>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</si>
  <si>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</si>
  <si>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</si>
  <si>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</si>
  <si>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</si>
  <si>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</si>
  <si>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</si>
  <si>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</si>
  <si>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</si>
  <si>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</si>
  <si>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</si>
  <si>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</si>
  <si>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</si>
  <si>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</si>
  <si>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</si>
  <si>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</si>
  <si>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</si>
  <si>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</si>
  <si>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</si>
  <si>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</si>
  <si>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</si>
  <si>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</si>
  <si>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</si>
  <si>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</si>
  <si>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</si>
  <si>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</si>
  <si>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</si>
  <si>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</si>
  <si>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</si>
  <si>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</si>
  <si>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</si>
  <si>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</si>
  <si>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</si>
  <si>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</si>
  <si>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</si>
  <si>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</si>
  <si>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</si>
  <si>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</si>
  <si>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</si>
  <si>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</si>
  <si>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</si>
  <si>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</si>
  <si>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</si>
  <si>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</si>
  <si>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</si>
  <si>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</si>
  <si>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</si>
  <si>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</si>
  <si>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</si>
  <si>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</si>
  <si>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</si>
  <si>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</si>
  <si>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</si>
  <si>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</si>
  <si>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</si>
  <si>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</si>
  <si>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</si>
  <si>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</si>
  <si>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</si>
  <si>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</si>
  <si>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</si>
  <si>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</si>
  <si>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</si>
  <si>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</si>
  <si>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</si>
  <si>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</si>
  <si>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</si>
  <si>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</si>
  <si>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</si>
  <si>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</si>
  <si>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</si>
  <si>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</si>
  <si>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</si>
  <si>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</si>
  <si>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</si>
  <si>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</si>
  <si>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序号</t>
    <phoneticPr fontId="144" type="noConversion"/>
  </si>
  <si>
    <t>对应实测</t>
    <phoneticPr fontId="144" type="noConversion"/>
  </si>
  <si>
    <t>建筑面积总计</t>
    <phoneticPr fontId="144" type="noConversion"/>
  </si>
  <si>
    <t>业态</t>
    <phoneticPr fontId="144" type="noConversion"/>
  </si>
  <si>
    <t>建筑面积</t>
    <phoneticPr fontId="144" type="noConversion"/>
  </si>
  <si>
    <t>商业</t>
    <phoneticPr fontId="144" type="noConversion"/>
  </si>
  <si>
    <t>公共配套建筑面积</t>
    <phoneticPr fontId="144" type="noConversion"/>
  </si>
  <si>
    <t>公寓</t>
    <phoneticPr fontId="144" type="noConversion"/>
  </si>
  <si>
    <t>办公</t>
    <phoneticPr fontId="144" type="noConversion"/>
  </si>
  <si>
    <t>经营性用房建筑面积</t>
    <phoneticPr fontId="144" type="noConversion"/>
  </si>
  <si>
    <r>
      <t>景恒广场2</t>
    </r>
    <r>
      <rPr>
        <sz val="11"/>
        <color theme="1"/>
        <rFont val="宋体"/>
        <family val="3"/>
        <charset val="134"/>
        <scheme val="minor"/>
      </rPr>
      <t>#、3#楼</t>
    </r>
    <phoneticPr fontId="144" type="noConversion"/>
  </si>
  <si>
    <t>景恒广场4#、5#楼</t>
    <phoneticPr fontId="144" type="noConversion"/>
  </si>
  <si>
    <r>
      <t>景恒广场1</t>
    </r>
    <r>
      <rPr>
        <sz val="11"/>
        <color theme="1"/>
        <rFont val="宋体"/>
        <family val="3"/>
        <charset val="134"/>
        <scheme val="minor"/>
      </rPr>
      <t>#楼</t>
    </r>
    <phoneticPr fontId="144" type="noConversion"/>
  </si>
  <si>
    <t>景恒广场6#楼</t>
    <phoneticPr fontId="144" type="noConversion"/>
  </si>
  <si>
    <r>
      <t>景恒广场7、</t>
    </r>
    <r>
      <rPr>
        <sz val="11"/>
        <color theme="1"/>
        <rFont val="宋体"/>
        <family val="3"/>
        <charset val="134"/>
        <scheme val="minor"/>
      </rPr>
      <t>8、9#楼</t>
    </r>
    <phoneticPr fontId="144" type="noConversion"/>
  </si>
  <si>
    <t>其他</t>
    <phoneticPr fontId="144" type="noConversion"/>
  </si>
  <si>
    <t>景恒广场地下车库</t>
    <phoneticPr fontId="144" type="noConversion"/>
  </si>
  <si>
    <t>地下商业</t>
    <phoneticPr fontId="144" type="noConversion"/>
  </si>
  <si>
    <t>地下车库</t>
    <phoneticPr fontId="144" type="noConversion"/>
  </si>
  <si>
    <t>其他</t>
    <phoneticPr fontId="144" type="noConversion"/>
  </si>
  <si>
    <t>已售出</t>
    <phoneticPr fontId="144" type="noConversion"/>
  </si>
  <si>
    <t>本次评估面积</t>
    <phoneticPr fontId="144" type="noConversion"/>
  </si>
  <si>
    <t>地块名称</t>
  </si>
  <si>
    <t>城市</t>
  </si>
  <si>
    <t>用地性质</t>
  </si>
  <si>
    <t>建设用地面积(㎡)</t>
  </si>
  <si>
    <t>规划建筑面积(㎡)</t>
  </si>
  <si>
    <t>容积率</t>
  </si>
  <si>
    <t>出让方式</t>
  </si>
  <si>
    <t>截止日期</t>
  </si>
  <si>
    <t>起始价(万元)</t>
  </si>
  <si>
    <t>成交价(万元)</t>
  </si>
  <si>
    <t>成交地面单价(元/㎡)</t>
    <phoneticPr fontId="4" type="noConversion"/>
  </si>
  <si>
    <t>溢价率</t>
  </si>
  <si>
    <t>受让单位</t>
  </si>
  <si>
    <t>曲江新区雁翔路以西、南三环路以南</t>
  </si>
  <si>
    <t>西安市</t>
  </si>
  <si>
    <t>商业/办公用地</t>
  </si>
  <si>
    <t>≥3且≤4</t>
  </si>
  <si>
    <t>拍卖</t>
  </si>
  <si>
    <t>2017-10-24</t>
  </si>
  <si>
    <t>西安建设集团有限公司</t>
  </si>
  <si>
    <t>骊山大道以北、芷阳五路以西</t>
  </si>
  <si>
    <t>≥1且≤1.4</t>
  </si>
  <si>
    <t>2017-10-19</t>
  </si>
  <si>
    <t>西安天楠文化旅游开发有限公司</t>
  </si>
  <si>
    <t>曲江新区南三环路以南、七号路以西、植物园东路以北、金花路以东</t>
  </si>
  <si>
    <t>≥1.2且≤2</t>
  </si>
  <si>
    <t>挂牌</t>
  </si>
  <si>
    <t>2017-08-30</t>
  </si>
  <si>
    <t>西安华欣荣盛置业有限公司</t>
  </si>
  <si>
    <t>曲江临潼新区凤凰大道以北、芷阳五路以东</t>
  </si>
  <si>
    <t>≥1且≤1.5</t>
  </si>
  <si>
    <t>2017-08-29</t>
  </si>
  <si>
    <t>西安悦昌置业有限责任公司</t>
  </si>
  <si>
    <t>≥3且≤3.5</t>
  </si>
  <si>
    <t>曲江新区雁翔路以东、黄渠头南路以南、南三环以北、金花路以西</t>
  </si>
  <si>
    <t>≥9且≤9.78</t>
  </si>
  <si>
    <t>陕西华商传媒集团有限责任公司</t>
  </si>
  <si>
    <t>雁塔区长安南路以东、雁塔西路以南</t>
  </si>
  <si>
    <t>≤13.5</t>
  </si>
  <si>
    <t>2017-08-22</t>
  </si>
  <si>
    <t>陕西华侨城商业投资有限公司</t>
  </si>
  <si>
    <t>西安曲江大明宫遗址区,西临太华路、南临太元路</t>
  </si>
  <si>
    <t>≤2.5</t>
  </si>
  <si>
    <t>2017-08-18</t>
  </si>
  <si>
    <t>保亿置业(西安)有限公司</t>
  </si>
  <si>
    <t>雁塔区西沣公路二路以东、雁环路以北</t>
  </si>
  <si>
    <t>≤4.2</t>
  </si>
  <si>
    <t>2017-05-26</t>
  </si>
  <si>
    <t>西安佳和兴家居有限责任公司</t>
  </si>
  <si>
    <t>西安曲江大明宫遗址区北二环以北、先锋花园项目以南</t>
  </si>
  <si>
    <t>＞1且≤5.5</t>
  </si>
  <si>
    <t>2017-05-17</t>
  </si>
  <si>
    <t>西安景齐房地产开发有限公司</t>
  </si>
  <si>
    <t>雁塔区西部大道以南、文苑北路以东</t>
  </si>
  <si>
    <t>＞1且≤6.12</t>
  </si>
  <si>
    <t>2017-03-28</t>
  </si>
  <si>
    <t>陕西大方银领房地产开发有限公司</t>
  </si>
  <si>
    <t>曲江新区雁翔路以西、春林路以南</t>
  </si>
  <si>
    <t>≥2且≤2.5</t>
  </si>
  <si>
    <t>2017-01-25</t>
  </si>
  <si>
    <t>陕西跃邦置业有限公司</t>
  </si>
  <si>
    <t>雁塔区科技路与太白南路十字西南角</t>
  </si>
  <si>
    <t>≤9.3</t>
  </si>
  <si>
    <t>2017-01-12</t>
  </si>
  <si>
    <t>陕西合创盛业地产有限公司</t>
  </si>
  <si>
    <t>骊山大道以北、芷阳四路以东、芷阳三路以西</t>
  </si>
  <si>
    <t>≥1.5且≤2</t>
  </si>
  <si>
    <t>2016-08-10</t>
  </si>
  <si>
    <t>西安亚童梦商业运营管理有限公司</t>
  </si>
  <si>
    <t>骊山大道以北、芷阳三路以东、悦椿东路以南</t>
  </si>
  <si>
    <t>西安悦诚置业有限公司</t>
  </si>
  <si>
    <t>雁塔区南二环以南、群贤路以东</t>
  </si>
  <si>
    <t>＞1且≤1.27</t>
  </si>
  <si>
    <t>2016-06-28</t>
  </si>
  <si>
    <t>陕西长九实业有限公司</t>
  </si>
  <si>
    <t>曲江新区航天大道北侧、西康高速东辅道与航天大道东北角</t>
  </si>
  <si>
    <t>≥0.1且≤0.5</t>
  </si>
  <si>
    <t>2016-05-18</t>
  </si>
  <si>
    <t>陕西博豪实业有限公司</t>
  </si>
  <si>
    <t>西安曲江大明宫遗址区太华路立交东南角</t>
  </si>
  <si>
    <t>2016-05-04</t>
  </si>
  <si>
    <t>西安中铁京泰房地产开发有限公司</t>
  </si>
  <si>
    <t>大兴新区未央路以东</t>
  </si>
  <si>
    <t>≤9.26</t>
  </si>
  <si>
    <t>2016-04-21</t>
  </si>
  <si>
    <t>陕西荣民房地产集团有限公司</t>
  </si>
  <si>
    <t>曲江新区汇新路以西、西安中马国际置业有限公司以东、西安市公安局雁塔分局以北、西安起重机械总厂以南</t>
  </si>
  <si>
    <t>≥1.2且≤1.21</t>
  </si>
  <si>
    <t>2016-04-13</t>
  </si>
  <si>
    <t>西安中马国际置业有限公司</t>
  </si>
  <si>
    <t>雁塔区南二环以南、含光路以西</t>
  </si>
  <si>
    <t>≤5.98</t>
  </si>
  <si>
    <t>2016-02-19</t>
  </si>
  <si>
    <t>陕西山昊实业有限公司</t>
  </si>
  <si>
    <t>航天基地航创路与航天东路十字东北角</t>
  </si>
  <si>
    <t>＞1且≤1.02</t>
  </si>
  <si>
    <t>2016-02-02</t>
  </si>
  <si>
    <t>陕西天锐嘉航汽车销售服务有限公司</t>
  </si>
  <si>
    <t>雁塔区太白南路以西、木塔A路以南</t>
  </si>
  <si>
    <t>≥4.5,≤5.1</t>
  </si>
  <si>
    <t>2015-12-11</t>
  </si>
  <si>
    <t>西安建工坤元置业有限公司</t>
  </si>
  <si>
    <t>雁塔区含光路以东、小寨西路以南</t>
  </si>
  <si>
    <t>≤5.74</t>
  </si>
  <si>
    <t>2015-11-23</t>
  </si>
  <si>
    <t>西安地铁置业有限公司</t>
  </si>
  <si>
    <t>雁塔区西三环路以西、纬一路以南</t>
  </si>
  <si>
    <t>≤0.4</t>
  </si>
  <si>
    <t>2015-07-31</t>
  </si>
  <si>
    <t>西安交通燃气有限责任公司</t>
  </si>
  <si>
    <t>东至齐王村以西、南至南三环、西至绕城高速西高新收费站、北至丈八路</t>
  </si>
  <si>
    <t>＞1,≤7.18</t>
  </si>
  <si>
    <t>2015-07-24</t>
  </si>
  <si>
    <t>陕西东方加德建设开发有限公司</t>
  </si>
  <si>
    <t>雁塔区西三环西侧,经二十二路东侧,科技路北侧</t>
  </si>
  <si>
    <t>≤3.04</t>
  </si>
  <si>
    <t>2015-07-08</t>
  </si>
  <si>
    <t>西安鱼化永嘉置业有限公司</t>
  </si>
  <si>
    <t>雁塔区丈八北路以西、富裕路以北</t>
  </si>
  <si>
    <t>≤6.5</t>
  </si>
  <si>
    <t>招标</t>
  </si>
  <si>
    <t>2015-07-03</t>
  </si>
  <si>
    <t>陕西莘欣房地产开发有限公司</t>
  </si>
  <si>
    <t>曲江新区公园南路以东</t>
  </si>
  <si>
    <t>≥0.1、≤0.5</t>
  </si>
  <si>
    <t>2015-06-17</t>
  </si>
  <si>
    <t>中国石化销售有限公司陕西西安石油分公司</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</si>
  <si>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4" type="noConversion"/>
  </si>
  <si>
    <t>单位面积地价</t>
  </si>
  <si>
    <t>吴薇</t>
  </si>
  <si>
    <t>刘梅</t>
  </si>
  <si>
    <t>西安景恒房地产开发有限公司</t>
    <phoneticPr fontId="7" type="noConversion"/>
  </si>
  <si>
    <t>抵押</t>
  </si>
  <si>
    <t>房地产抵押价值</t>
  </si>
  <si>
    <t>其他：</t>
  </si>
  <si>
    <t>陕西省西安市</t>
    <phoneticPr fontId="7" type="noConversion"/>
  </si>
  <si>
    <t>企业</t>
  </si>
  <si>
    <t>商业、办公、公寓、地下车库</t>
    <phoneticPr fontId="7" type="noConversion"/>
  </si>
  <si>
    <t>否</t>
  </si>
  <si>
    <t>建筑与土地面积依据相同</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</si>
  <si>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市曲江国用）（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022</t>
    </r>
    <r>
      <rPr>
        <sz val="12"/>
        <color theme="9" tint="-0.249977111117893"/>
        <rFont val="宋体"/>
        <family val="3"/>
        <charset val="134"/>
      </rPr>
      <t>号</t>
    </r>
    <r>
      <rPr>
        <sz val="12"/>
        <color theme="9" tint="-0.249977111117893"/>
        <rFont val="Arial"/>
        <family val="2"/>
      </rPr>
      <t>]</t>
    </r>
    <phoneticPr fontId="7" type="noConversion"/>
  </si>
  <si>
    <t>《房产测绘成果报告》</t>
    <phoneticPr fontId="7" type="noConversion"/>
  </si>
  <si>
    <t>《国有土地使用证》</t>
  </si>
  <si>
    <t>复印件</t>
  </si>
  <si>
    <t>商业项目</t>
  </si>
  <si>
    <t>无</t>
  </si>
  <si>
    <t>现房</t>
  </si>
  <si>
    <t>通路</t>
  </si>
  <si>
    <t>通电</t>
  </si>
  <si>
    <t>通讯</t>
  </si>
  <si>
    <t>通上水</t>
  </si>
  <si>
    <t>通下水</t>
  </si>
  <si>
    <t>通热</t>
  </si>
  <si>
    <t>燃气</t>
  </si>
  <si>
    <t>地上</t>
  </si>
  <si>
    <t>Loft办公</t>
  </si>
  <si>
    <t>Loft办公</t>
    <phoneticPr fontId="17" type="noConversion"/>
  </si>
  <si>
    <t>商住公寓</t>
  </si>
  <si>
    <t>商住公寓</t>
    <phoneticPr fontId="17" type="noConversion"/>
  </si>
  <si>
    <t>地下</t>
  </si>
  <si>
    <t>车库</t>
  </si>
  <si>
    <t>是</t>
  </si>
  <si>
    <r>
      <t>Loft</t>
    </r>
    <r>
      <rPr>
        <sz val="10"/>
        <color indexed="8"/>
        <rFont val="宋体"/>
        <family val="3"/>
        <charset val="134"/>
      </rPr>
      <t>办公</t>
    </r>
    <phoneticPr fontId="8" type="noConversion"/>
  </si>
  <si>
    <t>地下车库</t>
    <phoneticPr fontId="8" type="noConversion"/>
  </si>
  <si>
    <t>地下商业</t>
    <phoneticPr fontId="8" type="noConversion"/>
  </si>
  <si>
    <t>出让</t>
  </si>
  <si>
    <t>成新度</t>
  </si>
  <si>
    <t>地价增长率</t>
    <phoneticPr fontId="144" type="noConversion"/>
  </si>
  <si>
    <t>曲江新区南三环路以南、七号路以西、植物园东路以北、金花路以东</t>
    <phoneticPr fontId="4"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</si>
  <si>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</si>
  <si>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</si>
  <si>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r>
      <rPr>
        <sz val="11"/>
        <color theme="9" tint="-0.249977111117893"/>
        <rFont val="宋体"/>
        <family val="3"/>
        <charset val="134"/>
      </rPr>
      <t>案例</t>
    </r>
    <r>
      <rPr>
        <sz val="11"/>
        <color theme="9" tint="-0.249977111117893"/>
        <rFont val="Arial"/>
        <family val="2"/>
      </rPr>
      <t>C</t>
    </r>
    <phoneticPr fontId="4" type="noConversion"/>
  </si>
  <si>
    <t>曲江新区雁翔路以西、春林路以南</t>
    <phoneticPr fontId="4" type="noConversion"/>
  </si>
  <si>
    <t>曲江新区汇新路以西、西安中马国际置业有限公司以东、西安市公安局雁塔分局以北、西安起重机械总厂以南</t>
    <phoneticPr fontId="4"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</si>
  <si>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</si>
  <si>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未包含在土地购买价格中</t>
  </si>
  <si>
    <t>已包含在土地取得成本中</t>
  </si>
  <si>
    <t>正荣 彩虹谷</t>
    <phoneticPr fontId="4" type="noConversion"/>
  </si>
  <si>
    <t>规则</t>
    <phoneticPr fontId="32" type="noConversion"/>
  </si>
  <si>
    <t>较规则</t>
  </si>
  <si>
    <t>较规则</t>
    <phoneticPr fontId="32" type="noConversion"/>
  </si>
  <si>
    <t>较不规则</t>
    <phoneticPr fontId="32" type="noConversion"/>
  </si>
  <si>
    <t>不规则</t>
    <phoneticPr fontId="32" type="noConversion"/>
  </si>
  <si>
    <t>七通</t>
  </si>
  <si>
    <t>双面临街</t>
  </si>
  <si>
    <t>城市支路——雁翔路</t>
    <phoneticPr fontId="32" type="noConversion"/>
  </si>
  <si>
    <t xml:space="preserve"> </t>
    <phoneticPr fontId="32" type="noConversion"/>
  </si>
  <si>
    <t>一般</t>
  </si>
  <si>
    <t>单面临街</t>
  </si>
  <si>
    <t>城市支路——汇新路</t>
    <phoneticPr fontId="32" type="noConversion"/>
  </si>
  <si>
    <t>估价对象所在区域基础设施水平达到“七通”。</t>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</si>
  <si>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</si>
  <si>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曲江新区雁翔路以西，春林路以南“景恒彩虹谷”项目</t>
    <phoneticPr fontId="7" type="noConversion"/>
  </si>
  <si>
    <t>估价对象位于曲江新区，周边商业氛围较不成熟，人流量一般，商业繁华度一般。</t>
    <phoneticPr fontId="26" type="noConversion"/>
  </si>
  <si>
    <t>估价对象位于曲江新区，周边办公楼项目数量一般，入驻率一般，办公集聚程度一般。</t>
    <phoneticPr fontId="26" type="noConversion"/>
  </si>
  <si>
    <t>估价对象所在区域2公里范围内有：银行（恒丰银行、中国建设银行），商场（佳乐购物中心、西安安瑞桥超市），医院（西北妇女儿童医院），学校（三兆小学、曲江第二幼儿园）等，公共配套设施齐备情况较好。</t>
    <phoneticPr fontId="42" type="noConversion"/>
  </si>
  <si>
    <t>区域自然环境：杜陵遗址生态公园；人文环境：厦门华侨博物馆；综合评价环境状况较好。</t>
    <phoneticPr fontId="42" type="noConversion"/>
  </si>
  <si>
    <t>位于曲江新区，周边商业氛围较不成熟，人流量一般，商业繁华度一般。</t>
    <phoneticPr fontId="32" type="noConversion"/>
  </si>
  <si>
    <t>位于曲江新区，周边办公楼项目数量一般，入驻率一般，办公集聚程度一般。</t>
    <phoneticPr fontId="32" type="noConversion"/>
  </si>
  <si>
    <t>较好</t>
  </si>
  <si>
    <t>周边道路通达状况较好、公共交通通达情况较好、停车便捷程度较好，综合评价交通便捷度较好。</t>
    <phoneticPr fontId="32" type="noConversion"/>
  </si>
  <si>
    <t>区域自然环境：和谐广场；人文环境：陕西自然博物馆；综合评价环境状况较好。</t>
    <phoneticPr fontId="32" type="noConversion"/>
  </si>
  <si>
    <t>区域自然环境：杜陵遗址生态公园；人文环境：厦门华侨博物馆；综合评价环境状况较好。</t>
    <phoneticPr fontId="32" type="noConversion"/>
  </si>
  <si>
    <t>所在区域2公里范围内有：银行（恒丰银行、中国建设银行），商场（佳乐购物中心、西安安瑞桥超市），医院（西北妇女儿童医院），学校（三兆小学、曲江第二幼儿园）等，公共配套设施齐备情况较好。</t>
    <phoneticPr fontId="32" type="noConversion"/>
  </si>
  <si>
    <r>
      <rPr>
        <sz val="11"/>
        <rFont val="宋体"/>
        <family val="3"/>
        <charset val="134"/>
      </rPr>
      <t>所在区域</t>
    </r>
    <r>
      <rPr>
        <sz val="11"/>
        <rFont val="Arial"/>
        <family val="2"/>
      </rPr>
      <t>2</t>
    </r>
    <r>
      <rPr>
        <sz val="11"/>
        <rFont val="宋体"/>
        <family val="3"/>
        <charset val="134"/>
      </rPr>
      <t>公里范围内有：银行（中国民生银行、中国建设银行），商场（物美购物广场、麦德龙超市），医院（西安市第八医院），学校（东三爻小学、大雅幼儿园）等，公共配套设施齐备情况较好。</t>
    </r>
    <phoneticPr fontId="32" type="noConversion"/>
  </si>
  <si>
    <t>成本法</t>
  </si>
  <si>
    <t>收益法（汇总）</t>
  </si>
  <si>
    <t>收益法（商场）</t>
  </si>
  <si>
    <t>收益法 (loft办公)</t>
  </si>
  <si>
    <t>收益法（公寓）</t>
  </si>
  <si>
    <t>收益法（地下车库）</t>
  </si>
  <si>
    <t>收益法（地下商业）</t>
  </si>
  <si>
    <t>钢混</t>
  </si>
  <si>
    <t>非生产用房</t>
  </si>
  <si>
    <t>按租金收入计税</t>
  </si>
  <si>
    <t>押一</t>
  </si>
  <si>
    <t>地下商业</t>
  </si>
  <si>
    <t>自定义</t>
  </si>
  <si>
    <t>总计</t>
    <phoneticPr fontId="144" type="noConversion"/>
  </si>
  <si>
    <r>
      <t>1</t>
    </r>
    <r>
      <rPr>
        <sz val="11"/>
        <color theme="1"/>
        <rFont val="宋体"/>
        <family val="3"/>
        <charset val="134"/>
        <scheme val="minor"/>
      </rPr>
      <t>-2层</t>
    </r>
    <phoneticPr fontId="144" type="noConversion"/>
  </si>
  <si>
    <t>1层</t>
    <phoneticPr fontId="144" type="noConversion"/>
  </si>
  <si>
    <t>2层</t>
    <phoneticPr fontId="144" type="noConversion"/>
  </si>
  <si>
    <t>3层</t>
    <phoneticPr fontId="144" type="noConversion"/>
  </si>
  <si>
    <t>4层</t>
    <phoneticPr fontId="144" type="noConversion"/>
  </si>
  <si>
    <t>5层</t>
    <phoneticPr fontId="144" type="noConversion"/>
  </si>
  <si>
    <t>独立商业</t>
  </si>
  <si>
    <t>商业街</t>
  </si>
  <si>
    <t>商业街</t>
    <phoneticPr fontId="8" type="noConversion"/>
  </si>
  <si>
    <t>商场</t>
  </si>
  <si>
    <t>商场</t>
    <phoneticPr fontId="8" type="noConversion"/>
  </si>
  <si>
    <t>收益法（商业街）</t>
  </si>
  <si>
    <r>
      <t>1</t>
    </r>
    <r>
      <rPr>
        <sz val="11"/>
        <color theme="1"/>
        <rFont val="宋体"/>
        <family val="3"/>
        <charset val="134"/>
        <scheme val="minor"/>
      </rPr>
      <t>-2层</t>
    </r>
    <phoneticPr fontId="144" type="noConversion"/>
  </si>
  <si>
    <t>1层</t>
    <phoneticPr fontId="144" type="noConversion"/>
  </si>
  <si>
    <t>2层</t>
    <phoneticPr fontId="144" type="noConversion"/>
  </si>
  <si>
    <t>业态</t>
    <phoneticPr fontId="4" type="noConversion"/>
  </si>
  <si>
    <t>楼号</t>
    <phoneticPr fontId="4" type="noConversion"/>
  </si>
  <si>
    <t>店铺编号</t>
    <phoneticPr fontId="4" type="noConversion"/>
  </si>
  <si>
    <t>面积</t>
    <phoneticPr fontId="4" type="noConversion"/>
  </si>
  <si>
    <t>备注</t>
    <phoneticPr fontId="144" type="noConversion"/>
  </si>
  <si>
    <t>建筑面积</t>
    <phoneticPr fontId="144" type="noConversion"/>
  </si>
  <si>
    <t>商铺</t>
    <phoneticPr fontId="144" type="noConversion"/>
  </si>
  <si>
    <t>2#</t>
    <phoneticPr fontId="144" type="noConversion"/>
  </si>
  <si>
    <r>
      <rPr>
        <sz val="9"/>
        <rFont val="宋体"/>
        <family val="3"/>
        <charset val="134"/>
      </rPr>
      <t>已售</t>
    </r>
    <phoneticPr fontId="4" type="noConversion"/>
  </si>
  <si>
    <t>3#</t>
    <phoneticPr fontId="144" type="noConversion"/>
  </si>
  <si>
    <t>4#</t>
    <phoneticPr fontId="144" type="noConversion"/>
  </si>
  <si>
    <t>5#</t>
    <phoneticPr fontId="144" type="noConversion"/>
  </si>
  <si>
    <t>办公</t>
    <phoneticPr fontId="144" type="noConversion"/>
  </si>
  <si>
    <t>3#</t>
    <phoneticPr fontId="4" type="noConversion"/>
  </si>
  <si>
    <r>
      <rPr>
        <sz val="9"/>
        <rFont val="宋体"/>
        <family val="3"/>
        <charset val="134"/>
      </rPr>
      <t>已售</t>
    </r>
    <phoneticPr fontId="144" type="noConversion"/>
  </si>
  <si>
    <t>5#</t>
    <phoneticPr fontId="4" type="noConversion"/>
  </si>
  <si>
    <r>
      <t>3</t>
    </r>
    <r>
      <rPr>
        <sz val="9"/>
        <rFont val="仿宋"/>
        <family val="3"/>
        <charset val="134"/>
      </rPr>
      <t>层</t>
    </r>
    <phoneticPr fontId="4" type="noConversion"/>
  </si>
  <si>
    <r>
      <t>5</t>
    </r>
    <r>
      <rPr>
        <sz val="9"/>
        <rFont val="宋体"/>
        <family val="3"/>
        <charset val="134"/>
      </rPr>
      <t>号楼办公全部售罄</t>
    </r>
    <phoneticPr fontId="144" type="noConversion"/>
  </si>
  <si>
    <r>
      <t>4</t>
    </r>
    <r>
      <rPr>
        <sz val="9"/>
        <rFont val="仿宋"/>
        <family val="3"/>
        <charset val="134"/>
      </rPr>
      <t>层</t>
    </r>
    <phoneticPr fontId="4" type="noConversion"/>
  </si>
  <si>
    <r>
      <t>5</t>
    </r>
    <r>
      <rPr>
        <sz val="9"/>
        <rFont val="仿宋"/>
        <family val="3"/>
        <charset val="134"/>
      </rPr>
      <t>层</t>
    </r>
  </si>
  <si>
    <r>
      <t>6</t>
    </r>
    <r>
      <rPr>
        <sz val="9"/>
        <rFont val="仿宋"/>
        <family val="3"/>
        <charset val="134"/>
      </rPr>
      <t>层</t>
    </r>
  </si>
  <si>
    <t>小计</t>
    <phoneticPr fontId="144" type="noConversion"/>
  </si>
  <si>
    <t>楼层</t>
    <phoneticPr fontId="144" type="noConversion"/>
  </si>
  <si>
    <r>
      <rPr>
        <sz val="9"/>
        <rFont val="宋体"/>
        <family val="3"/>
        <charset val="134"/>
      </rPr>
      <t>商铺</t>
    </r>
    <r>
      <rPr>
        <sz val="9"/>
        <rFont val="Arial"/>
        <family val="2"/>
      </rPr>
      <t>1</t>
    </r>
    <r>
      <rPr>
        <sz val="9"/>
        <rFont val="宋体"/>
        <family val="3"/>
        <charset val="134"/>
      </rPr>
      <t>层</t>
    </r>
    <phoneticPr fontId="144" type="noConversion"/>
  </si>
  <si>
    <r>
      <rPr>
        <sz val="9"/>
        <rFont val="宋体"/>
        <family val="3"/>
        <charset val="134"/>
      </rPr>
      <t>商铺</t>
    </r>
    <r>
      <rPr>
        <sz val="9"/>
        <rFont val="Arial"/>
        <family val="2"/>
      </rPr>
      <t>2</t>
    </r>
    <r>
      <rPr>
        <sz val="9"/>
        <rFont val="宋体"/>
        <family val="3"/>
        <charset val="134"/>
      </rPr>
      <t>层</t>
    </r>
    <phoneticPr fontId="144" type="noConversion"/>
  </si>
  <si>
    <r>
      <t>1</t>
    </r>
    <r>
      <rPr>
        <sz val="11"/>
        <color theme="1"/>
        <rFont val="宋体"/>
        <family val="3"/>
        <charset val="134"/>
        <scheme val="minor"/>
      </rPr>
      <t>#1-2层</t>
    </r>
    <phoneticPr fontId="144" type="noConversion"/>
  </si>
  <si>
    <r>
      <t>4、</t>
    </r>
    <r>
      <rPr>
        <sz val="11"/>
        <color theme="1"/>
        <rFont val="宋体"/>
        <family val="3"/>
        <charset val="134"/>
        <scheme val="minor"/>
      </rPr>
      <t>5#1层</t>
    </r>
    <phoneticPr fontId="144" type="noConversion"/>
  </si>
  <si>
    <t>2、3#1层</t>
    <phoneticPr fontId="144" type="noConversion"/>
  </si>
  <si>
    <r>
      <t>2、3#2层</t>
    </r>
    <r>
      <rPr>
        <sz val="11"/>
        <color theme="1"/>
        <rFont val="宋体"/>
        <family val="2"/>
        <charset val="134"/>
        <scheme val="minor"/>
      </rPr>
      <t/>
    </r>
    <phoneticPr fontId="144" type="noConversion"/>
  </si>
  <si>
    <r>
      <t>4、</t>
    </r>
    <r>
      <rPr>
        <sz val="11"/>
        <color theme="1"/>
        <rFont val="宋体"/>
        <family val="3"/>
        <charset val="134"/>
        <scheme val="minor"/>
      </rPr>
      <t>5#2层</t>
    </r>
    <r>
      <rPr>
        <sz val="11"/>
        <color theme="1"/>
        <rFont val="宋体"/>
        <family val="2"/>
        <charset val="134"/>
        <scheme val="minor"/>
      </rPr>
      <t/>
    </r>
  </si>
  <si>
    <r>
      <t>6</t>
    </r>
    <r>
      <rPr>
        <sz val="11"/>
        <color theme="1"/>
        <rFont val="宋体"/>
        <family val="3"/>
        <charset val="134"/>
        <scheme val="minor"/>
      </rPr>
      <t>#1层</t>
    </r>
    <phoneticPr fontId="144" type="noConversion"/>
  </si>
  <si>
    <r>
      <t>6</t>
    </r>
    <r>
      <rPr>
        <sz val="11"/>
        <color theme="1"/>
        <rFont val="宋体"/>
        <family val="3"/>
        <charset val="134"/>
        <scheme val="minor"/>
      </rPr>
      <t>#2层</t>
    </r>
    <r>
      <rPr>
        <sz val="11"/>
        <color theme="1"/>
        <rFont val="宋体"/>
        <family val="2"/>
        <charset val="134"/>
        <scheme val="minor"/>
      </rPr>
      <t/>
    </r>
  </si>
  <si>
    <r>
      <t>6</t>
    </r>
    <r>
      <rPr>
        <sz val="11"/>
        <color theme="1"/>
        <rFont val="宋体"/>
        <family val="3"/>
        <charset val="134"/>
        <scheme val="minor"/>
      </rPr>
      <t>#3层</t>
    </r>
    <r>
      <rPr>
        <sz val="11"/>
        <color theme="1"/>
        <rFont val="宋体"/>
        <family val="2"/>
        <charset val="134"/>
        <scheme val="minor"/>
      </rPr>
      <t/>
    </r>
  </si>
  <si>
    <t>7#1层</t>
    <phoneticPr fontId="144" type="noConversion"/>
  </si>
  <si>
    <t>7#2层</t>
  </si>
  <si>
    <t>7#3层</t>
  </si>
  <si>
    <t>7#4层</t>
  </si>
  <si>
    <r>
      <t>7</t>
    </r>
    <r>
      <rPr>
        <sz val="11"/>
        <color theme="1"/>
        <rFont val="宋体"/>
        <family val="3"/>
        <charset val="134"/>
        <scheme val="minor"/>
      </rPr>
      <t>#5层</t>
    </r>
    <phoneticPr fontId="144" type="noConversion"/>
  </si>
  <si>
    <r>
      <t>7</t>
    </r>
    <r>
      <rPr>
        <sz val="11"/>
        <color theme="1"/>
        <rFont val="宋体"/>
        <family val="3"/>
        <charset val="134"/>
        <scheme val="minor"/>
      </rPr>
      <t>#6层</t>
    </r>
    <phoneticPr fontId="144" type="noConversion"/>
  </si>
  <si>
    <t>售价</t>
  </si>
  <si>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</si>
  <si>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</si>
  <si>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r>
      <rPr>
        <sz val="11"/>
        <color theme="9" tint="-0.249977111117893"/>
        <rFont val="宋体"/>
        <family val="3"/>
        <charset val="134"/>
      </rPr>
      <t>案例</t>
    </r>
    <r>
      <rPr>
        <sz val="11"/>
        <color theme="9" tint="-0.249977111117893"/>
        <rFont val="Arial"/>
        <family val="2"/>
      </rPr>
      <t>C</t>
    </r>
    <phoneticPr fontId="4" type="noConversion"/>
  </si>
  <si>
    <t>曲江大厦商铺</t>
    <phoneticPr fontId="4" type="noConversion"/>
  </si>
  <si>
    <t>华著小区商铺</t>
    <phoneticPr fontId="4" type="noConversion"/>
  </si>
  <si>
    <t>中海城</t>
    <phoneticPr fontId="4" type="noConversion"/>
  </si>
  <si>
    <t>七通</t>
    <phoneticPr fontId="32" type="noConversion"/>
  </si>
  <si>
    <t>六通</t>
    <phoneticPr fontId="32" type="noConversion"/>
  </si>
  <si>
    <t>五通</t>
    <phoneticPr fontId="32" type="noConversion"/>
  </si>
  <si>
    <t>四通</t>
    <phoneticPr fontId="32" type="noConversion"/>
  </si>
  <si>
    <t>三通</t>
  </si>
  <si>
    <t>三通</t>
    <phoneticPr fontId="32" type="noConversion"/>
  </si>
  <si>
    <t>周边道路通达状况较好、公共交通通达情况较好、停车便捷程度较好，综合评价交通便捷度较好。</t>
    <phoneticPr fontId="32" type="noConversion"/>
  </si>
  <si>
    <t>估价对象周边道路通达状况一般、公共交通通达情况一般、停车便捷程度一般，综合评价交通便捷度一般。</t>
    <phoneticPr fontId="42" type="noConversion"/>
  </si>
  <si>
    <t>位于曲江新区，周边办公楼项目数量较多，入驻率较高，办公集聚程度较好。</t>
    <phoneticPr fontId="32" type="noConversion"/>
  </si>
  <si>
    <t>3层</t>
    <phoneticPr fontId="144" type="noConversion"/>
  </si>
  <si>
    <r>
      <t>1</t>
    </r>
    <r>
      <rPr>
        <sz val="11"/>
        <color theme="1"/>
        <rFont val="宋体"/>
        <family val="3"/>
        <charset val="134"/>
        <scheme val="minor"/>
      </rPr>
      <t>-5#均价</t>
    </r>
    <phoneticPr fontId="144" type="noConversion"/>
  </si>
  <si>
    <r>
      <t>6</t>
    </r>
    <r>
      <rPr>
        <sz val="11"/>
        <color theme="1"/>
        <rFont val="宋体"/>
        <family val="3"/>
        <charset val="134"/>
        <scheme val="minor"/>
      </rPr>
      <t>#</t>
    </r>
    <phoneticPr fontId="144" type="noConversion"/>
  </si>
  <si>
    <r>
      <t>7</t>
    </r>
    <r>
      <rPr>
        <sz val="11"/>
        <color theme="1"/>
        <rFont val="宋体"/>
        <family val="3"/>
        <charset val="134"/>
        <scheme val="minor"/>
      </rPr>
      <t>#</t>
    </r>
    <phoneticPr fontId="144" type="noConversion"/>
  </si>
  <si>
    <t>商铺租金</t>
    <phoneticPr fontId="144" type="noConversion"/>
  </si>
  <si>
    <t>办公租金</t>
    <phoneticPr fontId="144" type="noConversion"/>
  </si>
  <si>
    <t>公寓（快捷酒店)</t>
  </si>
  <si>
    <t>公寓（快捷酒店)</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</si>
</sst>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0"/>
      <name val="宋体"/>
      <family val="3"/>
      <charset val="134"/>
      <scheme val="minor"/>
    </font>
    <font>
      <sz val="10"/>
      <name val="宋体"/>
      <family val="3"/>
      <charset val="134"/>
      <scheme val="minor"/>
    </font>
    <font>
      <b/>
      <sz val="9"/>
      <name val="宋体"/>
      <family val="3"/>
      <charset val="134"/>
    </font>
    <font>
      <b/>
      <sz val="9"/>
      <name val="Arial"/>
      <family val="2"/>
    </font>
    <font>
      <sz val="9"/>
      <name val="Arial"/>
      <family val="2"/>
    </font>
    <font>
      <sz val="9"/>
      <name val="仿宋"/>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xf numFmtId="44" fontId="255" fillId="0" borderId="0" applyFont="0" applyFill="0" applyBorder="0" applyAlignment="0" applyProtection="0">
      <alignment vertical="center"/>
    </xf>
  </cellStyleXfs>
  <cellXfs count="33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0" fillId="0" borderId="0" xfId="0" applyAlignment="1">
      <alignment horizontal="center" vertical="center"/>
    </xf>
    <xf numFmtId="0" fontId="57" fillId="0" borderId="0" xfId="0" applyFont="1" applyAlignment="1"/>
    <xf numFmtId="0" fontId="20" fillId="0" borderId="0" xfId="0" applyFont="1" applyAlignment="1"/>
    <xf numFmtId="0" fontId="114" fillId="0" borderId="0" xfId="0" applyFont="1" applyAlignment="1"/>
    <xf numFmtId="0" fontId="114" fillId="5" borderId="0" xfId="0" applyFont="1" applyFill="1" applyAlignment="1"/>
    <xf numFmtId="0" fontId="191" fillId="7" borderId="151"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99"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49" fontId="99" fillId="0" borderId="22" xfId="0" applyNumberFormat="1"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0" applyFont="1" applyAlignment="1">
      <alignment horizontal="center" vertical="center"/>
    </xf>
    <xf numFmtId="0" fontId="51" fillId="5" borderId="2" xfId="0" applyFont="1" applyFill="1" applyBorder="1" applyAlignment="1" applyProtection="1">
      <alignment horizontal="center" vertical="center" wrapText="1"/>
      <protection locked="0"/>
    </xf>
    <xf numFmtId="0" fontId="100" fillId="0" borderId="1" xfId="0" applyFont="1" applyFill="1" applyBorder="1" applyAlignment="1">
      <alignment horizontal="center" vertical="center"/>
    </xf>
    <xf numFmtId="0" fontId="0" fillId="0" borderId="1" xfId="0" applyFill="1" applyBorder="1" applyAlignment="1">
      <alignment horizontal="center" vertical="center"/>
    </xf>
    <xf numFmtId="58" fontId="100" fillId="0" borderId="0" xfId="0" applyNumberFormat="1" applyFont="1" applyAlignment="1">
      <alignment horizontal="center" vertical="center"/>
    </xf>
    <xf numFmtId="0" fontId="48" fillId="6" borderId="5" xfId="0" applyFont="1" applyFill="1" applyBorder="1" applyAlignment="1" applyProtection="1">
      <alignment horizontal="center" vertical="center" wrapText="1"/>
    </xf>
    <xf numFmtId="0" fontId="256" fillId="5" borderId="1" xfId="0" applyFont="1" applyFill="1" applyBorder="1" applyAlignment="1">
      <alignment horizontal="center" vertical="center"/>
    </xf>
    <xf numFmtId="0" fontId="257" fillId="0" borderId="0" xfId="0" applyFont="1" applyAlignment="1">
      <alignment horizontal="center" vertical="center"/>
    </xf>
    <xf numFmtId="43" fontId="256" fillId="5" borderId="1" xfId="0" applyNumberFormat="1" applyFont="1" applyFill="1" applyBorder="1" applyAlignment="1">
      <alignment horizontal="center" vertical="center"/>
    </xf>
    <xf numFmtId="0" fontId="256" fillId="0" borderId="0" xfId="0" applyFont="1" applyAlignment="1">
      <alignment horizontal="center" vertical="center"/>
    </xf>
    <xf numFmtId="0" fontId="57" fillId="0" borderId="1" xfId="0" applyFont="1" applyFill="1" applyBorder="1" applyAlignment="1">
      <alignment horizontal="center" vertical="center"/>
    </xf>
    <xf numFmtId="43" fontId="260" fillId="0" borderId="1" xfId="0" applyNumberFormat="1" applyFont="1" applyFill="1" applyBorder="1" applyAlignment="1">
      <alignment vertical="center"/>
    </xf>
    <xf numFmtId="0" fontId="260" fillId="0" borderId="1" xfId="0" applyFont="1" applyFill="1" applyBorder="1" applyAlignment="1">
      <alignment horizontal="center" vertical="center"/>
    </xf>
    <xf numFmtId="0" fontId="260" fillId="0" borderId="0" xfId="0" applyFont="1" applyFill="1" applyAlignment="1">
      <alignment horizontal="center" vertical="center"/>
    </xf>
    <xf numFmtId="43" fontId="259" fillId="0" borderId="1" xfId="0" applyNumberFormat="1" applyFont="1" applyFill="1" applyBorder="1" applyAlignment="1">
      <alignment vertical="center"/>
    </xf>
    <xf numFmtId="0" fontId="259" fillId="0" borderId="0" xfId="0" applyFont="1" applyFill="1" applyBorder="1" applyAlignment="1">
      <alignment horizontal="center" vertical="center"/>
    </xf>
    <xf numFmtId="0" fontId="260" fillId="0" borderId="0" xfId="0" applyFont="1" applyFill="1" applyBorder="1" applyAlignment="1">
      <alignment horizontal="center" vertical="center"/>
    </xf>
    <xf numFmtId="43" fontId="260" fillId="0" borderId="0" xfId="0" applyNumberFormat="1" applyFont="1" applyFill="1" applyBorder="1" applyAlignment="1">
      <alignment vertical="center"/>
    </xf>
    <xf numFmtId="0" fontId="259" fillId="0" borderId="0" xfId="0" applyFont="1" applyBorder="1" applyAlignment="1">
      <alignment horizontal="center" vertical="center"/>
    </xf>
    <xf numFmtId="0" fontId="260" fillId="0" borderId="0" xfId="0" applyFont="1" applyBorder="1" applyAlignment="1">
      <alignment horizontal="center" vertical="center"/>
    </xf>
    <xf numFmtId="43" fontId="260" fillId="0" borderId="0" xfId="0" applyNumberFormat="1" applyFont="1" applyBorder="1" applyAlignment="1">
      <alignment vertical="center"/>
    </xf>
    <xf numFmtId="0" fontId="260" fillId="0" borderId="0" xfId="0" applyFont="1" applyAlignment="1">
      <alignment horizontal="center" vertical="center"/>
    </xf>
    <xf numFmtId="43" fontId="260" fillId="0" borderId="0" xfId="0" applyNumberFormat="1" applyFont="1" applyFill="1" applyAlignment="1">
      <alignment horizontal="center" vertical="center"/>
    </xf>
    <xf numFmtId="184" fontId="65" fillId="9" borderId="1" xfId="0" applyNumberFormat="1" applyFont="1" applyFill="1" applyBorder="1" applyAlignment="1" applyProtection="1">
      <alignment horizontal="center" vertical="center" shrinkToFit="1"/>
      <protection locked="0"/>
    </xf>
    <xf numFmtId="0" fontId="48" fillId="0" borderId="3" xfId="0" applyFont="1" applyFill="1" applyBorder="1" applyProtection="1">
      <alignment vertical="center"/>
    </xf>
    <xf numFmtId="0" fontId="48" fillId="0" borderId="48" xfId="0" applyFont="1" applyFill="1" applyBorder="1" applyProtection="1">
      <alignment vertical="center"/>
    </xf>
    <xf numFmtId="177" fontId="48" fillId="5" borderId="5" xfId="1" applyNumberFormat="1" applyFont="1" applyFill="1" applyBorder="1" applyAlignment="1" applyProtection="1">
      <alignment vertical="center"/>
      <protection locked="0"/>
    </xf>
    <xf numFmtId="181" fontId="48" fillId="0" borderId="1" xfId="0" applyNumberFormat="1" applyFont="1" applyFill="1" applyBorder="1" applyAlignment="1" applyProtection="1">
      <alignment vertical="center"/>
      <protection locked="0"/>
    </xf>
    <xf numFmtId="181" fontId="48" fillId="0" borderId="24" xfId="0" applyNumberFormat="1" applyFont="1" applyFill="1" applyBorder="1" applyAlignment="1" applyProtection="1">
      <alignment vertical="center"/>
      <protection locked="0"/>
    </xf>
    <xf numFmtId="0" fontId="48" fillId="0" borderId="23" xfId="0" applyFont="1" applyFill="1" applyBorder="1" applyAlignment="1" applyProtection="1">
      <alignment vertical="center"/>
      <protection locked="0"/>
    </xf>
    <xf numFmtId="0" fontId="51" fillId="0" borderId="23" xfId="0" applyFont="1" applyFill="1" applyBorder="1" applyAlignment="1" applyProtection="1">
      <alignment vertical="center"/>
      <protection locked="0"/>
    </xf>
    <xf numFmtId="0" fontId="48" fillId="0" borderId="23" xfId="0" applyFont="1" applyFill="1" applyBorder="1" applyAlignment="1" applyProtection="1">
      <alignment horizontal="center" vertical="center"/>
      <protection locked="0"/>
    </xf>
    <xf numFmtId="179" fontId="56" fillId="0" borderId="24" xfId="0" applyNumberFormat="1" applyFont="1" applyFill="1" applyBorder="1" applyAlignment="1" applyProtection="1">
      <alignment horizontal="center" vertical="center"/>
    </xf>
    <xf numFmtId="49" fontId="54" fillId="0" borderId="10" xfId="0" applyNumberFormat="1" applyFont="1" applyFill="1" applyBorder="1" applyAlignment="1" applyProtection="1">
      <alignment vertical="center"/>
      <protection locked="0"/>
    </xf>
    <xf numFmtId="49" fontId="55" fillId="0" borderId="2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Fill="1" applyBorder="1" applyAlignment="1" applyProtection="1">
      <alignment horizontal="center" vertical="center"/>
      <protection locked="0"/>
    </xf>
    <xf numFmtId="0" fontId="48" fillId="0" borderId="15" xfId="0" applyFont="1" applyFill="1" applyBorder="1" applyAlignment="1" applyProtection="1">
      <alignment horizontal="center" vertical="center"/>
      <protection locked="0"/>
    </xf>
    <xf numFmtId="0" fontId="48" fillId="0" borderId="2" xfId="0" applyFont="1" applyFill="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Fill="1" applyBorder="1" applyAlignment="1" applyProtection="1">
      <alignment horizontal="center" vertical="center"/>
      <protection locked="0"/>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22"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0" fillId="0" borderId="1" xfId="0" applyFill="1" applyBorder="1" applyAlignment="1">
      <alignment horizontal="center" vertical="center"/>
    </xf>
    <xf numFmtId="0" fontId="100" fillId="0" borderId="1" xfId="0" applyFont="1" applyFill="1" applyBorder="1" applyAlignment="1">
      <alignment horizontal="center" vertical="center"/>
    </xf>
    <xf numFmtId="0" fontId="257" fillId="0" borderId="0" xfId="0" applyFont="1" applyAlignment="1">
      <alignment horizontal="center" vertical="center"/>
    </xf>
    <xf numFmtId="43" fontId="260" fillId="0" borderId="0" xfId="0" applyNumberFormat="1" applyFont="1" applyFill="1" applyAlignment="1">
      <alignment horizontal="center" vertical="center"/>
    </xf>
    <xf numFmtId="0" fontId="260" fillId="0" borderId="0" xfId="0" applyFont="1" applyFill="1" applyAlignment="1">
      <alignment horizontal="center" vertical="center"/>
    </xf>
    <xf numFmtId="0" fontId="258" fillId="0" borderId="13" xfId="0" applyFont="1" applyFill="1" applyBorder="1" applyAlignment="1">
      <alignment horizontal="center" vertical="center"/>
    </xf>
    <xf numFmtId="0" fontId="258" fillId="0" borderId="15" xfId="0" applyFont="1" applyFill="1" applyBorder="1" applyAlignment="1">
      <alignment horizontal="center" vertical="center"/>
    </xf>
    <xf numFmtId="0" fontId="258" fillId="0" borderId="2" xfId="0" applyFont="1" applyFill="1" applyBorder="1" applyAlignment="1">
      <alignment horizontal="center" vertical="center"/>
    </xf>
    <xf numFmtId="0" fontId="259" fillId="0" borderId="13" xfId="0" applyFont="1" applyFill="1" applyBorder="1" applyAlignment="1">
      <alignment horizontal="center" vertical="center"/>
    </xf>
    <xf numFmtId="0" fontId="259" fillId="0" borderId="15" xfId="0" applyFont="1" applyFill="1" applyBorder="1" applyAlignment="1">
      <alignment horizontal="center" vertical="center"/>
    </xf>
    <xf numFmtId="0" fontId="259" fillId="0" borderId="1" xfId="0" applyFont="1" applyFill="1" applyBorder="1" applyAlignment="1">
      <alignment horizontal="center" vertical="center"/>
    </xf>
    <xf numFmtId="0" fontId="260" fillId="0" borderId="58" xfId="0" applyFont="1" applyFill="1" applyBorder="1" applyAlignment="1">
      <alignment horizontal="center" vertical="center"/>
    </xf>
    <xf numFmtId="0" fontId="258" fillId="0" borderId="5" xfId="0" applyFont="1" applyFill="1" applyBorder="1" applyAlignment="1">
      <alignment horizontal="center" vertical="center"/>
    </xf>
    <xf numFmtId="0" fontId="258" fillId="0" borderId="54" xfId="0" applyFont="1" applyFill="1" applyBorder="1" applyAlignment="1">
      <alignment horizontal="center" vertical="center"/>
    </xf>
    <xf numFmtId="0" fontId="258" fillId="0" borderId="3" xfId="0" applyFont="1" applyFill="1" applyBorder="1" applyAlignment="1">
      <alignment horizontal="center" vertical="center"/>
    </xf>
    <xf numFmtId="0" fontId="257" fillId="0" borderId="58" xfId="0" applyFont="1" applyBorder="1" applyAlignment="1">
      <alignment horizontal="center" vertical="center"/>
    </xf>
    <xf numFmtId="0" fontId="256" fillId="5" borderId="1" xfId="0" applyFont="1" applyFill="1" applyBorder="1" applyAlignment="1">
      <alignment horizontal="center" vertical="center"/>
    </xf>
    <xf numFmtId="0" fontId="258" fillId="0" borderId="1" xfId="0" applyFont="1" applyFill="1" applyBorder="1" applyAlignment="1">
      <alignment horizontal="center" vertical="center"/>
    </xf>
    <xf numFmtId="44" fontId="259" fillId="0" borderId="1" xfId="14" applyFont="1" applyFill="1" applyBorder="1" applyAlignment="1">
      <alignment horizontal="center" vertical="center"/>
    </xf>
  </cellXfs>
  <cellStyles count="15">
    <cellStyle name="常规" xfId="0" builtinId="0"/>
    <cellStyle name="常规 16" xfId="10"/>
    <cellStyle name="常规 2" xfId="1"/>
    <cellStyle name="常规 2 10" xfId="13"/>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货币" xfId="14" builtinId="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114300</xdr:rowOff>
    </xdr:from>
    <xdr:to>
      <xdr:col>8</xdr:col>
      <xdr:colOff>752475</xdr:colOff>
      <xdr:row>71</xdr:row>
      <xdr:rowOff>38100</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48225"/>
          <a:ext cx="8296275"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752475</xdr:colOff>
      <xdr:row>31</xdr:row>
      <xdr:rowOff>123825</xdr:rowOff>
    </xdr:from>
    <xdr:to>
      <xdr:col>15</xdr:col>
      <xdr:colOff>604044</xdr:colOff>
      <xdr:row>63</xdr:row>
      <xdr:rowOff>104775</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96275" y="4857750"/>
          <a:ext cx="6814344" cy="485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742951</xdr:colOff>
      <xdr:row>63</xdr:row>
      <xdr:rowOff>142876</xdr:rowOff>
    </xdr:from>
    <xdr:to>
      <xdr:col>16</xdr:col>
      <xdr:colOff>99583</xdr:colOff>
      <xdr:row>100</xdr:row>
      <xdr:rowOff>0</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86751" y="9753601"/>
          <a:ext cx="7005207" cy="549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695325</xdr:colOff>
      <xdr:row>99</xdr:row>
      <xdr:rowOff>104775</xdr:rowOff>
    </xdr:from>
    <xdr:to>
      <xdr:col>16</xdr:col>
      <xdr:colOff>142875</xdr:colOff>
      <xdr:row>129</xdr:row>
      <xdr:rowOff>43928</xdr:rowOff>
    </xdr:to>
    <xdr:pic>
      <xdr:nvPicPr>
        <xdr:cNvPr id="6" name="图片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39125" y="15201900"/>
          <a:ext cx="7096125" cy="451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xdr:row>
      <xdr:rowOff>28575</xdr:rowOff>
    </xdr:from>
    <xdr:to>
      <xdr:col>13</xdr:col>
      <xdr:colOff>571500</xdr:colOff>
      <xdr:row>15</xdr:row>
      <xdr:rowOff>76200</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200025"/>
          <a:ext cx="9477375"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142875</xdr:rowOff>
    </xdr:from>
    <xdr:to>
      <xdr:col>13</xdr:col>
      <xdr:colOff>447675</xdr:colOff>
      <xdr:row>21</xdr:row>
      <xdr:rowOff>161925</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543175"/>
          <a:ext cx="93630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161925</xdr:rowOff>
    </xdr:from>
    <xdr:to>
      <xdr:col>13</xdr:col>
      <xdr:colOff>523875</xdr:colOff>
      <xdr:row>28</xdr:row>
      <xdr:rowOff>38100</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590925"/>
          <a:ext cx="9439275"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47625</xdr:rowOff>
    </xdr:from>
    <xdr:to>
      <xdr:col>13</xdr:col>
      <xdr:colOff>523875</xdr:colOff>
      <xdr:row>34</xdr:row>
      <xdr:rowOff>76200</xdr:rowOff>
    </xdr:to>
    <xdr:pic>
      <xdr:nvPicPr>
        <xdr:cNvPr id="5" name="图片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676775"/>
          <a:ext cx="94392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38100</xdr:rowOff>
    </xdr:from>
    <xdr:to>
      <xdr:col>13</xdr:col>
      <xdr:colOff>590550</xdr:colOff>
      <xdr:row>73</xdr:row>
      <xdr:rowOff>19050</xdr:rowOff>
    </xdr:to>
    <xdr:pic>
      <xdr:nvPicPr>
        <xdr:cNvPr id="6" name="图片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6381750"/>
          <a:ext cx="9505950" cy="615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陕西省西安市曲江新区雁翔路以西，春林路以南“景恒彩虹谷”项目房地产抵押价值预评估</v>
      </c>
    </row>
    <row r="3" spans="1:2" s="1589" customFormat="1">
      <c r="A3" s="1587" t="s">
        <v>1221</v>
      </c>
      <c r="B3" s="1588" t="str">
        <f>'预评函-封皮'!B40</f>
        <v>西安景恒房地产开发有限公司</v>
      </c>
    </row>
    <row r="4" spans="1:2" s="1589" customFormat="1">
      <c r="A4" s="1587" t="s">
        <v>1222</v>
      </c>
      <c r="B4" s="1588" t="str">
        <f ca="1">'预评函-封皮'!B46</f>
        <v>吴薇（注册号：1419970001)、刘梅（注册号：1120140022)</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受贵公司委托，我公司对陕西省西安市曲江新区雁翔路以西，春林路以南“景恒彩虹谷”项目房地产抵押价值进行了预评估。</v>
      </c>
    </row>
    <row r="7" spans="1:2" s="1589" customFormat="1">
      <c r="A7" s="1587" t="s">
        <v>1264</v>
      </c>
      <c r="B7" s="1588" t="str">
        <f>'预评函-1'!A7</f>
        <v>估价对象为陕西省西安市曲江新区雁翔路以西，春林路以南“景恒彩虹谷”项目房地产，为西安景恒房地产开发有限公司所有。根据《国有土地使用证》[市曲江国用）（2014出）第022号]，估价对象（分摊）出让国有建设用地使用权面积为27591.5平方米，建筑面积为111646.95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陕西省西安市曲江新区雁翔路以西，春林路以南“景恒彩虹谷”项目房地产,属西安景恒房地产开发有限公司开发建设的商业项目，该项目尚在开发建设中。根据《国有土地使用证》[市曲江国用）（2014出）第022号]，估价对象（分摊）出让国有建设用地使用权面积为27591.5平方米，规划建筑面积为111646.95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为估价委托人在向办理贷款手续过程中，确定房地产抵押贷款额度提供参考依据而评估房地产抵押价值。</v>
      </c>
    </row>
    <row r="12" spans="1:2" s="1589" customFormat="1">
      <c r="A12" s="1587" t="s">
        <v>1226</v>
      </c>
      <c r="B12" s="1588" t="str">
        <f>'预评函-1'!A15</f>
        <v>2018年6月14日（评估专业人员实地查勘之日）</v>
      </c>
    </row>
    <row r="13" spans="1:2" s="1589" customFormat="1">
      <c r="A13" s="1587" t="s">
        <v>1227</v>
      </c>
      <c r="B13" s="1588" t="str">
        <f>'预评函-1'!A18</f>
        <v>本次估价的“房地产价值”是指在正常市场情况下，在价值时点2018年6月14日，估价对象规划用途为商业、办公、公寓、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商业、办公、公寓、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本次评估采用的主估价方法为成本法和收益法。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112046</v>
      </c>
    </row>
    <row r="21" spans="1:2" s="1589" customFormat="1">
      <c r="A21" s="1587" t="s">
        <v>1235</v>
      </c>
      <c r="B21" s="1588">
        <f ca="1">'预评函-2'!D7</f>
        <v>10036</v>
      </c>
    </row>
    <row r="22" spans="1:2" s="1589" customFormat="1">
      <c r="A22" s="1587" t="s">
        <v>1236</v>
      </c>
      <c r="B22" s="1588" t="str">
        <f ca="1">'预评函-2'!D6</f>
        <v>壹拾壹亿贰仟零肆拾陆万元整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112046</v>
      </c>
    </row>
    <row r="31" spans="1:2" s="1589" customFormat="1">
      <c r="A31" s="1587" t="s">
        <v>1274</v>
      </c>
      <c r="B31" s="1588">
        <f ca="1">'预评函-2'!D15</f>
        <v>10036</v>
      </c>
    </row>
    <row r="32" spans="1:2" s="1589" customFormat="1">
      <c r="A32" s="1587" t="s">
        <v>1241</v>
      </c>
      <c r="B32" s="1588" t="str">
        <f ca="1">'预评函-2'!D14</f>
        <v>壹拾壹亿贰仟零肆拾陆万元整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陕西省西安市曲江新区雁翔路以西，春林路以南“景恒彩虹谷”项目房地产</v>
      </c>
    </row>
    <row r="42" spans="1:2" s="1589" customFormat="1">
      <c r="A42" s="1587" t="s">
        <v>1288</v>
      </c>
      <c r="B42" s="1588" t="str">
        <f>'预评函-3'!B2</f>
        <v>建筑面积</v>
      </c>
    </row>
    <row r="43" spans="1:2" s="1589" customFormat="1">
      <c r="A43" s="1587" t="s">
        <v>1289</v>
      </c>
      <c r="B43" s="1588">
        <f>'预评函-3'!B4</f>
        <v>111646.95</v>
      </c>
    </row>
    <row r="44" spans="1:2" s="1589" customFormat="1">
      <c r="A44" s="1587" t="s">
        <v>1273</v>
      </c>
      <c r="B44" s="1588" t="str">
        <f>'预评函-3'!C2</f>
        <v>(分摊)土地面积</v>
      </c>
    </row>
    <row r="45" spans="1:2" s="1589" customFormat="1">
      <c r="A45" s="1587" t="s">
        <v>1245</v>
      </c>
      <c r="B45" s="1588">
        <f>'预评函-3'!C4</f>
        <v>27591.5</v>
      </c>
    </row>
    <row r="46" spans="1:2" s="1589" customFormat="1">
      <c r="A46" s="1587" t="s">
        <v>1271</v>
      </c>
      <c r="B46" s="1588" t="str">
        <f>'预评函-3'!D2</f>
        <v>出让国有建设用地使用权价值</v>
      </c>
    </row>
    <row r="47" spans="1:2" s="1589" customFormat="1">
      <c r="A47" s="1587" t="s">
        <v>1246</v>
      </c>
      <c r="B47" s="1588" t="e">
        <f ca="1">'预评函-3'!D4</f>
        <v>#REF!</v>
      </c>
    </row>
    <row r="48" spans="1:2" s="1589" customFormat="1">
      <c r="A48" s="1587" t="s">
        <v>1247</v>
      </c>
      <c r="B48" s="1588" t="e">
        <f ca="1">'预评函-3'!E4</f>
        <v>#REF!</v>
      </c>
    </row>
    <row r="49" spans="1:2" s="1589" customFormat="1">
      <c r="A49" s="1587" t="s">
        <v>1248</v>
      </c>
      <c r="B49" s="1588" t="e">
        <f ca="1">'预评函-3'!D5</f>
        <v>#REF!</v>
      </c>
    </row>
    <row r="50" spans="1:2" s="1589" customFormat="1">
      <c r="A50" s="1587" t="s">
        <v>1272</v>
      </c>
      <c r="B50" s="1588" t="str">
        <f>'预评函-3'!F2</f>
        <v>在建建筑物价值</v>
      </c>
    </row>
    <row r="51" spans="1:2" s="1589" customFormat="1">
      <c r="A51" s="1587" t="s">
        <v>1249</v>
      </c>
      <c r="B51" s="1588" t="e">
        <f ca="1">'预评函-3'!F4</f>
        <v>#REF!</v>
      </c>
    </row>
    <row r="52" spans="1:2" s="1589" customFormat="1">
      <c r="A52" s="1587" t="s">
        <v>1250</v>
      </c>
      <c r="B52" s="1588" t="e">
        <f ca="1">'预评函-3'!G4</f>
        <v>#REF!</v>
      </c>
    </row>
    <row r="53" spans="1:2" s="1589" customFormat="1">
      <c r="A53" s="1587" t="s">
        <v>1278</v>
      </c>
      <c r="B53" s="1588" t="e">
        <f ca="1">'预评函-3'!F5</f>
        <v>#REF!</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（1）根据估价对象《国有土地使用证》复印件、，截至价值时点，估价对象抵押权未见登记。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吴薇</v>
      </c>
    </row>
    <row r="71" spans="1:2">
      <c r="A71" s="1587" t="s">
        <v>1261</v>
      </c>
      <c r="B71" s="1588">
        <f ca="1">'预评函-4'!B4</f>
        <v>1419970001</v>
      </c>
    </row>
    <row r="72" spans="1:2">
      <c r="A72" s="1587" t="s">
        <v>1262</v>
      </c>
      <c r="B72" s="1596" t="str">
        <f>'预评函-4'!A5</f>
        <v>刘梅</v>
      </c>
    </row>
    <row r="73" spans="1:2" s="1583" customFormat="1" ht="15" thickBot="1">
      <c r="A73" s="1590" t="s">
        <v>1263</v>
      </c>
      <c r="B73" s="1591">
        <f ca="1">'预评函-4'!B5</f>
        <v>1120140022</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18" sqref="AB18"/>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3290</v>
      </c>
      <c r="C17" s="2011"/>
    </row>
    <row r="18" spans="1:3">
      <c r="A18" s="2010" t="s">
        <v>1767</v>
      </c>
      <c r="B18" s="2010" t="s">
        <v>3268</v>
      </c>
      <c r="C18" s="2011"/>
    </row>
    <row r="19" spans="1:3">
      <c r="A19" s="2010" t="s">
        <v>1768</v>
      </c>
      <c r="B19" s="2010" t="s">
        <v>3269</v>
      </c>
      <c r="C19" s="2011"/>
    </row>
    <row r="20" spans="1:3">
      <c r="A20" s="2010" t="s">
        <v>1769</v>
      </c>
      <c r="B20" s="2010" t="s">
        <v>3270</v>
      </c>
      <c r="C20" s="2011"/>
    </row>
    <row r="21" spans="1:3">
      <c r="A21" s="2010" t="s">
        <v>1770</v>
      </c>
      <c r="B21" s="2010" t="s">
        <v>3271</v>
      </c>
      <c r="C21" s="2011"/>
    </row>
    <row r="22" spans="1:3">
      <c r="A22" s="2010" t="s">
        <v>1771</v>
      </c>
      <c r="B22" s="2010" t="s">
        <v>3267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3216</v>
      </c>
      <c r="B27" s="2010" t="s">
        <v>757</v>
      </c>
      <c r="C27" s="2011"/>
    </row>
    <row r="28" spans="1:3">
      <c r="A28" s="2010" t="s">
        <v>3218</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景恒房地产开发有限公司拟使用陕西省西安市曲江新区雁翔路以西，春林路以南“景恒彩虹谷”项目房地产作为抵押担保物，向办理贷款手续。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50"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14日，估价对象规划用途为商业、办公、公寓、地下车库土地取得方式为出让，出让国有建设用地使用权剩余土地使用年限为XX年(多用途剩余年限尾数不同时，可只体现小数点后一位)，假定未设立法定优先受偿款下的房地产市场价值。</v>
      </c>
    </row>
    <row r="54" spans="1:4">
      <c r="A54" s="3050"/>
      <c r="B54" s="2018" t="s">
        <v>864</v>
      </c>
      <c r="C54" s="2015" t="s">
        <v>1281</v>
      </c>
    </row>
    <row r="55" spans="1:4">
      <c r="A55" s="3050"/>
      <c r="B55" s="2018" t="s">
        <v>865</v>
      </c>
      <c r="C55" s="2015" t="s">
        <v>1282</v>
      </c>
    </row>
    <row r="56" spans="1:4">
      <c r="A56" s="3050"/>
      <c r="B56" s="2018" t="s">
        <v>866</v>
      </c>
      <c r="C56" s="2015" t="s">
        <v>1286</v>
      </c>
    </row>
    <row r="57" spans="1:4">
      <c r="A57" s="3050"/>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K16" sqref="K16"/>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1" customWidth="1"/>
    <col min="10" max="10" width="10" style="2028" customWidth="1"/>
    <col min="11" max="11" width="10" style="2152" customWidth="1"/>
    <col min="12" max="13" width="10" style="2153" customWidth="1"/>
    <col min="14" max="14" width="10" style="2028" customWidth="1"/>
    <col min="15" max="15" width="10" style="2151" customWidth="1"/>
    <col min="16" max="17" width="10" style="2028"/>
    <col min="18" max="18" width="10" style="2028" customWidth="1"/>
    <col min="19" max="16384" width="10" style="2028"/>
  </cols>
  <sheetData>
    <row r="1" spans="1:19" ht="38.25" customHeight="1" thickBot="1">
      <c r="A1" s="2021" t="s">
        <v>1776</v>
      </c>
      <c r="B1" s="3059" t="str">
        <f>IF(B10="北京市","北京市",C10)&amp;F10&amp;IF(结果表!G1="在建","出让国有建设用地使用权及在建建筑物",IF(结果表!G1="土地","出让国有建设用地使用权",))&amp;B9&amp;"预评估"</f>
        <v>陕西省西安市曲江新区雁翔路以西，春林路以南“景恒彩虹谷”项目房地产抵押价值预评估</v>
      </c>
      <c r="C1" s="3060"/>
      <c r="D1" s="3060"/>
      <c r="E1" s="3060"/>
      <c r="F1" s="3060"/>
      <c r="G1" s="3060"/>
      <c r="H1" s="3060"/>
      <c r="I1" s="3061"/>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陕西省西安市曲江新区雁翔路以西，春林路以南“景恒彩虹谷”项目房地产抵押价值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陕西省西安市曲江新区雁翔路以西，春林路以南“景恒彩虹谷”项目房地产</v>
      </c>
    </row>
    <row r="3" spans="1:19" ht="18" customHeight="1">
      <c r="A3" s="2031" t="s">
        <v>1778</v>
      </c>
      <c r="B3" s="2032">
        <v>43265</v>
      </c>
      <c r="C3" s="2033" t="s">
        <v>1779</v>
      </c>
      <c r="D3" s="2032">
        <v>43265</v>
      </c>
      <c r="E3" s="2022"/>
      <c r="F3" s="2022"/>
      <c r="G3" s="2022"/>
      <c r="H3" s="2022"/>
      <c r="I3" s="2022"/>
      <c r="J3" s="2022"/>
      <c r="K3" s="2023"/>
      <c r="L3" s="2024"/>
      <c r="M3" s="2024"/>
      <c r="N3" s="2025"/>
      <c r="O3" s="2026"/>
      <c r="P3" s="2025"/>
      <c r="Q3" s="2025"/>
      <c r="R3" s="2025"/>
      <c r="S3" s="2027"/>
    </row>
    <row r="4" spans="1:19" ht="18" customHeight="1" thickBot="1">
      <c r="A4" s="2034" t="s">
        <v>1780</v>
      </c>
      <c r="B4" s="2035" t="s">
        <v>3189</v>
      </c>
      <c r="C4" s="1033">
        <f ca="1">SUMIF(注册房地产估价师,B4,估价师及机构信息!B3:B24)</f>
        <v>1419970001</v>
      </c>
      <c r="D4" s="2035" t="s">
        <v>3190</v>
      </c>
      <c r="E4" s="1034">
        <f ca="1">SUMIF(注册房地产估价师,D4,估价师及机构信息!B3:B24)</f>
        <v>1120140022</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吴薇（注册号：1419970001)、刘梅（注册号：1120140022)</v>
      </c>
      <c r="L4" s="2024"/>
      <c r="M4" s="2024"/>
      <c r="N4" s="2025"/>
      <c r="O4" s="2026"/>
      <c r="P4" s="2025"/>
      <c r="Q4" s="2025"/>
      <c r="R4" s="2025"/>
      <c r="S4" s="2027"/>
    </row>
    <row r="5" spans="1:19" ht="18" customHeight="1" thickTop="1">
      <c r="A5" s="2040" t="s">
        <v>1781</v>
      </c>
      <c r="B5" s="2940" t="s">
        <v>3191</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1782</v>
      </c>
      <c r="B6" s="2044"/>
      <c r="C6" s="2045"/>
      <c r="D6" s="2046"/>
      <c r="E6" s="2030"/>
      <c r="F6" s="2038"/>
      <c r="G6" s="2038"/>
      <c r="H6" s="2038"/>
      <c r="I6" s="2038"/>
      <c r="J6" s="2038"/>
      <c r="K6" s="2047" t="str">
        <f>IF(COUNTIF(B6,"*上海银行*"),"上海银行","")</f>
        <v/>
      </c>
      <c r="L6" s="2024"/>
      <c r="M6" s="2024"/>
      <c r="N6" s="2025"/>
      <c r="O6" s="2026"/>
      <c r="P6" s="2025"/>
      <c r="Q6" s="2025"/>
      <c r="R6" s="2025"/>
    </row>
    <row r="7" spans="1:19" ht="18" customHeight="1" thickTop="1">
      <c r="A7" s="2043" t="s">
        <v>1783</v>
      </c>
      <c r="B7" s="2940" t="s">
        <v>3191</v>
      </c>
      <c r="C7" s="2045"/>
      <c r="D7" s="2046"/>
      <c r="E7" s="2030"/>
      <c r="F7" s="2038"/>
      <c r="G7" s="2038"/>
      <c r="H7" s="2038"/>
      <c r="I7" s="2038"/>
      <c r="J7" s="2038"/>
      <c r="K7" s="2048"/>
      <c r="L7" s="2024"/>
      <c r="M7" s="2024"/>
      <c r="N7" s="2025"/>
      <c r="O7" s="2026"/>
      <c r="P7" s="2025"/>
      <c r="Q7" s="2025"/>
      <c r="R7" s="2025"/>
    </row>
    <row r="8" spans="1:19" ht="18" customHeight="1">
      <c r="A8" s="2043" t="s">
        <v>1784</v>
      </c>
      <c r="B8" s="2049" t="s">
        <v>3192</v>
      </c>
      <c r="C8" s="2050"/>
      <c r="D8" s="3062" t="s">
        <v>1785</v>
      </c>
      <c r="E8" s="2051" t="s">
        <v>3193</v>
      </c>
      <c r="F8" s="2052"/>
      <c r="G8" s="2022"/>
      <c r="H8" s="2022"/>
      <c r="I8" s="2022"/>
      <c r="J8" s="2038"/>
      <c r="K8" s="2039"/>
      <c r="L8" s="2024"/>
      <c r="M8" s="2024"/>
      <c r="N8" s="2025"/>
      <c r="O8" s="2026"/>
      <c r="P8" s="2025"/>
      <c r="Q8" s="2025"/>
      <c r="R8" s="2025"/>
    </row>
    <row r="9" spans="1:19" ht="18" customHeight="1" thickBot="1">
      <c r="A9" s="2036" t="s">
        <v>1786</v>
      </c>
      <c r="B9" s="2053" t="s">
        <v>3193</v>
      </c>
      <c r="C9" s="2054"/>
      <c r="D9" s="3063"/>
      <c r="E9" s="2053"/>
      <c r="F9" s="2055"/>
      <c r="G9" s="2056"/>
      <c r="H9" s="2056"/>
      <c r="I9" s="2056"/>
      <c r="J9" s="2038"/>
      <c r="K9" s="2048"/>
      <c r="L9" s="2024"/>
      <c r="M9" s="2024"/>
      <c r="N9" s="2025"/>
      <c r="O9" s="2026"/>
      <c r="P9" s="2025"/>
      <c r="Q9" s="2025"/>
      <c r="R9" s="2025"/>
    </row>
    <row r="10" spans="1:19" ht="18" customHeight="1" thickTop="1" thickBot="1">
      <c r="A10" s="2057" t="s">
        <v>1787</v>
      </c>
      <c r="B10" s="2058" t="s">
        <v>3194</v>
      </c>
      <c r="C10" s="2941" t="s">
        <v>3195</v>
      </c>
      <c r="D10" s="2042"/>
      <c r="E10" s="2059" t="s">
        <v>1788</v>
      </c>
      <c r="F10" s="2942" t="s">
        <v>3252</v>
      </c>
      <c r="G10" s="2060"/>
      <c r="H10" s="2061"/>
      <c r="I10" s="2042"/>
      <c r="J10" s="2038"/>
      <c r="K10" s="2048"/>
      <c r="L10" s="2024"/>
      <c r="M10" s="2024"/>
      <c r="N10" s="2025"/>
      <c r="O10" s="2026"/>
      <c r="P10" s="2025"/>
      <c r="Q10" s="2025"/>
      <c r="R10" s="2025"/>
    </row>
    <row r="11" spans="1:19" ht="18" customHeight="1" thickTop="1">
      <c r="A11" s="2062" t="s">
        <v>1789</v>
      </c>
      <c r="B11" s="2063" t="s">
        <v>3196</v>
      </c>
      <c r="C11" s="2940" t="s">
        <v>3191</v>
      </c>
      <c r="D11" s="2064"/>
      <c r="E11" s="2038"/>
      <c r="F11" s="2038"/>
      <c r="G11" s="2038"/>
      <c r="H11" s="2038"/>
      <c r="I11" s="2038"/>
      <c r="J11" s="2038"/>
      <c r="K11" s="2048"/>
      <c r="L11" s="2024"/>
      <c r="M11" s="2024"/>
      <c r="N11" s="2025"/>
      <c r="O11" s="2026"/>
      <c r="P11" s="2025"/>
      <c r="Q11" s="2025"/>
      <c r="R11" s="2025"/>
    </row>
    <row r="12" spans="1:19" ht="18" customHeight="1">
      <c r="A12" s="2065" t="s">
        <v>1790</v>
      </c>
      <c r="B12" s="2063" t="s">
        <v>3225</v>
      </c>
      <c r="C12" s="2066" t="s">
        <v>1791</v>
      </c>
      <c r="D12" s="2067" t="s">
        <v>1792</v>
      </c>
      <c r="E12" s="2067" t="s">
        <v>1793</v>
      </c>
      <c r="F12" s="2067" t="s">
        <v>1794</v>
      </c>
      <c r="G12" s="2067" t="s">
        <v>1795</v>
      </c>
      <c r="H12" s="2067" t="s">
        <v>1796</v>
      </c>
      <c r="I12" s="2067" t="s">
        <v>1797</v>
      </c>
      <c r="J12" s="2038"/>
      <c r="K12" s="2048"/>
      <c r="L12" s="2024"/>
      <c r="M12" s="2024"/>
      <c r="N12" s="2025"/>
      <c r="O12" s="2026"/>
      <c r="P12" s="2025"/>
      <c r="Q12" s="2025"/>
      <c r="R12" s="2025"/>
    </row>
    <row r="13" spans="1:19" ht="18" customHeight="1">
      <c r="A13" s="2068"/>
      <c r="B13" s="2069"/>
      <c r="C13" s="2070" t="s">
        <v>1798</v>
      </c>
      <c r="D13" s="2071"/>
      <c r="E13" s="2071">
        <v>56310</v>
      </c>
      <c r="F13" s="2071">
        <v>56310</v>
      </c>
      <c r="G13" s="2994">
        <v>59963</v>
      </c>
      <c r="H13" s="2071"/>
      <c r="I13" s="1043"/>
      <c r="J13" s="2038"/>
      <c r="K13" s="2048"/>
      <c r="L13" s="2024"/>
      <c r="M13" s="2024"/>
      <c r="N13" s="2025"/>
      <c r="O13" s="2026"/>
      <c r="P13" s="2025"/>
      <c r="Q13" s="2025"/>
      <c r="R13" s="2025"/>
    </row>
    <row r="14" spans="1:19" ht="18" customHeight="1">
      <c r="A14" s="2068"/>
      <c r="B14" s="2069"/>
      <c r="C14" s="2070" t="s">
        <v>1799</v>
      </c>
      <c r="D14" s="1046"/>
      <c r="E14" s="1046">
        <v>40</v>
      </c>
      <c r="F14" s="1046">
        <v>40</v>
      </c>
      <c r="G14" s="1046">
        <v>50</v>
      </c>
      <c r="H14" s="1046"/>
      <c r="I14" s="1046"/>
      <c r="J14" s="2038"/>
      <c r="K14" s="2072"/>
      <c r="L14" s="2024"/>
      <c r="M14" s="2024"/>
      <c r="N14" s="2025"/>
      <c r="O14" s="2026"/>
      <c r="P14" s="2025"/>
      <c r="Q14" s="2025"/>
      <c r="R14" s="2025"/>
    </row>
    <row r="15" spans="1:19" ht="18" customHeight="1">
      <c r="A15" s="2057"/>
      <c r="B15" s="2073"/>
      <c r="C15" s="2070" t="s">
        <v>1800</v>
      </c>
      <c r="D15" s="1045" t="str">
        <f>IF(B12="出让",IF(D13="","",ROUNDDOWN(MIN((D13-$D$3)/365,D14),2)),D14)</f>
        <v/>
      </c>
      <c r="E15" s="1045">
        <f>IF(B12="出让",IF(E13="","",ROUNDDOWN(MIN((E13-$D$3)/365,E14),2)),E14)</f>
        <v>35.729999999999997</v>
      </c>
      <c r="F15" s="1045">
        <f>IF(B12="出让",IF(F13="","",ROUNDDOWN(MIN((F13-$D$3)/365,F14),2)),F14)</f>
        <v>35.729999999999997</v>
      </c>
      <c r="G15" s="1045">
        <f>IF(B12="出让",IF(G13="","",ROUNDDOWN(MIN((G13-$D$3)/365,G14),2)),G14)</f>
        <v>45.74</v>
      </c>
      <c r="H15" s="1045" t="str">
        <f>IF(B12="出让",IF(H13="","",ROUNDDOWN(MIN((H13-$D$3)/365,H14),2)),H14)</f>
        <v/>
      </c>
      <c r="I15" s="1045" t="str">
        <f>IF(B12="出让",IF(I13="","",ROUNDDOWN(MIN((I13-$D$3)/365,I14),2)),I14)</f>
        <v/>
      </c>
      <c r="J15" s="2038"/>
      <c r="K15" s="2074"/>
      <c r="L15" s="2075"/>
      <c r="M15" s="2075"/>
      <c r="N15" s="2076"/>
      <c r="O15" s="2075"/>
      <c r="P15" s="2076"/>
      <c r="Q15" s="2025"/>
      <c r="R15" s="2025"/>
    </row>
    <row r="16" spans="1:19" ht="30.75" customHeight="1">
      <c r="A16" s="2059" t="s">
        <v>1801</v>
      </c>
      <c r="B16" s="3069" t="s">
        <v>3197</v>
      </c>
      <c r="C16" s="3070"/>
      <c r="D16" s="3071"/>
      <c r="E16" s="2077" t="s">
        <v>1802</v>
      </c>
      <c r="F16" s="3072"/>
      <c r="G16" s="3073"/>
      <c r="H16" s="3073"/>
      <c r="I16" s="3074"/>
      <c r="J16" s="2025"/>
      <c r="K16" s="2074"/>
      <c r="L16" s="2075"/>
      <c r="M16" s="2075"/>
      <c r="N16" s="2076"/>
      <c r="O16" s="2075"/>
      <c r="P16" s="2076"/>
      <c r="Q16" s="2025"/>
      <c r="R16" s="2025"/>
    </row>
    <row r="17" spans="1:22" ht="18" customHeight="1">
      <c r="A17" s="2078" t="s">
        <v>1803</v>
      </c>
      <c r="B17" s="2031" t="s">
        <v>1804</v>
      </c>
      <c r="C17" s="1050">
        <f>'数据-汇总表'!E3</f>
        <v>111646.95</v>
      </c>
      <c r="D17" s="2079" t="s">
        <v>1805</v>
      </c>
      <c r="E17" s="3075" t="s">
        <v>3201</v>
      </c>
      <c r="F17" s="3076"/>
      <c r="G17" s="3076"/>
      <c r="H17" s="3076"/>
      <c r="I17" s="3077"/>
      <c r="J17" s="2025"/>
      <c r="K17" s="2080"/>
      <c r="L17" s="2075"/>
      <c r="M17" s="2075"/>
      <c r="N17" s="2076"/>
      <c r="O17" s="2075"/>
      <c r="P17" s="2076"/>
      <c r="Q17" s="2025"/>
      <c r="R17" s="2025"/>
      <c r="S17" s="2025"/>
      <c r="T17" s="2025"/>
      <c r="U17" s="2025"/>
      <c r="V17" s="2025"/>
    </row>
    <row r="18" spans="1:22" ht="36" customHeight="1" thickBot="1">
      <c r="A18" s="2081" t="s">
        <v>3199</v>
      </c>
      <c r="B18" s="2034" t="s">
        <v>1806</v>
      </c>
      <c r="C18" s="1440">
        <f>'数据-汇总表'!D3</f>
        <v>27591.5</v>
      </c>
      <c r="D18" s="2082" t="s">
        <v>1805</v>
      </c>
      <c r="E18" s="3078" t="s">
        <v>3200</v>
      </c>
      <c r="F18" s="3079"/>
      <c r="G18" s="3079"/>
      <c r="H18" s="3079"/>
      <c r="I18" s="3080"/>
      <c r="J18" s="2025"/>
      <c r="K18" s="2080"/>
      <c r="L18" s="2075"/>
      <c r="M18" s="2075"/>
      <c r="N18" s="2076"/>
      <c r="O18" s="2075"/>
      <c r="P18" s="2076"/>
      <c r="Q18" s="2025"/>
      <c r="R18" s="2025"/>
      <c r="S18" s="2025"/>
      <c r="T18" s="2025"/>
      <c r="U18" s="2025"/>
      <c r="V18" s="2025"/>
    </row>
    <row r="19" spans="1:22" ht="37.5" customHeight="1" thickTop="1" thickBot="1">
      <c r="A19" s="372" t="s">
        <v>1807</v>
      </c>
      <c r="B19" s="351" t="s">
        <v>1808</v>
      </c>
      <c r="C19" s="2083" t="s">
        <v>3198</v>
      </c>
      <c r="D19" s="2084" t="s">
        <v>1809</v>
      </c>
      <c r="E19" s="2085" t="s">
        <v>3198</v>
      </c>
      <c r="F19" s="2086" t="str">
        <f>IF(AND(C19="是",E19="否"),"是否提供他项权证或相关说明","")</f>
        <v/>
      </c>
      <c r="G19" s="2087"/>
      <c r="H19" s="2038"/>
      <c r="I19" s="2038"/>
      <c r="J19" s="2038"/>
      <c r="K19" s="2048"/>
      <c r="L19" s="2024"/>
      <c r="M19" s="2024"/>
      <c r="N19" s="2076"/>
      <c r="O19" s="2075"/>
      <c r="P19" s="2076"/>
      <c r="Q19" s="2025"/>
      <c r="R19" s="2025"/>
      <c r="S19" s="2025"/>
      <c r="T19" s="2025"/>
      <c r="U19" s="2025"/>
      <c r="V19" s="2025"/>
    </row>
    <row r="20" spans="1:22" ht="18" customHeight="1">
      <c r="A20" s="2088" t="s">
        <v>1810</v>
      </c>
      <c r="B20" s="3065" t="s">
        <v>1811</v>
      </c>
      <c r="C20" s="3066"/>
      <c r="D20" s="3067" t="s">
        <v>1812</v>
      </c>
      <c r="E20" s="3068"/>
      <c r="F20" s="2089" t="s">
        <v>1813</v>
      </c>
      <c r="G20" s="2038"/>
      <c r="H20" s="2038"/>
      <c r="I20" s="2038"/>
      <c r="J20" s="2038"/>
      <c r="K20" s="3064" t="s">
        <v>1814</v>
      </c>
      <c r="L20" s="747" t="str">
        <f>"根据估价对象"&amp;IF(B22="——",B21&amp;C21,B21&amp;C21&amp;"、"&amp;B22&amp;C22)&amp;"，"&amp;IF(C19="是","截至价值时点，估价对象已设定抵押。","截至价值时点，估价对象抵押权未见登记。")</f>
        <v>根据估价对象《国有土地使用证》复印件、，截至价值时点，估价对象抵押权未见登记。</v>
      </c>
      <c r="M20" s="2024"/>
      <c r="N20" s="2076"/>
      <c r="O20" s="2075"/>
      <c r="P20" s="2076"/>
      <c r="Q20" s="2025"/>
      <c r="R20" s="2025"/>
      <c r="S20" s="2025"/>
      <c r="T20" s="2025"/>
      <c r="U20" s="2025"/>
      <c r="V20" s="2025"/>
    </row>
    <row r="21" spans="1:22" ht="24.75" customHeight="1">
      <c r="A21" s="2088"/>
      <c r="B21" s="2090" t="s">
        <v>3202</v>
      </c>
      <c r="C21" s="2091" t="s">
        <v>3203</v>
      </c>
      <c r="D21" s="2092"/>
      <c r="E21" s="2093"/>
      <c r="F21" s="2094"/>
      <c r="G21" s="2038"/>
      <c r="H21" s="2038"/>
      <c r="I21" s="2038"/>
      <c r="J21" s="2038"/>
      <c r="K21" s="306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6"/>
      <c r="O21" s="2075"/>
      <c r="P21" s="2076"/>
      <c r="Q21" s="2025"/>
      <c r="R21" s="2025"/>
      <c r="S21" s="2025"/>
      <c r="T21" s="2025"/>
      <c r="U21" s="2025"/>
      <c r="V21" s="2025"/>
    </row>
    <row r="22" spans="1:22" ht="24.75" customHeight="1" thickBot="1">
      <c r="A22" s="2088"/>
      <c r="B22" s="2095"/>
      <c r="C22" s="2091"/>
      <c r="D22" s="2022"/>
      <c r="E22" s="2022"/>
      <c r="F22" s="2096"/>
      <c r="G22" s="2038"/>
      <c r="H22" s="2038"/>
      <c r="I22" s="2038"/>
      <c r="J22" s="2038"/>
      <c r="K22" s="306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6"/>
      <c r="O22" s="2075"/>
      <c r="P22" s="2076"/>
      <c r="Q22" s="2025"/>
      <c r="R22" s="2025"/>
      <c r="S22" s="2025"/>
      <c r="T22" s="2025"/>
      <c r="U22" s="2025"/>
      <c r="V22" s="2025"/>
    </row>
    <row r="23" spans="1:22" ht="18" customHeight="1">
      <c r="A23" s="2097" t="s">
        <v>1815</v>
      </c>
      <c r="B23" s="182" t="s">
        <v>1816</v>
      </c>
      <c r="C23" s="2098"/>
      <c r="D23" s="2099" t="s">
        <v>1816</v>
      </c>
      <c r="E23" s="2100"/>
      <c r="F23" s="2096"/>
      <c r="G23" s="2038"/>
      <c r="H23" s="2038"/>
      <c r="I23" s="2038"/>
      <c r="J23" s="2038"/>
      <c r="K23" s="2101"/>
      <c r="L23" s="747"/>
      <c r="M23" s="2024"/>
      <c r="N23" s="2076"/>
      <c r="O23" s="2075"/>
      <c r="P23" s="2076"/>
      <c r="Q23" s="2025"/>
      <c r="R23" s="2025"/>
      <c r="S23" s="2025"/>
      <c r="T23" s="2025"/>
      <c r="U23" s="2025"/>
      <c r="V23" s="2025"/>
    </row>
    <row r="24" spans="1:22" ht="18" customHeight="1">
      <c r="A24" s="2102"/>
      <c r="B24" s="182" t="s">
        <v>1817</v>
      </c>
      <c r="C24" s="2103"/>
      <c r="D24" s="2097" t="s">
        <v>1817</v>
      </c>
      <c r="E24" s="2104"/>
      <c r="F24" s="2096"/>
      <c r="G24" s="2038"/>
      <c r="H24" s="2038"/>
      <c r="I24" s="2038"/>
      <c r="J24" s="2038"/>
      <c r="K24" s="2101"/>
      <c r="L24" s="747"/>
      <c r="M24" s="2024"/>
      <c r="N24" s="2076"/>
      <c r="O24" s="2075"/>
      <c r="P24" s="2076"/>
      <c r="Q24" s="2025"/>
      <c r="R24" s="2025"/>
      <c r="S24" s="2025"/>
      <c r="T24" s="2025"/>
      <c r="U24" s="2025"/>
      <c r="V24" s="2025"/>
    </row>
    <row r="25" spans="1:22" ht="18" customHeight="1">
      <c r="A25" s="2102"/>
      <c r="B25" s="182" t="s">
        <v>1818</v>
      </c>
      <c r="C25" s="2103"/>
      <c r="D25" s="2097" t="s">
        <v>1818</v>
      </c>
      <c r="E25" s="2104"/>
      <c r="F25" s="2096"/>
      <c r="G25" s="2038"/>
      <c r="H25" s="2038"/>
      <c r="I25" s="2038"/>
      <c r="J25" s="2038"/>
      <c r="K25" s="2048"/>
      <c r="L25" s="2024"/>
      <c r="M25" s="2024"/>
      <c r="N25" s="2076"/>
      <c r="O25" s="2075"/>
      <c r="P25" s="2076"/>
      <c r="Q25" s="2025"/>
      <c r="R25" s="2025"/>
      <c r="S25" s="2025"/>
      <c r="T25" s="2025"/>
      <c r="U25" s="2025"/>
      <c r="V25" s="2025"/>
    </row>
    <row r="26" spans="1:22" ht="18" customHeight="1" thickBot="1">
      <c r="A26" s="2105"/>
      <c r="B26" s="2106" t="s">
        <v>1819</v>
      </c>
      <c r="C26" s="2107"/>
      <c r="D26" s="2108" t="s">
        <v>1820</v>
      </c>
      <c r="E26" s="2109"/>
      <c r="F26" s="2110"/>
      <c r="G26" s="2056"/>
      <c r="H26" s="2056"/>
      <c r="I26" s="2056"/>
      <c r="J26" s="2038"/>
      <c r="K26" s="2048"/>
      <c r="L26" s="2024"/>
      <c r="M26" s="2024"/>
      <c r="N26" s="2076"/>
      <c r="O26" s="2075"/>
      <c r="P26" s="2076"/>
      <c r="Q26" s="2025"/>
      <c r="R26" s="2025"/>
      <c r="S26" s="2025"/>
      <c r="T26" s="2025"/>
      <c r="U26" s="2025"/>
      <c r="V26" s="2025"/>
    </row>
    <row r="27" spans="1:22" ht="18" customHeight="1" thickTop="1">
      <c r="A27" s="3052" t="s">
        <v>1821</v>
      </c>
      <c r="B27" s="2057" t="s">
        <v>1822</v>
      </c>
      <c r="C27" s="2111" t="s">
        <v>3204</v>
      </c>
      <c r="D27" s="2112"/>
      <c r="E27" s="2038"/>
      <c r="F27" s="2038"/>
      <c r="G27" s="2038"/>
      <c r="H27" s="2038"/>
      <c r="I27" s="2038"/>
      <c r="J27" s="2025"/>
      <c r="K27" s="2074"/>
      <c r="L27" s="2075"/>
      <c r="M27" s="2075"/>
      <c r="N27" s="2076"/>
      <c r="O27" s="2075"/>
      <c r="P27" s="2076"/>
      <c r="Q27" s="2025"/>
      <c r="R27" s="2025"/>
      <c r="S27" s="2025"/>
      <c r="T27" s="2025"/>
      <c r="U27" s="2025"/>
      <c r="V27" s="2025"/>
    </row>
    <row r="28" spans="1:22" ht="18" customHeight="1">
      <c r="A28" s="3052"/>
      <c r="B28" s="2031" t="s">
        <v>1823</v>
      </c>
      <c r="C28" s="2113" t="s">
        <v>3205</v>
      </c>
      <c r="D28" s="2114"/>
      <c r="E28" s="2038"/>
      <c r="F28" s="2038"/>
      <c r="G28" s="2038"/>
      <c r="H28" s="2038"/>
      <c r="I28" s="2038"/>
      <c r="J28" s="2025"/>
      <c r="K28" s="2115"/>
      <c r="L28" s="2024"/>
      <c r="M28" s="2024"/>
      <c r="N28" s="2025"/>
      <c r="O28" s="2026"/>
      <c r="P28" s="2025"/>
      <c r="Q28" s="2025"/>
      <c r="R28" s="2025"/>
      <c r="S28" s="2025"/>
      <c r="T28" s="2025"/>
      <c r="U28" s="2025"/>
      <c r="V28" s="2025"/>
    </row>
    <row r="29" spans="1:22" ht="18" customHeight="1">
      <c r="A29" s="3052"/>
      <c r="B29" s="2031" t="s">
        <v>1824</v>
      </c>
      <c r="C29" s="2116" t="s">
        <v>3198</v>
      </c>
      <c r="D29" s="2117"/>
      <c r="E29" s="2038"/>
      <c r="F29" s="2038"/>
      <c r="G29" s="2038"/>
      <c r="H29" s="2038"/>
      <c r="I29" s="2038"/>
      <c r="J29" s="2025"/>
      <c r="K29" s="2115"/>
      <c r="L29" s="2024"/>
      <c r="M29" s="2024"/>
      <c r="N29" s="2025"/>
      <c r="O29" s="2026"/>
      <c r="P29" s="2025"/>
      <c r="Q29" s="2025"/>
      <c r="R29" s="2025"/>
      <c r="S29" s="2025"/>
      <c r="T29" s="2025"/>
      <c r="U29" s="2025"/>
      <c r="V29" s="2025"/>
    </row>
    <row r="30" spans="1:22" ht="18" customHeight="1">
      <c r="A30" s="3053"/>
      <c r="B30" s="2031" t="s">
        <v>1825</v>
      </c>
      <c r="C30" s="3054"/>
      <c r="D30" s="3055"/>
      <c r="E30" s="2038"/>
      <c r="F30" s="2038"/>
      <c r="G30" s="2038"/>
      <c r="H30" s="2038"/>
      <c r="I30" s="2038"/>
      <c r="J30" s="2025"/>
      <c r="K30" s="2115"/>
      <c r="L30" s="2024"/>
      <c r="M30" s="2024"/>
      <c r="N30" s="2025"/>
      <c r="O30" s="2026"/>
      <c r="P30" s="2025"/>
      <c r="Q30" s="2025"/>
      <c r="R30" s="2025"/>
      <c r="S30" s="2025"/>
      <c r="T30" s="2025"/>
      <c r="U30" s="2025"/>
      <c r="V30" s="2025"/>
    </row>
    <row r="31" spans="1:22" ht="18" customHeight="1">
      <c r="A31" s="3056" t="s">
        <v>1826</v>
      </c>
      <c r="B31" s="2118" t="s">
        <v>3206</v>
      </c>
      <c r="C31" s="2119" t="str">
        <f>IF(B31="现房","成新及维护状况正常否",IF(B31="在建","工程状态是否正常",IF(B31="土地","是否闲置","-")))</f>
        <v>成新及维护状况正常否</v>
      </c>
      <c r="D31" s="2120"/>
      <c r="E31" s="2121"/>
      <c r="F31" s="2038"/>
      <c r="G31" s="2038"/>
      <c r="H31" s="2038"/>
      <c r="I31" s="2038"/>
      <c r="J31" s="2038"/>
      <c r="K31" s="2047"/>
      <c r="L31" s="2024"/>
      <c r="M31" s="2024"/>
      <c r="N31" s="2025"/>
      <c r="O31" s="2026"/>
      <c r="P31" s="2025"/>
      <c r="Q31" s="2025"/>
      <c r="R31" s="2025"/>
      <c r="S31" s="2025"/>
      <c r="T31" s="2025"/>
      <c r="U31" s="2025"/>
      <c r="V31" s="2025"/>
    </row>
    <row r="32" spans="1:22" ht="18" customHeight="1">
      <c r="A32" s="3057"/>
      <c r="B32" s="2118"/>
      <c r="C32" s="2119" t="str">
        <f>IF(B32="现房","成新及维护状况是否正常",IF(B32="在建","工程状态是否正常",IF(B32="土地","是否闲置","-")))</f>
        <v>-</v>
      </c>
      <c r="D32" s="2120"/>
      <c r="E32" s="2121"/>
      <c r="F32" s="2038"/>
      <c r="G32" s="2038"/>
      <c r="H32" s="2038"/>
      <c r="I32" s="2038"/>
      <c r="J32" s="2038"/>
      <c r="K32" s="2048"/>
      <c r="L32" s="2024"/>
      <c r="M32" s="2024"/>
      <c r="N32" s="2025"/>
      <c r="O32" s="2026"/>
      <c r="P32" s="2025"/>
      <c r="Q32" s="2025"/>
      <c r="R32" s="2025"/>
      <c r="S32" s="2025"/>
      <c r="T32" s="2025"/>
      <c r="U32" s="2025"/>
      <c r="V32" s="2025"/>
    </row>
    <row r="33" spans="1:22" ht="18" customHeight="1">
      <c r="A33" s="3057"/>
      <c r="B33" s="2122"/>
      <c r="C33" s="2062" t="str">
        <f>IF(B33="现房","成新及维护状况是否正常",IF(B33="在建","工程状态是否正常",IF(B33="土地","是否闲置","-")))</f>
        <v>-</v>
      </c>
      <c r="D33" s="2123"/>
      <c r="E33" s="2124"/>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1827</v>
      </c>
      <c r="B34" s="2125" t="s">
        <v>3207</v>
      </c>
      <c r="C34" s="2125" t="s">
        <v>3208</v>
      </c>
      <c r="D34" s="2125" t="s">
        <v>3209</v>
      </c>
      <c r="E34" s="2125" t="s">
        <v>3210</v>
      </c>
      <c r="F34" s="2125" t="s">
        <v>3211</v>
      </c>
      <c r="G34" s="2125" t="s">
        <v>3212</v>
      </c>
      <c r="H34" s="2125" t="s">
        <v>3213</v>
      </c>
      <c r="I34" s="2038"/>
      <c r="J34" s="2038"/>
      <c r="K34" s="1791">
        <f>COUNTIF(B34:H34,"——")</f>
        <v>0</v>
      </c>
      <c r="L34" s="2066" t="s">
        <v>1828</v>
      </c>
      <c r="M34" s="2066" t="s">
        <v>1829</v>
      </c>
      <c r="N34" s="2066" t="s">
        <v>1830</v>
      </c>
      <c r="O34" s="2066" t="s">
        <v>1831</v>
      </c>
      <c r="P34" s="2066" t="s">
        <v>1832</v>
      </c>
      <c r="Q34" s="2066" t="s">
        <v>1833</v>
      </c>
      <c r="R34" s="2066" t="s">
        <v>1834</v>
      </c>
      <c r="S34" s="3051" t="s">
        <v>1835</v>
      </c>
      <c r="T34" s="2126" t="str">
        <f>NUMBERSTRING(7-K34,1)&amp;"通"</f>
        <v>七通</v>
      </c>
      <c r="U34" s="2025"/>
      <c r="V34" s="2025"/>
    </row>
    <row r="35" spans="1:22" ht="18" customHeight="1">
      <c r="A35" s="2127"/>
      <c r="B35" s="3058" t="s">
        <v>1836</v>
      </c>
      <c r="C35" s="3058"/>
      <c r="D35" s="3058"/>
      <c r="E35" s="3058"/>
      <c r="F35" s="2128" t="str">
        <f>C10</f>
        <v>陕西省西安市</v>
      </c>
      <c r="G35" s="2038"/>
      <c r="H35" s="2038"/>
      <c r="I35" s="2038"/>
      <c r="J35" s="2038"/>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1"/>
      <c r="T35" s="48" t="str">
        <f>IF(T34="一通",L35,IF(T34="二通",M35,IF(T34="三通",N35,IF(T34="四通",O35,IF(T34="五通",P35,IF(T34="六通",Q35,R35))))))</f>
        <v>通路、通电、通讯、通上水、通下水、通热、燃气</v>
      </c>
      <c r="U35" s="2025"/>
      <c r="V35" s="2025"/>
    </row>
    <row r="36" spans="1:22" ht="18" customHeight="1">
      <c r="A36" s="2129"/>
      <c r="B36" s="2128" t="s">
        <v>1837</v>
      </c>
      <c r="C36" s="2128" t="s">
        <v>1838</v>
      </c>
      <c r="D36" s="2128" t="s">
        <v>1839</v>
      </c>
      <c r="E36" s="2128" t="s">
        <v>1840</v>
      </c>
      <c r="F36" s="2130"/>
      <c r="G36" s="2038"/>
      <c r="H36" s="2038"/>
      <c r="I36" s="2038"/>
      <c r="J36" s="2038"/>
      <c r="K36" s="2048"/>
      <c r="L36" s="2024"/>
      <c r="M36" s="2024"/>
      <c r="N36" s="2025"/>
      <c r="O36" s="2026"/>
      <c r="P36" s="2025"/>
      <c r="Q36" s="2025"/>
      <c r="R36" s="2025"/>
      <c r="S36" s="2025"/>
      <c r="T36" s="2025"/>
      <c r="U36" s="2025"/>
      <c r="V36" s="2025"/>
    </row>
    <row r="37" spans="1:22" ht="18" customHeight="1">
      <c r="A37" s="2131" t="s">
        <v>1841</v>
      </c>
      <c r="B37" s="2132"/>
      <c r="C37" s="2132"/>
      <c r="D37" s="2132"/>
      <c r="E37" s="2132"/>
      <c r="F37" s="2130"/>
      <c r="G37" s="2038"/>
      <c r="H37" s="2038"/>
      <c r="I37" s="2038"/>
      <c r="J37" s="2038"/>
      <c r="K37" s="2048"/>
      <c r="L37" s="2024"/>
      <c r="M37" s="2024"/>
      <c r="N37" s="2025"/>
      <c r="O37" s="2026"/>
      <c r="P37" s="2025"/>
      <c r="Q37" s="2025"/>
      <c r="R37" s="2025"/>
      <c r="S37" s="2025"/>
      <c r="T37" s="2025"/>
      <c r="U37" s="2025"/>
      <c r="V37" s="2025"/>
    </row>
    <row r="38" spans="1:22" ht="18" customHeight="1" thickBot="1">
      <c r="A38" s="2133" t="s">
        <v>1842</v>
      </c>
      <c r="B38" s="2134"/>
      <c r="C38" s="2134"/>
      <c r="D38" s="2134"/>
      <c r="E38" s="2134"/>
      <c r="F38" s="2135"/>
      <c r="G38" s="2056"/>
      <c r="H38" s="2056"/>
      <c r="I38" s="2056"/>
      <c r="J38" s="2038"/>
      <c r="K38" s="2048"/>
      <c r="L38" s="2024"/>
      <c r="M38" s="2024"/>
      <c r="N38" s="2025"/>
      <c r="O38" s="2026"/>
      <c r="P38" s="2025"/>
      <c r="Q38" s="2025"/>
      <c r="R38" s="2025"/>
      <c r="S38" s="2025"/>
      <c r="T38" s="2025"/>
      <c r="U38" s="2025"/>
      <c r="V38" s="2025"/>
    </row>
    <row r="39" spans="1:22" s="2140" customFormat="1" ht="18" customHeight="1" thickTop="1" thickBot="1">
      <c r="A39" s="2136" t="s">
        <v>1843</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5"/>
      <c r="B40" s="2025"/>
      <c r="C40" s="2025"/>
      <c r="D40" s="2025"/>
      <c r="E40" s="2025"/>
      <c r="F40" s="2025"/>
      <c r="G40" s="2025"/>
      <c r="H40" s="2025"/>
      <c r="I40" s="2141"/>
      <c r="J40" s="2076"/>
      <c r="K40" s="665"/>
      <c r="L40" s="2075"/>
      <c r="M40" s="2075"/>
      <c r="N40" s="2076"/>
      <c r="O40" s="2075"/>
      <c r="P40" s="2025"/>
      <c r="Q40" s="2025"/>
      <c r="R40" s="2025"/>
      <c r="S40" s="2025"/>
      <c r="T40" s="2025"/>
      <c r="U40" s="2025"/>
      <c r="V40" s="2025"/>
    </row>
    <row r="41" spans="1:22" ht="18" customHeight="1">
      <c r="A41" s="8" t="s">
        <v>1844</v>
      </c>
      <c r="B41" s="2142"/>
      <c r="C41" s="2143"/>
      <c r="D41" s="2025"/>
      <c r="E41" s="2025"/>
      <c r="F41" s="2025"/>
      <c r="G41" s="2025"/>
      <c r="H41" s="2025"/>
      <c r="I41" s="2026"/>
      <c r="J41" s="2025"/>
      <c r="K41" s="2115"/>
      <c r="L41" s="2024"/>
      <c r="M41" s="2024"/>
      <c r="N41" s="2025"/>
      <c r="O41" s="2026"/>
      <c r="P41" s="2025"/>
      <c r="Q41" s="2025"/>
      <c r="R41" s="2025"/>
      <c r="S41" s="2025"/>
      <c r="T41" s="2025"/>
      <c r="U41" s="2025"/>
      <c r="V41" s="2025"/>
    </row>
    <row r="42" spans="1:22" ht="18" customHeight="1">
      <c r="A42" s="2066" t="s">
        <v>1845</v>
      </c>
      <c r="B42" s="1791" t="s">
        <v>1846</v>
      </c>
      <c r="C42" s="1791" t="s">
        <v>1847</v>
      </c>
      <c r="D42" s="1791" t="s">
        <v>1848</v>
      </c>
      <c r="E42" s="1791" t="s">
        <v>1849</v>
      </c>
      <c r="F42" s="1791" t="s">
        <v>1850</v>
      </c>
      <c r="G42" s="1791" t="s">
        <v>1851</v>
      </c>
      <c r="H42" s="1791" t="s">
        <v>1852</v>
      </c>
      <c r="I42" s="1791" t="s">
        <v>1853</v>
      </c>
      <c r="J42" s="2144" t="s">
        <v>1854</v>
      </c>
      <c r="K42" s="2067" t="s">
        <v>1855</v>
      </c>
      <c r="L42" s="2067" t="s">
        <v>1856</v>
      </c>
      <c r="M42" s="2067" t="s">
        <v>1857</v>
      </c>
      <c r="N42" s="1791" t="s">
        <v>1858</v>
      </c>
      <c r="O42" s="1791" t="s">
        <v>1859</v>
      </c>
      <c r="P42" s="1791" t="s">
        <v>1860</v>
      </c>
      <c r="Q42" s="2066" t="s">
        <v>1861</v>
      </c>
      <c r="R42" s="2066" t="s">
        <v>1862</v>
      </c>
      <c r="S42" s="2025"/>
      <c r="T42" s="2025"/>
      <c r="U42" s="2025"/>
      <c r="V42" s="2025"/>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5"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9" customFormat="1" ht="24">
      <c r="A2" s="11" t="s">
        <v>1865</v>
      </c>
      <c r="B2" s="11" t="s">
        <v>1866</v>
      </c>
      <c r="C2" s="11" t="s">
        <v>1867</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1868</v>
      </c>
      <c r="AZ2" s="1266" t="s">
        <v>1869</v>
      </c>
      <c r="BA2" s="11" t="s">
        <v>1870</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ROUND(B3/实测整理!C15*30421.84,2)</f>
        <v>28669.4</v>
      </c>
      <c r="B3" s="14">
        <f>IF(C3="否",G5-AT5,G5)</f>
        <v>116008.61</v>
      </c>
      <c r="C3" s="2160"/>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1871</v>
      </c>
      <c r="B5" s="1799"/>
      <c r="C5" s="1799"/>
      <c r="D5" s="1802"/>
      <c r="E5" s="16" t="s">
        <v>1</v>
      </c>
      <c r="F5" s="16">
        <f>SUM(F13:F587)</f>
        <v>0</v>
      </c>
      <c r="G5" s="16">
        <f>SUM(G13:G587)</f>
        <v>116008.61</v>
      </c>
      <c r="H5" s="16">
        <f t="shared" ref="H5:AT5" si="0">SUM(H13:H656)</f>
        <v>104383.51</v>
      </c>
      <c r="I5" s="16">
        <f t="shared" si="0"/>
        <v>11954.21</v>
      </c>
      <c r="J5" s="16">
        <f t="shared" si="0"/>
        <v>0</v>
      </c>
      <c r="K5" s="16">
        <f t="shared" si="0"/>
        <v>8168.1599999999971</v>
      </c>
      <c r="L5" s="16">
        <f t="shared" si="0"/>
        <v>0</v>
      </c>
      <c r="M5" s="16">
        <f t="shared" si="0"/>
        <v>15737.87</v>
      </c>
      <c r="N5" s="16">
        <f t="shared" si="0"/>
        <v>0</v>
      </c>
      <c r="O5" s="16">
        <f t="shared" si="0"/>
        <v>27986.240000000002</v>
      </c>
      <c r="P5" s="16">
        <f t="shared" si="0"/>
        <v>0</v>
      </c>
      <c r="Q5" s="16">
        <f t="shared" si="0"/>
        <v>11418.03</v>
      </c>
      <c r="R5" s="16">
        <f t="shared" si="0"/>
        <v>0</v>
      </c>
      <c r="S5" s="16">
        <f t="shared" si="0"/>
        <v>29119</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7263.44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3988.6399999999994</v>
      </c>
      <c r="AM5" s="16">
        <f t="shared" si="0"/>
        <v>0</v>
      </c>
      <c r="AN5" s="16">
        <f t="shared" si="0"/>
        <v>3274.8</v>
      </c>
      <c r="AO5" s="16">
        <f t="shared" si="0"/>
        <v>0</v>
      </c>
      <c r="AP5" s="16">
        <f t="shared" si="0"/>
        <v>0</v>
      </c>
      <c r="AQ5" s="16">
        <f t="shared" si="0"/>
        <v>0</v>
      </c>
      <c r="AR5" s="16">
        <f t="shared" si="0"/>
        <v>0</v>
      </c>
      <c r="AS5" s="16">
        <f t="shared" si="0"/>
        <v>0</v>
      </c>
      <c r="AT5" s="16">
        <f t="shared" si="0"/>
        <v>4361.66</v>
      </c>
      <c r="AU5" s="1798"/>
      <c r="AV5" s="15" t="s">
        <v>1871</v>
      </c>
      <c r="AW5" s="1799"/>
      <c r="AX5" s="1799"/>
      <c r="AY5" s="17" t="s">
        <v>3</v>
      </c>
      <c r="AZ5" s="18">
        <f t="shared" ref="AZ5:BT5" si="1">SUM(AZ13:AZ656)</f>
        <v>111646.95</v>
      </c>
      <c r="BA5" s="18">
        <f t="shared" si="1"/>
        <v>104383.51</v>
      </c>
      <c r="BB5" s="18">
        <f t="shared" si="1"/>
        <v>11954.21</v>
      </c>
      <c r="BC5" s="18">
        <f t="shared" si="1"/>
        <v>8168.1599999999971</v>
      </c>
      <c r="BD5" s="18">
        <f t="shared" si="1"/>
        <v>15737.87</v>
      </c>
      <c r="BE5" s="18">
        <f t="shared" si="1"/>
        <v>27986.240000000002</v>
      </c>
      <c r="BF5" s="18">
        <f t="shared" si="1"/>
        <v>11418.03</v>
      </c>
      <c r="BG5" s="18">
        <f t="shared" si="1"/>
        <v>29119</v>
      </c>
      <c r="BH5" s="18">
        <f t="shared" si="1"/>
        <v>0</v>
      </c>
      <c r="BI5" s="18">
        <f t="shared" si="1"/>
        <v>0</v>
      </c>
      <c r="BJ5" s="18">
        <f t="shared" si="1"/>
        <v>0</v>
      </c>
      <c r="BK5" s="18">
        <f t="shared" si="1"/>
        <v>0</v>
      </c>
      <c r="BL5" s="18">
        <f t="shared" si="1"/>
        <v>7263.44</v>
      </c>
      <c r="BM5" s="18">
        <f t="shared" si="1"/>
        <v>0</v>
      </c>
      <c r="BN5" s="18">
        <f t="shared" si="1"/>
        <v>0</v>
      </c>
      <c r="BO5" s="18">
        <f t="shared" si="1"/>
        <v>0</v>
      </c>
      <c r="BP5" s="18">
        <f t="shared" si="1"/>
        <v>0</v>
      </c>
      <c r="BQ5" s="18">
        <f t="shared" si="1"/>
        <v>3988.6399999999994</v>
      </c>
      <c r="BR5" s="18">
        <f t="shared" si="1"/>
        <v>3274.8</v>
      </c>
      <c r="BS5" s="18">
        <f t="shared" si="1"/>
        <v>0</v>
      </c>
      <c r="BT5" s="19">
        <f t="shared" si="1"/>
        <v>0</v>
      </c>
    </row>
    <row r="6" spans="1:72" s="2169" customFormat="1" ht="12.75">
      <c r="A6" s="15" t="s">
        <v>1872</v>
      </c>
      <c r="B6" s="2166"/>
      <c r="C6" s="2166"/>
      <c r="D6" s="2167"/>
      <c r="E6" s="16">
        <f>H6+AC6+AT6</f>
        <v>27591.51</v>
      </c>
      <c r="F6" s="16" t="s">
        <v>1</v>
      </c>
      <c r="G6" s="16" t="s">
        <v>2</v>
      </c>
      <c r="H6" s="20">
        <f>SUMIF(I$12:AB$12,"总值",I6:AB6)</f>
        <v>25796.48</v>
      </c>
      <c r="I6" s="16">
        <f t="shared" ref="I6:AB6" si="2">ROUND($A$3*I5/$B$3,2)</f>
        <v>2954.26</v>
      </c>
      <c r="J6" s="16">
        <f t="shared" si="2"/>
        <v>0</v>
      </c>
      <c r="K6" s="16">
        <f t="shared" si="2"/>
        <v>2018.61</v>
      </c>
      <c r="L6" s="16">
        <f t="shared" si="2"/>
        <v>0</v>
      </c>
      <c r="M6" s="16">
        <f t="shared" si="2"/>
        <v>3889.33</v>
      </c>
      <c r="N6" s="16">
        <f t="shared" si="2"/>
        <v>0</v>
      </c>
      <c r="O6" s="16">
        <f t="shared" si="2"/>
        <v>6916.29</v>
      </c>
      <c r="P6" s="16">
        <f t="shared" si="2"/>
        <v>0</v>
      </c>
      <c r="Q6" s="16">
        <f t="shared" si="2"/>
        <v>2821.76</v>
      </c>
      <c r="R6" s="16">
        <f t="shared" si="2"/>
        <v>0</v>
      </c>
      <c r="S6" s="16">
        <f t="shared" si="2"/>
        <v>7196.23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1795.03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985.72</v>
      </c>
      <c r="AM6" s="16">
        <f t="shared" si="3"/>
        <v>0</v>
      </c>
      <c r="AN6" s="16">
        <f t="shared" si="3"/>
        <v>809.31</v>
      </c>
      <c r="AO6" s="16">
        <f t="shared" si="3"/>
        <v>0</v>
      </c>
      <c r="AP6" s="16">
        <f t="shared" si="3"/>
        <v>0</v>
      </c>
      <c r="AQ6" s="16">
        <f t="shared" si="3"/>
        <v>0</v>
      </c>
      <c r="AR6" s="16">
        <f t="shared" si="3"/>
        <v>0</v>
      </c>
      <c r="AS6" s="16">
        <f t="shared" si="3"/>
        <v>0</v>
      </c>
      <c r="AT6" s="20">
        <f>IF(C3="是",ROUND($A$3*AT5/$B$3,2),0)</f>
        <v>0</v>
      </c>
      <c r="AU6" s="2168"/>
      <c r="AV6" s="15" t="s">
        <v>1872</v>
      </c>
      <c r="AW6" s="2166"/>
      <c r="AX6" s="2166"/>
      <c r="AY6" s="21">
        <f>IF(AY3&gt;0,AY3,ROUND($A$3*AZ5/$B$3,2))</f>
        <v>27591.5</v>
      </c>
      <c r="AZ6" s="16" t="s">
        <v>3</v>
      </c>
      <c r="BA6" s="16">
        <f>ROUND($AY$6*BA5/$AZ$5,2)</f>
        <v>25796.47</v>
      </c>
      <c r="BB6" s="16">
        <f>ROUND($AY$6*BB5/$AZ$5,2)</f>
        <v>2954.26</v>
      </c>
      <c r="BC6" s="16">
        <f t="shared" ref="BC6:BH6" si="4">ROUND($AY$6*BC5/$AZ$5,2)</f>
        <v>2018.61</v>
      </c>
      <c r="BD6" s="16">
        <f t="shared" si="4"/>
        <v>3889.33</v>
      </c>
      <c r="BE6" s="16">
        <f t="shared" si="4"/>
        <v>6916.29</v>
      </c>
      <c r="BF6" s="16">
        <f t="shared" si="4"/>
        <v>2821.76</v>
      </c>
      <c r="BG6" s="16">
        <f t="shared" si="4"/>
        <v>7196.23</v>
      </c>
      <c r="BH6" s="16">
        <f t="shared" si="4"/>
        <v>0</v>
      </c>
      <c r="BI6" s="16">
        <f t="shared" ref="BI6:BT6" si="5">ROUND($AY$6*BI5/$AZ$5,2)</f>
        <v>0</v>
      </c>
      <c r="BJ6" s="16">
        <f t="shared" si="5"/>
        <v>0</v>
      </c>
      <c r="BK6" s="16">
        <f t="shared" si="5"/>
        <v>0</v>
      </c>
      <c r="BL6" s="16">
        <f t="shared" si="5"/>
        <v>1795.03</v>
      </c>
      <c r="BM6" s="16">
        <f t="shared" si="5"/>
        <v>0</v>
      </c>
      <c r="BN6" s="16">
        <f t="shared" si="5"/>
        <v>0</v>
      </c>
      <c r="BO6" s="16">
        <f t="shared" si="5"/>
        <v>0</v>
      </c>
      <c r="BP6" s="16">
        <f t="shared" si="5"/>
        <v>0</v>
      </c>
      <c r="BQ6" s="16">
        <f t="shared" si="5"/>
        <v>985.72</v>
      </c>
      <c r="BR6" s="16">
        <f t="shared" si="5"/>
        <v>809.31</v>
      </c>
      <c r="BS6" s="16">
        <f t="shared" si="5"/>
        <v>0</v>
      </c>
      <c r="BT6" s="22">
        <f t="shared" si="5"/>
        <v>0</v>
      </c>
    </row>
    <row r="7" spans="1:72" s="2159" customFormat="1" ht="24.75">
      <c r="A7" s="2101" t="s">
        <v>1873</v>
      </c>
      <c r="B7" s="2101" t="s">
        <v>1874</v>
      </c>
      <c r="C7" s="2101" t="s">
        <v>1875</v>
      </c>
      <c r="D7" s="2101" t="s">
        <v>1876</v>
      </c>
      <c r="E7" s="2101" t="s">
        <v>1877</v>
      </c>
      <c r="F7" s="2101" t="s">
        <v>1878</v>
      </c>
      <c r="G7" s="2170" t="s">
        <v>1879</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2"/>
      <c r="AU7" s="2171" t="s">
        <v>1880</v>
      </c>
      <c r="AV7" s="23" t="s">
        <v>1881</v>
      </c>
      <c r="AW7" s="2158" t="s">
        <v>1882</v>
      </c>
      <c r="AX7" s="23" t="s">
        <v>1875</v>
      </c>
      <c r="AY7" s="1799" t="s">
        <v>1883</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1884</v>
      </c>
      <c r="H8" s="2176" t="s">
        <v>1885</v>
      </c>
      <c r="I8" s="2177"/>
      <c r="J8" s="1814"/>
      <c r="K8" s="1814"/>
      <c r="L8" s="1814"/>
      <c r="M8" s="1814"/>
      <c r="N8" s="1814"/>
      <c r="O8" s="1814"/>
      <c r="P8" s="1814"/>
      <c r="Q8" s="1814"/>
      <c r="R8" s="1814"/>
      <c r="S8" s="1814"/>
      <c r="T8" s="1814"/>
      <c r="U8" s="1814"/>
      <c r="V8" s="2178"/>
      <c r="W8" s="1814"/>
      <c r="X8" s="1814"/>
      <c r="Y8" s="1814"/>
      <c r="Z8" s="1814"/>
      <c r="AA8" s="2178"/>
      <c r="AB8" s="2179"/>
      <c r="AC8" s="977" t="s">
        <v>1886</v>
      </c>
      <c r="AD8" s="2180"/>
      <c r="AE8" s="2172"/>
      <c r="AF8" s="1814"/>
      <c r="AG8" s="1814"/>
      <c r="AH8" s="1814"/>
      <c r="AI8" s="1814"/>
      <c r="AJ8" s="1814"/>
      <c r="AK8" s="1814"/>
      <c r="AL8" s="1814"/>
      <c r="AM8" s="1814"/>
      <c r="AN8" s="1814"/>
      <c r="AO8" s="1814"/>
      <c r="AP8" s="1814"/>
      <c r="AQ8" s="1814"/>
      <c r="AR8" s="1814"/>
      <c r="AS8" s="1814"/>
      <c r="AT8" s="1288" t="s">
        <v>1887</v>
      </c>
      <c r="AU8" s="2174" t="s">
        <v>1888</v>
      </c>
      <c r="AV8" s="1288"/>
      <c r="AW8" s="2157"/>
      <c r="AX8" s="1288"/>
      <c r="AY8" s="2158" t="s">
        <v>1889</v>
      </c>
      <c r="AZ8" s="1813" t="s">
        <v>1890</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1" customFormat="1" ht="12.75">
      <c r="A9" s="2174"/>
      <c r="B9" s="2174"/>
      <c r="C9" s="2174"/>
      <c r="D9" s="2174"/>
      <c r="E9" s="2174"/>
      <c r="F9" s="2174"/>
      <c r="G9" s="1288"/>
      <c r="H9" s="2182" t="s">
        <v>1891</v>
      </c>
      <c r="I9" s="2183" t="s">
        <v>3214</v>
      </c>
      <c r="J9" s="977"/>
      <c r="K9" s="2183" t="s">
        <v>3214</v>
      </c>
      <c r="L9" s="977"/>
      <c r="M9" s="2183" t="s">
        <v>3214</v>
      </c>
      <c r="N9" s="977"/>
      <c r="O9" s="2183" t="s">
        <v>3219</v>
      </c>
      <c r="P9" s="977"/>
      <c r="Q9" s="2183" t="s">
        <v>3219</v>
      </c>
      <c r="R9" s="977"/>
      <c r="S9" s="2183" t="s">
        <v>3214</v>
      </c>
      <c r="T9" s="977"/>
      <c r="U9" s="2183"/>
      <c r="V9" s="977"/>
      <c r="W9" s="2183"/>
      <c r="X9" s="2184"/>
      <c r="Y9" s="2183"/>
      <c r="Z9" s="977"/>
      <c r="AA9" s="2183"/>
      <c r="AB9" s="977"/>
      <c r="AC9" s="2175" t="s">
        <v>1891</v>
      </c>
      <c r="AD9" s="15" t="s">
        <v>1892</v>
      </c>
      <c r="AE9" s="1294"/>
      <c r="AF9" s="15" t="s">
        <v>1893</v>
      </c>
      <c r="AG9" s="1294"/>
      <c r="AH9" s="15" t="s">
        <v>1892</v>
      </c>
      <c r="AI9" s="1294"/>
      <c r="AJ9" s="15" t="s">
        <v>1893</v>
      </c>
      <c r="AK9" s="1294"/>
      <c r="AL9" s="15" t="s">
        <v>1892</v>
      </c>
      <c r="AM9" s="1294"/>
      <c r="AN9" s="15" t="s">
        <v>1893</v>
      </c>
      <c r="AO9" s="1294"/>
      <c r="AP9" s="15" t="s">
        <v>1892</v>
      </c>
      <c r="AQ9" s="1294"/>
      <c r="AR9" s="15" t="s">
        <v>1893</v>
      </c>
      <c r="AS9" s="2185"/>
      <c r="AT9" s="2174"/>
      <c r="AU9" s="2174" t="s">
        <v>1894</v>
      </c>
      <c r="AV9" s="1288"/>
      <c r="AW9" s="2157"/>
      <c r="AX9" s="1288"/>
      <c r="AY9" s="28"/>
      <c r="AZ9" s="28" t="s">
        <v>1884</v>
      </c>
      <c r="BA9" s="2186" t="s">
        <v>1895</v>
      </c>
      <c r="BB9" s="2187"/>
      <c r="BC9" s="1334"/>
      <c r="BD9" s="1334"/>
      <c r="BE9" s="1334"/>
      <c r="BF9" s="1334"/>
      <c r="BG9" s="1334"/>
      <c r="BH9" s="1334"/>
      <c r="BI9" s="1334"/>
      <c r="BJ9" s="1334"/>
      <c r="BK9" s="2188"/>
      <c r="BL9" s="15" t="s">
        <v>1896</v>
      </c>
      <c r="BM9" s="1814"/>
      <c r="BN9" s="2177"/>
      <c r="BO9" s="1814"/>
      <c r="BP9" s="1814"/>
      <c r="BQ9" s="1814"/>
      <c r="BR9" s="1814"/>
      <c r="BS9" s="1814"/>
      <c r="BT9" s="26"/>
    </row>
    <row r="10" spans="1:72" s="2181" customFormat="1" ht="12.75">
      <c r="A10" s="2174"/>
      <c r="B10" s="2174"/>
      <c r="C10" s="2174"/>
      <c r="D10" s="2174"/>
      <c r="E10" s="2174"/>
      <c r="F10" s="2174"/>
      <c r="G10" s="1288"/>
      <c r="H10" s="28"/>
      <c r="I10" s="2183" t="s">
        <v>1377</v>
      </c>
      <c r="J10" s="977"/>
      <c r="K10" s="2189" t="s">
        <v>1377</v>
      </c>
      <c r="L10" s="977"/>
      <c r="M10" s="2189" t="s">
        <v>1377</v>
      </c>
      <c r="N10" s="977"/>
      <c r="O10" s="2189" t="s">
        <v>1377</v>
      </c>
      <c r="P10" s="977"/>
      <c r="Q10" s="2189" t="s">
        <v>1377</v>
      </c>
      <c r="R10" s="977"/>
      <c r="S10" s="2189" t="s">
        <v>1377</v>
      </c>
      <c r="T10" s="977"/>
      <c r="U10" s="2189"/>
      <c r="V10" s="977"/>
      <c r="W10" s="2189"/>
      <c r="X10" s="977"/>
      <c r="Y10" s="2189"/>
      <c r="Z10" s="977"/>
      <c r="AA10" s="2189"/>
      <c r="AB10" s="977"/>
      <c r="AC10" s="1288"/>
      <c r="AD10" s="15" t="s">
        <v>1897</v>
      </c>
      <c r="AE10" s="2190"/>
      <c r="AF10" s="15" t="s">
        <v>1897</v>
      </c>
      <c r="AG10" s="2190"/>
      <c r="AH10" s="15" t="s">
        <v>1898</v>
      </c>
      <c r="AI10" s="2190"/>
      <c r="AJ10" s="15" t="s">
        <v>1898</v>
      </c>
      <c r="AK10" s="2190"/>
      <c r="AL10" s="15" t="s">
        <v>1899</v>
      </c>
      <c r="AM10" s="1294"/>
      <c r="AN10" s="15" t="s">
        <v>1899</v>
      </c>
      <c r="AO10" s="1294"/>
      <c r="AP10" s="15" t="s">
        <v>1900</v>
      </c>
      <c r="AQ10" s="1294"/>
      <c r="AR10" s="15" t="s">
        <v>1900</v>
      </c>
      <c r="AS10" s="1294"/>
      <c r="AT10" s="2174"/>
      <c r="AU10" s="2174"/>
      <c r="AV10" s="1288"/>
      <c r="AW10" s="2157"/>
      <c r="AX10" s="1288"/>
      <c r="AY10" s="28"/>
      <c r="AZ10" s="28"/>
      <c r="BA10" s="2191" t="s">
        <v>1891</v>
      </c>
      <c r="BB10" s="2192" t="str">
        <f>I9</f>
        <v>地上</v>
      </c>
      <c r="BC10" s="29" t="str">
        <f>K9</f>
        <v>地上</v>
      </c>
      <c r="BD10" s="29" t="str">
        <f>M9</f>
        <v>地上</v>
      </c>
      <c r="BE10" s="29" t="str">
        <f>O9</f>
        <v>地下</v>
      </c>
      <c r="BF10" s="29" t="str">
        <f>Q9</f>
        <v>地下</v>
      </c>
      <c r="BG10" s="29" t="str">
        <f>S9</f>
        <v>地上</v>
      </c>
      <c r="BH10" s="29">
        <f>U9</f>
        <v>0</v>
      </c>
      <c r="BI10" s="29">
        <f>W9</f>
        <v>0</v>
      </c>
      <c r="BJ10" s="29">
        <f>Y9</f>
        <v>0</v>
      </c>
      <c r="BK10" s="29">
        <f>AA9</f>
        <v>0</v>
      </c>
      <c r="BL10" s="25" t="s">
        <v>1891</v>
      </c>
      <c r="BM10" s="1813" t="str">
        <f>AD9</f>
        <v>地上</v>
      </c>
      <c r="BN10" s="29" t="str">
        <f>AF9</f>
        <v>地下</v>
      </c>
      <c r="BO10" s="1813" t="str">
        <f>AH9</f>
        <v>地上</v>
      </c>
      <c r="BP10" s="29" t="str">
        <f>AJ9</f>
        <v>地下</v>
      </c>
      <c r="BQ10" s="1813" t="str">
        <f>AL9</f>
        <v>地上</v>
      </c>
      <c r="BR10" s="29" t="str">
        <f>AN9</f>
        <v>地下</v>
      </c>
      <c r="BS10" s="1813" t="str">
        <f>AP9</f>
        <v>地上</v>
      </c>
      <c r="BT10" s="2193" t="str">
        <f>AR9</f>
        <v>地下</v>
      </c>
    </row>
    <row r="11" spans="1:72" s="2181" customFormat="1" ht="12.75">
      <c r="A11" s="2174"/>
      <c r="B11" s="2174"/>
      <c r="C11" s="2174"/>
      <c r="D11" s="2174"/>
      <c r="E11" s="2174"/>
      <c r="F11" s="2174"/>
      <c r="G11" s="1288"/>
      <c r="H11" s="2191"/>
      <c r="I11" s="2194" t="s">
        <v>3286</v>
      </c>
      <c r="J11" s="2195"/>
      <c r="K11" s="2194" t="s">
        <v>3215</v>
      </c>
      <c r="L11" s="2195"/>
      <c r="M11" s="2194" t="s">
        <v>3217</v>
      </c>
      <c r="N11" s="2195"/>
      <c r="O11" s="2194" t="s">
        <v>3220</v>
      </c>
      <c r="P11" s="2195"/>
      <c r="Q11" s="2194"/>
      <c r="R11" s="2195"/>
      <c r="S11" s="2194" t="s">
        <v>3285</v>
      </c>
      <c r="T11" s="2195"/>
      <c r="U11" s="2194"/>
      <c r="V11" s="2195"/>
      <c r="W11" s="2194"/>
      <c r="X11" s="2195"/>
      <c r="Y11" s="2194"/>
      <c r="Z11" s="2195"/>
      <c r="AA11" s="2194"/>
      <c r="AB11" s="2195"/>
      <c r="AC11" s="1288"/>
      <c r="AD11" s="2196" t="s">
        <v>1901</v>
      </c>
      <c r="AE11" s="1815"/>
      <c r="AF11" s="2196" t="s">
        <v>1901</v>
      </c>
      <c r="AG11" s="1815"/>
      <c r="AH11" s="2196" t="s">
        <v>1902</v>
      </c>
      <c r="AI11" s="2197"/>
      <c r="AJ11" s="2196" t="s">
        <v>1902</v>
      </c>
      <c r="AK11" s="1815"/>
      <c r="AL11" s="1813"/>
      <c r="AM11" s="1815"/>
      <c r="AN11" s="1813"/>
      <c r="AO11" s="1815"/>
      <c r="AP11" s="1813"/>
      <c r="AQ11" s="1815"/>
      <c r="AR11" s="1813"/>
      <c r="AS11" s="1815"/>
      <c r="AT11" s="2157"/>
      <c r="AU11" s="2174"/>
      <c r="AV11" s="1288"/>
      <c r="AW11" s="2157"/>
      <c r="AX11" s="1288"/>
      <c r="AY11" s="28"/>
      <c r="AZ11" s="28"/>
      <c r="BA11" s="28"/>
      <c r="BB11" s="2179" t="str">
        <f>I10</f>
        <v>商业</v>
      </c>
      <c r="BC11" s="2179" t="str">
        <f>K10</f>
        <v>商业</v>
      </c>
      <c r="BD11" s="2179" t="str">
        <f>M10</f>
        <v>商业</v>
      </c>
      <c r="BE11" s="2179" t="str">
        <f>O10</f>
        <v>商业</v>
      </c>
      <c r="BF11" s="2179" t="str">
        <f>Q10</f>
        <v>商业</v>
      </c>
      <c r="BG11" s="2179" t="str">
        <f>S10</f>
        <v>商业</v>
      </c>
      <c r="BH11" s="2179">
        <f>U10</f>
        <v>0</v>
      </c>
      <c r="BI11" s="2179">
        <f>W10</f>
        <v>0</v>
      </c>
      <c r="BJ11" s="2179">
        <f>Y10</f>
        <v>0</v>
      </c>
      <c r="BK11" s="2179">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8" t="s">
        <v>1904</v>
      </c>
      <c r="W12" s="11" t="s">
        <v>1903</v>
      </c>
      <c r="X12" s="11" t="s">
        <v>1904</v>
      </c>
      <c r="Y12" s="11" t="s">
        <v>1903</v>
      </c>
      <c r="Z12" s="11" t="s">
        <v>1904</v>
      </c>
      <c r="AA12" s="11" t="s">
        <v>1903</v>
      </c>
      <c r="AB12" s="11" t="s">
        <v>1904</v>
      </c>
      <c r="AC12" s="2201"/>
      <c r="AD12" s="180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9" t="s">
        <v>1904</v>
      </c>
      <c r="AT12" s="2202"/>
      <c r="AU12" s="2199"/>
      <c r="AV12" s="31"/>
      <c r="AW12" s="2158"/>
      <c r="AX12" s="31"/>
      <c r="AY12" s="2203"/>
      <c r="AZ12" s="28"/>
      <c r="BA12" s="2191"/>
      <c r="BB12" s="24" t="str">
        <f>I11</f>
        <v>商业街</v>
      </c>
      <c r="BC12" s="2204" t="str">
        <f>K11</f>
        <v>Loft办公</v>
      </c>
      <c r="BD12" s="2204" t="str">
        <f>M11</f>
        <v>商住公寓</v>
      </c>
      <c r="BE12" s="2179" t="str">
        <f>O11</f>
        <v>车库</v>
      </c>
      <c r="BF12" s="2179">
        <f>Q11</f>
        <v>0</v>
      </c>
      <c r="BG12" s="2179" t="str">
        <f>S11</f>
        <v>独立商业</v>
      </c>
      <c r="BH12" s="2179">
        <f>U11</f>
        <v>0</v>
      </c>
      <c r="BI12" s="2179">
        <f>W11</f>
        <v>0</v>
      </c>
      <c r="BJ12" s="2179">
        <f>Y11</f>
        <v>0</v>
      </c>
      <c r="BK12" s="2179">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1268"/>
      <c r="C13" s="1268"/>
      <c r="D13" s="2205" t="s">
        <v>3221</v>
      </c>
      <c r="E13" s="16">
        <f>IF($C$3="是",ROUND($A$3*G13/$B$3,2),ROUND($A$3*(G13-AT13)/$B$3,2))</f>
        <v>2954.26</v>
      </c>
      <c r="F13" s="32"/>
      <c r="G13" s="33">
        <f>H13+AC13+AT13</f>
        <v>11954.21</v>
      </c>
      <c r="H13" s="20">
        <f>SUMIF(I$12:AB$12,"总值",I13:AB13)</f>
        <v>11954.21</v>
      </c>
      <c r="I13" s="2206">
        <f>SUM(实测整理!I2+实测整理!I3+实测整理!I6+实测整理!I8)</f>
        <v>11954.21</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802">
        <f>ROUND($AY$6*AZ13/$AZ$5,2)</f>
        <v>2954.26</v>
      </c>
      <c r="AZ13" s="16">
        <f>BA13+BL13</f>
        <v>11954.21</v>
      </c>
      <c r="BA13" s="16">
        <f>SUM(BB13:BK13)</f>
        <v>11954.21</v>
      </c>
      <c r="BB13" s="16">
        <f>IF($D13="是",I13-J13,0)</f>
        <v>11954.21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8"/>
      <c r="B14" s="1268"/>
      <c r="C14" s="2145"/>
      <c r="D14" s="2205" t="s">
        <v>3221</v>
      </c>
      <c r="E14" s="16">
        <f>IF($C$3="是",ROUND($A$3*G14/$B$3,2),ROUND($A$3*(G14-AT14)/$B$3,2))</f>
        <v>2018.61</v>
      </c>
      <c r="F14" s="32"/>
      <c r="G14" s="33">
        <f>H14+AC14+AT14</f>
        <v>8168.1599999999971</v>
      </c>
      <c r="H14" s="20">
        <f>SUMIF(I$12:AB$12,"总值",I14:AB14)</f>
        <v>8168.1599999999971</v>
      </c>
      <c r="I14" s="2206"/>
      <c r="J14" s="2206"/>
      <c r="K14" s="2206">
        <f>SUM(实测整理!I5+实测整理!I7)</f>
        <v>8168.1599999999971</v>
      </c>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2">
        <f>ROUND($AY$6*AZ14/$AZ$5,2)</f>
        <v>2018.61</v>
      </c>
      <c r="AZ14" s="16">
        <f>BA14+BL14</f>
        <v>8168.1599999999971</v>
      </c>
      <c r="BA14" s="16">
        <f>SUM(BB14:BK14)</f>
        <v>8168.1599999999971</v>
      </c>
      <c r="BB14" s="16">
        <f>IF($D14="是",I14-J14,0)</f>
        <v>0</v>
      </c>
      <c r="BC14" s="16">
        <f>IF($D14="是",K14-L14,0)</f>
        <v>8168.1599999999971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145"/>
      <c r="D15" s="2205" t="s">
        <v>3221</v>
      </c>
      <c r="E15" s="16">
        <f>IF($C$3="是",ROUND($A$3*G15/$B$3,2),ROUND($A$3*(G15-AT15)/$B$3,2))</f>
        <v>3889.33</v>
      </c>
      <c r="F15" s="32"/>
      <c r="G15" s="33">
        <f>H15+AC15+AT15</f>
        <v>15737.87</v>
      </c>
      <c r="H15" s="20">
        <f>SUMIF(I$12:AB$12,"总值",I15:AB15)</f>
        <v>15737.87</v>
      </c>
      <c r="I15" s="2206"/>
      <c r="J15" s="2206"/>
      <c r="K15" s="2206"/>
      <c r="L15" s="2206"/>
      <c r="M15" s="2206">
        <f>SUM(实测整理!I4+实测整理!I10)</f>
        <v>15737.87</v>
      </c>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2">
        <f>ROUND($AY$6*AZ15/$AZ$5,2)</f>
        <v>3889.33</v>
      </c>
      <c r="AZ15" s="16">
        <f>BA15+BL15</f>
        <v>15737.87</v>
      </c>
      <c r="BA15" s="16">
        <f>SUM(BB15:BK15)</f>
        <v>15737.87</v>
      </c>
      <c r="BB15" s="16">
        <f>IF($D15="是",I15-J15,0)</f>
        <v>0</v>
      </c>
      <c r="BC15" s="16">
        <f>IF($D15="是",K15-L15,0)</f>
        <v>0</v>
      </c>
      <c r="BD15" s="16">
        <f>IF($D15="是",M15-N15,0)</f>
        <v>15737.87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145"/>
      <c r="D16" s="2205" t="s">
        <v>3221</v>
      </c>
      <c r="E16" s="16">
        <f>IF($C$3="是",ROUND($A$3*G16/$B$3,2),ROUND($A$3*(G16-AT16)/$B$3,2))</f>
        <v>6916.29</v>
      </c>
      <c r="F16" s="32"/>
      <c r="G16" s="33">
        <f>H16+AC16+AT16</f>
        <v>27986.240000000002</v>
      </c>
      <c r="H16" s="20">
        <f>SUMIF(I$12:AB$12,"总值",I16:AB16)</f>
        <v>27986.240000000002</v>
      </c>
      <c r="I16" s="2206"/>
      <c r="J16" s="2206"/>
      <c r="K16" s="2206"/>
      <c r="L16" s="2206"/>
      <c r="M16" s="2206"/>
      <c r="N16" s="2206"/>
      <c r="O16" s="2206">
        <f>实测整理!I13</f>
        <v>27986.240000000002</v>
      </c>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2">
        <f>ROUND($AY$6*AZ16/$AZ$5,2)</f>
        <v>6916.29</v>
      </c>
      <c r="AZ16" s="16">
        <f>BA16+BL16</f>
        <v>27986.240000000002</v>
      </c>
      <c r="BA16" s="16">
        <f>SUM(BB16:BK16)</f>
        <v>27986.240000000002</v>
      </c>
      <c r="BB16" s="16">
        <f>IF($D16="是",I16-J16,0)</f>
        <v>0</v>
      </c>
      <c r="BC16" s="16">
        <f>IF($D16="是",K16-L16,0)</f>
        <v>0</v>
      </c>
      <c r="BD16" s="16">
        <f>IF($D16="是",M16-N16,0)</f>
        <v>0</v>
      </c>
      <c r="BE16" s="16">
        <f>IF($D16="是",O16-P16,0)</f>
        <v>27986.240000000002</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t="s">
        <v>3221</v>
      </c>
      <c r="E17" s="16">
        <f>IF($C$3="是",ROUND($A$3*G17/$B$3,2),ROUND($A$3*(G17-AT17)/$B$3,2))</f>
        <v>2821.76</v>
      </c>
      <c r="F17" s="32"/>
      <c r="G17" s="33">
        <f>H17+AC17+AT17</f>
        <v>11418.03</v>
      </c>
      <c r="H17" s="20">
        <f>SUMIF(I$12:AB$12,"总值",I17:AB17)</f>
        <v>11418.03</v>
      </c>
      <c r="I17" s="2206"/>
      <c r="J17" s="2206"/>
      <c r="K17" s="2206"/>
      <c r="L17" s="2206"/>
      <c r="M17" s="2206"/>
      <c r="N17" s="2206"/>
      <c r="O17" s="2206"/>
      <c r="P17" s="2206"/>
      <c r="Q17" s="2206">
        <f>实测整理!I12</f>
        <v>11418.03</v>
      </c>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2">
        <f>ROUND($AY$6*AZ17/$AZ$5,2)</f>
        <v>2821.76</v>
      </c>
      <c r="AZ17" s="16">
        <f>BA17+BL17</f>
        <v>11418.03</v>
      </c>
      <c r="BA17" s="16">
        <f>SUM(BB17:BK17)</f>
        <v>11418.03</v>
      </c>
      <c r="BB17" s="16">
        <f>IF($D17="是",I17-J17,0)</f>
        <v>0</v>
      </c>
      <c r="BC17" s="16">
        <f>IF($D17="是",K17-L17,0)</f>
        <v>0</v>
      </c>
      <c r="BD17" s="16">
        <f>IF($D17="是",M17-N17,0)</f>
        <v>0</v>
      </c>
      <c r="BE17" s="16">
        <f>IF($D17="是",O17-P17,0)</f>
        <v>0</v>
      </c>
      <c r="BF17" s="16">
        <f>IF($D17="是",Q17-R17,0)</f>
        <v>11418.03</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72" t="s">
        <v>3221</v>
      </c>
      <c r="E18" s="16">
        <f t="shared" ref="E18:E112" si="7">IF($C$3="是",ROUND($A$3*G18/$B$3,2),ROUND($A$3*(G18-AT18)/$B$3,2))</f>
        <v>1795.03</v>
      </c>
      <c r="F18" s="32"/>
      <c r="G18" s="33">
        <f t="shared" ref="G18:G109" si="8">H18+AC18+AT18</f>
        <v>7263.44</v>
      </c>
      <c r="H18" s="20">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7263.44</v>
      </c>
      <c r="AD18" s="40"/>
      <c r="AE18" s="40"/>
      <c r="AF18" s="40"/>
      <c r="AG18" s="40"/>
      <c r="AH18" s="40"/>
      <c r="AI18" s="40"/>
      <c r="AJ18" s="40"/>
      <c r="AK18" s="40"/>
      <c r="AL18" s="2207">
        <f>实测整理!D3+实测整理!D6+实测整理!D8+实测整理!D9+实测整理!I11+实测整理!I14</f>
        <v>3988.6399999999994</v>
      </c>
      <c r="AM18" s="2207"/>
      <c r="AN18" s="2207">
        <f>实测整理!D12-'数据-基础表'!AT19</f>
        <v>3274.8</v>
      </c>
      <c r="AO18" s="40"/>
      <c r="AP18" s="40"/>
      <c r="AQ18" s="40"/>
      <c r="AR18" s="40"/>
      <c r="AS18" s="40"/>
      <c r="AT18" s="41"/>
      <c r="AU18" s="2211"/>
      <c r="AV18" s="1791">
        <f t="shared" ref="AV18:AV112" si="11">A18</f>
        <v>0</v>
      </c>
      <c r="AW18" s="1791">
        <f t="shared" ref="AW18:AW112" si="12">B18</f>
        <v>0</v>
      </c>
      <c r="AX18" s="1791">
        <f t="shared" ref="AX18:AX112" si="13">C18</f>
        <v>0</v>
      </c>
      <c r="AY18" s="42">
        <f t="shared" ref="AY18:AY109" si="14">ROUND($AY$6*AZ18/$AZ$5,2)</f>
        <v>1795.03</v>
      </c>
      <c r="AZ18" s="35">
        <f t="shared" ref="AZ18:AZ109" si="15">BA18+BL18</f>
        <v>7263.44</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7263.44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3988.6399999999994</v>
      </c>
      <c r="BR18" s="35">
        <f t="shared" ref="BR18:BR109" si="33">IF($D18="是",AN18-AO18,0)</f>
        <v>3274.8</v>
      </c>
      <c r="BS18" s="35">
        <f t="shared" ref="BS18:BS109" si="34">IF($D18="是",AP18-AQ18,0)</f>
        <v>0</v>
      </c>
      <c r="BT18" s="43">
        <f t="shared" ref="BT18:BT109" si="35">IF($D18="是",AR18-AS18,0)</f>
        <v>0</v>
      </c>
    </row>
    <row r="19" spans="1:72">
      <c r="A19" s="9"/>
      <c r="B19" s="34"/>
      <c r="C19" s="34"/>
      <c r="D19" s="2972" t="s">
        <v>3221</v>
      </c>
      <c r="E19" s="16">
        <f t="shared" si="7"/>
        <v>0</v>
      </c>
      <c r="F19" s="32"/>
      <c r="G19" s="33">
        <f t="shared" si="8"/>
        <v>4361.66</v>
      </c>
      <c r="H19" s="20">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2208">
        <v>4361.66</v>
      </c>
      <c r="AU19" s="2211"/>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72" t="s">
        <v>3221</v>
      </c>
      <c r="E20" s="16">
        <f t="shared" si="7"/>
        <v>7196.23</v>
      </c>
      <c r="F20" s="32"/>
      <c r="G20" s="33">
        <f t="shared" si="8"/>
        <v>29119</v>
      </c>
      <c r="H20" s="20">
        <f t="shared" si="9"/>
        <v>29119</v>
      </c>
      <c r="I20" s="39"/>
      <c r="J20" s="39"/>
      <c r="K20" s="39"/>
      <c r="L20" s="39"/>
      <c r="M20" s="39"/>
      <c r="N20" s="39"/>
      <c r="O20" s="39"/>
      <c r="P20" s="39"/>
      <c r="Q20" s="39"/>
      <c r="R20" s="39"/>
      <c r="S20" s="2206">
        <f>实测整理!G9</f>
        <v>29119</v>
      </c>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1">
        <f t="shared" si="11"/>
        <v>0</v>
      </c>
      <c r="AW20" s="1791">
        <f t="shared" si="12"/>
        <v>0</v>
      </c>
      <c r="AX20" s="1791">
        <f t="shared" si="13"/>
        <v>0</v>
      </c>
      <c r="AY20" s="42">
        <f t="shared" si="14"/>
        <v>7196.23</v>
      </c>
      <c r="AZ20" s="35">
        <f t="shared" si="15"/>
        <v>29119</v>
      </c>
      <c r="BA20" s="35">
        <f t="shared" si="16"/>
        <v>29119</v>
      </c>
      <c r="BB20" s="35">
        <f t="shared" si="17"/>
        <v>0</v>
      </c>
      <c r="BC20" s="35">
        <f t="shared" si="18"/>
        <v>0</v>
      </c>
      <c r="BD20" s="35">
        <f t="shared" si="19"/>
        <v>0</v>
      </c>
      <c r="BE20" s="35">
        <f t="shared" si="20"/>
        <v>0</v>
      </c>
      <c r="BF20" s="35">
        <f t="shared" si="21"/>
        <v>0</v>
      </c>
      <c r="BG20" s="35">
        <f t="shared" si="22"/>
        <v>29119</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8" sqref="D38"/>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1930</v>
      </c>
      <c r="B1" s="1388"/>
      <c r="C1" s="1388"/>
      <c r="D1" s="1388"/>
      <c r="E1" s="1388"/>
      <c r="F1" s="1388"/>
      <c r="G1" s="1388"/>
      <c r="H1" s="1388"/>
      <c r="I1" s="1388"/>
      <c r="J1" s="1388"/>
      <c r="K1" s="1388"/>
      <c r="L1" s="1388"/>
      <c r="M1" s="1388"/>
      <c r="N1" s="1388"/>
      <c r="O1" s="1388"/>
      <c r="P1" s="1388"/>
    </row>
    <row r="2" spans="1:16" ht="15">
      <c r="A2" s="3092" t="s">
        <v>1931</v>
      </c>
      <c r="B2" s="3092"/>
      <c r="C2" s="3092"/>
      <c r="D2" s="963" t="s">
        <v>1907</v>
      </c>
      <c r="E2" s="2219" t="s">
        <v>1908</v>
      </c>
      <c r="F2" s="1388"/>
      <c r="G2" s="2220"/>
      <c r="H2" s="2221"/>
      <c r="I2" s="2222" t="s">
        <v>1932</v>
      </c>
      <c r="J2" s="1388"/>
      <c r="K2" s="1388"/>
      <c r="L2" s="1388"/>
      <c r="M2" s="1388"/>
      <c r="N2" s="1423"/>
      <c r="O2" s="1388"/>
      <c r="P2" s="1388"/>
    </row>
    <row r="3" spans="1:16" ht="15.75" thickBot="1">
      <c r="A3" s="3093" t="s">
        <v>1905</v>
      </c>
      <c r="B3" s="3093"/>
      <c r="C3" s="3093"/>
      <c r="D3" s="46">
        <f>'数据-基础表'!AY6</f>
        <v>27591.5</v>
      </c>
      <c r="E3" s="46">
        <f>'数据-基础表'!AZ5</f>
        <v>111646.95</v>
      </c>
      <c r="F3" s="1388"/>
      <c r="G3" s="1395"/>
      <c r="H3" s="1243" t="s">
        <v>1906</v>
      </c>
      <c r="I3" s="55">
        <f>ROUND('数据-基础表'!B3/'数据-基础表'!A3,2)</f>
        <v>4.05</v>
      </c>
      <c r="J3" s="1388"/>
      <c r="K3" s="1388"/>
      <c r="L3" s="1388"/>
      <c r="M3" s="1388"/>
      <c r="N3" s="1423"/>
      <c r="O3" s="1388"/>
      <c r="P3" s="1388"/>
    </row>
    <row r="4" spans="1:16" ht="15">
      <c r="A4" s="3094"/>
      <c r="B4" s="3095"/>
      <c r="C4" s="3096"/>
      <c r="D4" s="2223" t="s">
        <v>1907</v>
      </c>
      <c r="E4" s="2224" t="s">
        <v>1908</v>
      </c>
      <c r="F4" s="1388"/>
      <c r="G4" s="2225" t="s">
        <v>1933</v>
      </c>
      <c r="H4" s="1243" t="s">
        <v>1913</v>
      </c>
      <c r="I4" s="55">
        <f>ROUND(SUMIF('数据-基础表'!I9:AS9,"地上",'数据-基础表'!I5:AS5)/'数据-基础表'!A3,2)</f>
        <v>2.41</v>
      </c>
      <c r="J4" s="1388"/>
      <c r="K4" s="1388"/>
      <c r="L4" s="1388"/>
      <c r="M4" s="1388"/>
      <c r="N4" s="1423"/>
      <c r="O4" s="1388"/>
      <c r="P4" s="1388"/>
    </row>
    <row r="5" spans="1:16">
      <c r="A5" s="47" t="s">
        <v>1909</v>
      </c>
      <c r="B5" s="3097" t="s">
        <v>1910</v>
      </c>
      <c r="C5" s="3097"/>
      <c r="D5" s="48">
        <f>ROUND($D$3*E5/$E$3,2)</f>
        <v>0</v>
      </c>
      <c r="E5" s="49">
        <f>SUMIF('数据-基础表'!$11:$11,"住宅",'数据-基础表'!$5:$5)</f>
        <v>0</v>
      </c>
      <c r="F5" s="1388"/>
      <c r="G5" s="1395"/>
      <c r="H5" s="1243" t="s">
        <v>1906</v>
      </c>
      <c r="I5" s="55">
        <f>ROUND(E31/D31,2)</f>
        <v>4.05</v>
      </c>
      <c r="J5" s="1388"/>
      <c r="K5" s="1388"/>
      <c r="L5" s="1388"/>
      <c r="M5" s="1388"/>
      <c r="N5" s="1388"/>
      <c r="O5" s="1388"/>
      <c r="P5" s="1388"/>
    </row>
    <row r="6" spans="1:16" ht="15" thickBot="1">
      <c r="A6" s="2226"/>
      <c r="B6" s="3097" t="s">
        <v>1911</v>
      </c>
      <c r="C6" s="3097"/>
      <c r="D6" s="48">
        <f>ROUND($D$3*E6/$E$3,2)</f>
        <v>27591.5</v>
      </c>
      <c r="E6" s="49">
        <f>E3-E5</f>
        <v>111646.95</v>
      </c>
      <c r="F6" s="1388"/>
      <c r="G6" s="2227" t="s">
        <v>1912</v>
      </c>
      <c r="H6" s="1395" t="s">
        <v>1913</v>
      </c>
      <c r="I6" s="935">
        <f>ROUND(F31/D31,2)</f>
        <v>2.5</v>
      </c>
      <c r="J6" s="1388"/>
      <c r="K6" s="1388"/>
      <c r="L6" s="1388"/>
      <c r="M6" s="1388"/>
      <c r="N6" s="1388"/>
      <c r="O6" s="1388"/>
      <c r="P6" s="1388"/>
    </row>
    <row r="7" spans="1:16" ht="15">
      <c r="A7" s="3089"/>
      <c r="B7" s="3090"/>
      <c r="C7" s="3091"/>
      <c r="D7" s="2223" t="s">
        <v>1907</v>
      </c>
      <c r="E7" s="2228" t="s">
        <v>1914</v>
      </c>
      <c r="F7" s="1388"/>
      <c r="G7" s="2220" t="s">
        <v>1915</v>
      </c>
      <c r="H7" s="64"/>
      <c r="I7" s="419"/>
      <c r="J7" s="1388"/>
      <c r="K7" s="1388"/>
      <c r="L7" s="1388"/>
      <c r="M7" s="1388"/>
      <c r="N7" s="1388"/>
      <c r="O7" s="1388"/>
      <c r="P7" s="1388"/>
    </row>
    <row r="8" spans="1:16">
      <c r="A8" s="47" t="s">
        <v>1916</v>
      </c>
      <c r="B8" s="50" t="s">
        <v>1917</v>
      </c>
      <c r="C8" s="48" t="s">
        <v>1918</v>
      </c>
      <c r="D8" s="48">
        <f t="shared" ref="D8:D15" si="0">ROUND($D$3*E8/$E$3,2)</f>
        <v>16058.43</v>
      </c>
      <c r="E8" s="51">
        <f>SUMIF('数据-基础表'!BB10:BK10,"地上",'数据-基础表'!BB5:BK5)</f>
        <v>64979.24</v>
      </c>
      <c r="F8" s="1388"/>
      <c r="G8" s="2229"/>
      <c r="H8" s="2229"/>
      <c r="I8" s="1388"/>
      <c r="J8" s="1388"/>
      <c r="K8" s="1388"/>
      <c r="L8" s="1388"/>
      <c r="M8" s="1388"/>
      <c r="N8" s="1388"/>
      <c r="O8" s="1388"/>
      <c r="P8" s="1388"/>
    </row>
    <row r="9" spans="1:16">
      <c r="A9" s="2230"/>
      <c r="B9" s="2231"/>
      <c r="C9" s="48" t="s">
        <v>1919</v>
      </c>
      <c r="D9" s="48">
        <f t="shared" si="0"/>
        <v>0</v>
      </c>
      <c r="E9" s="52">
        <v>0</v>
      </c>
      <c r="F9" s="1388"/>
      <c r="G9" s="2229"/>
      <c r="H9" s="2229"/>
      <c r="I9" s="1388"/>
      <c r="J9" s="1388"/>
      <c r="K9" s="1388"/>
      <c r="L9" s="1388"/>
      <c r="M9" s="1388"/>
      <c r="N9" s="1388"/>
      <c r="O9" s="1388"/>
      <c r="P9" s="1388"/>
    </row>
    <row r="10" spans="1:16">
      <c r="A10" s="2230"/>
      <c r="B10" s="2231"/>
      <c r="C10" s="48" t="s">
        <v>1928</v>
      </c>
      <c r="D10" s="48">
        <f t="shared" si="0"/>
        <v>9738.0400000000009</v>
      </c>
      <c r="E10" s="51">
        <f>SUMPRODUCT(('数据-基础表'!BB10:BK10="地下")*('数据-基础表'!BB11:BK11="商业")*('数据-基础表'!BB5:BK5))</f>
        <v>39404.270000000004</v>
      </c>
      <c r="F10" s="1388"/>
      <c r="G10" s="2229"/>
      <c r="H10" s="2229"/>
      <c r="I10" s="1388"/>
      <c r="J10" s="1388"/>
      <c r="K10" s="1388"/>
      <c r="L10" s="1388"/>
      <c r="M10" s="1388"/>
      <c r="N10" s="1388"/>
      <c r="O10" s="1388"/>
      <c r="P10" s="1388"/>
    </row>
    <row r="11" spans="1:16">
      <c r="A11" s="2230"/>
      <c r="B11" s="2231"/>
      <c r="C11" s="48" t="s">
        <v>1920</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1921</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1922</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1934</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1929</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1923</v>
      </c>
      <c r="D16" s="50">
        <f>SUM(D8:D15)</f>
        <v>25796.47</v>
      </c>
      <c r="E16" s="53">
        <f>SUM(E8:E15)</f>
        <v>104383.51000000001</v>
      </c>
      <c r="F16" s="1388"/>
      <c r="G16" s="2229"/>
      <c r="H16" s="2232" t="s">
        <v>1935</v>
      </c>
      <c r="I16" s="2233"/>
      <c r="J16" s="1388"/>
      <c r="K16" s="3086" t="s">
        <v>1935</v>
      </c>
      <c r="L16" s="3087"/>
      <c r="M16" s="3087"/>
      <c r="N16" s="3087"/>
      <c r="O16" s="3087"/>
      <c r="P16" s="3088"/>
    </row>
    <row r="17" spans="1:19" ht="15">
      <c r="A17" s="2234" t="s">
        <v>1936</v>
      </c>
      <c r="B17" s="2235" t="s">
        <v>1937</v>
      </c>
      <c r="C17" s="2236" t="s">
        <v>1938</v>
      </c>
      <c r="D17" s="2237" t="s">
        <v>1926</v>
      </c>
      <c r="E17" s="2238" t="s">
        <v>1927</v>
      </c>
      <c r="F17" s="2239"/>
      <c r="G17" s="2240"/>
      <c r="H17" s="2241" t="s">
        <v>1939</v>
      </c>
      <c r="I17" s="2242" t="s">
        <v>1924</v>
      </c>
      <c r="J17" s="1388"/>
      <c r="K17" s="3083" t="s">
        <v>1940</v>
      </c>
      <c r="L17" s="3084"/>
      <c r="M17" s="3085"/>
      <c r="N17" s="3083" t="s">
        <v>1941</v>
      </c>
      <c r="O17" s="3084"/>
      <c r="P17" s="3085"/>
      <c r="R17" s="2220" t="s">
        <v>1942</v>
      </c>
      <c r="S17" s="64"/>
    </row>
    <row r="18" spans="1:19" ht="15">
      <c r="A18" s="2230"/>
      <c r="B18" s="2243"/>
      <c r="C18" s="2244"/>
      <c r="D18" s="2245"/>
      <c r="E18" s="2246" t="s">
        <v>1943</v>
      </c>
      <c r="F18" s="2247" t="s">
        <v>1944</v>
      </c>
      <c r="G18" s="2248" t="s">
        <v>1945</v>
      </c>
      <c r="H18" s="1258" t="s">
        <v>1946</v>
      </c>
      <c r="I18" s="2249" t="s">
        <v>1947</v>
      </c>
      <c r="J18" s="1388"/>
      <c r="K18" s="1258" t="s">
        <v>1948</v>
      </c>
      <c r="L18" s="2250" t="s">
        <v>1949</v>
      </c>
      <c r="M18" s="1042" t="s">
        <v>1950</v>
      </c>
      <c r="N18" s="1258" t="s">
        <v>1948</v>
      </c>
      <c r="O18" s="2250" t="s">
        <v>1949</v>
      </c>
      <c r="P18" s="1042" t="s">
        <v>1950</v>
      </c>
      <c r="R18" s="1243" t="s">
        <v>1951</v>
      </c>
      <c r="S18" s="1243" t="s">
        <v>1952</v>
      </c>
    </row>
    <row r="19" spans="1:19">
      <c r="A19" s="2251"/>
      <c r="B19" s="50" t="s">
        <v>1925</v>
      </c>
      <c r="C19" s="2953" t="s">
        <v>3287</v>
      </c>
      <c r="D19" s="48">
        <f>ROUND($D$3*E19/$E$3,2)</f>
        <v>2954.26</v>
      </c>
      <c r="E19" s="56">
        <f t="shared" ref="E19:E26" si="1">SUM(F19:G19)</f>
        <v>11954.21</v>
      </c>
      <c r="F19" s="57">
        <f>'数据-基础表'!I13</f>
        <v>11954.21</v>
      </c>
      <c r="G19" s="58"/>
      <c r="H19" s="722">
        <f>ROUND($D$3*I19/$E$3,2)</f>
        <v>205.57</v>
      </c>
      <c r="I19" s="51">
        <f t="shared" ref="I19:I26" si="2">IF($I$17="自定义",P19,M19)</f>
        <v>831.82</v>
      </c>
      <c r="J19" s="1388"/>
      <c r="K19" s="1387">
        <f t="shared" ref="K19:K26" si="3">ROUND(E$28*E19/E$27,2)</f>
        <v>831.82</v>
      </c>
      <c r="L19" s="1243">
        <f t="shared" ref="L19:L26" si="4">ROUND(IF(COUNTIF(C19,"*住宅*")&gt;0,E$29*E19/E$32,0),2)</f>
        <v>0</v>
      </c>
      <c r="M19" s="1399">
        <f>K19+L19</f>
        <v>831.82</v>
      </c>
      <c r="N19" s="2253"/>
      <c r="O19" s="2254"/>
      <c r="P19" s="1399">
        <f>N19+O19</f>
        <v>0</v>
      </c>
      <c r="R19" s="1243">
        <f t="shared" ref="R19:S26" si="5">D19+H19</f>
        <v>3159.8300000000004</v>
      </c>
      <c r="S19" s="1244">
        <f t="shared" si="5"/>
        <v>12786.029999999999</v>
      </c>
    </row>
    <row r="20" spans="1:19">
      <c r="A20" s="2255"/>
      <c r="B20" s="50" t="s">
        <v>1953</v>
      </c>
      <c r="C20" s="2252" t="s">
        <v>3222</v>
      </c>
      <c r="D20" s="48">
        <f t="shared" ref="D20:D26" si="6">ROUND($D$3*E20/$E$3,2)</f>
        <v>2018.61</v>
      </c>
      <c r="E20" s="56">
        <f t="shared" si="1"/>
        <v>8168.1599999999971</v>
      </c>
      <c r="F20" s="57">
        <f>'数据-基础表'!K14</f>
        <v>8168.1599999999971</v>
      </c>
      <c r="G20" s="58"/>
      <c r="H20" s="722">
        <f t="shared" ref="H20:H26" si="7">ROUND($D$3*I20/$E$3,2)</f>
        <v>140.46</v>
      </c>
      <c r="I20" s="51">
        <f t="shared" si="2"/>
        <v>568.37</v>
      </c>
      <c r="J20" s="1388"/>
      <c r="K20" s="1387">
        <f t="shared" si="3"/>
        <v>568.37</v>
      </c>
      <c r="L20" s="1243">
        <f t="shared" si="4"/>
        <v>0</v>
      </c>
      <c r="M20" s="1399">
        <f t="shared" ref="M20:M26" si="8">K20+L20</f>
        <v>568.37</v>
      </c>
      <c r="N20" s="2253"/>
      <c r="O20" s="2254"/>
      <c r="P20" s="1399">
        <f t="shared" ref="P20:P26" si="9">N20+O20</f>
        <v>0</v>
      </c>
      <c r="R20" s="1243">
        <f t="shared" si="5"/>
        <v>2159.0699999999997</v>
      </c>
      <c r="S20" s="1244">
        <f t="shared" si="5"/>
        <v>8736.529999999997</v>
      </c>
    </row>
    <row r="21" spans="1:19">
      <c r="A21" s="2255"/>
      <c r="B21" s="50" t="s">
        <v>1953</v>
      </c>
      <c r="C21" s="2953" t="s">
        <v>3356</v>
      </c>
      <c r="D21" s="48">
        <f t="shared" si="6"/>
        <v>3889.33</v>
      </c>
      <c r="E21" s="56">
        <f t="shared" si="1"/>
        <v>15737.87</v>
      </c>
      <c r="F21" s="57">
        <f>'数据-基础表'!M15</f>
        <v>15737.87</v>
      </c>
      <c r="G21" s="58"/>
      <c r="H21" s="722">
        <f t="shared" si="7"/>
        <v>270.64</v>
      </c>
      <c r="I21" s="51">
        <f t="shared" si="2"/>
        <v>1095.1099999999999</v>
      </c>
      <c r="J21" s="1388"/>
      <c r="K21" s="1387">
        <f t="shared" si="3"/>
        <v>1095.1099999999999</v>
      </c>
      <c r="L21" s="1243">
        <f t="shared" si="4"/>
        <v>0</v>
      </c>
      <c r="M21" s="1399">
        <f t="shared" si="8"/>
        <v>1095.1099999999999</v>
      </c>
      <c r="N21" s="2253"/>
      <c r="O21" s="2254"/>
      <c r="P21" s="1399">
        <f t="shared" si="9"/>
        <v>0</v>
      </c>
      <c r="R21" s="1243">
        <f t="shared" si="5"/>
        <v>4159.97</v>
      </c>
      <c r="S21" s="1244">
        <f t="shared" si="5"/>
        <v>16832.98</v>
      </c>
    </row>
    <row r="22" spans="1:19">
      <c r="A22" s="2255"/>
      <c r="B22" s="50" t="s">
        <v>1953</v>
      </c>
      <c r="C22" s="2954" t="s">
        <v>3223</v>
      </c>
      <c r="D22" s="48">
        <f t="shared" si="6"/>
        <v>6916.29</v>
      </c>
      <c r="E22" s="56">
        <f t="shared" si="1"/>
        <v>27986.240000000002</v>
      </c>
      <c r="F22" s="61"/>
      <c r="G22" s="62">
        <f>'数据-基础表'!O16</f>
        <v>27986.240000000002</v>
      </c>
      <c r="H22" s="722">
        <f t="shared" si="7"/>
        <v>481.26</v>
      </c>
      <c r="I22" s="51">
        <f t="shared" si="2"/>
        <v>1947.4</v>
      </c>
      <c r="J22" s="1388"/>
      <c r="K22" s="1387">
        <f t="shared" si="3"/>
        <v>1947.4</v>
      </c>
      <c r="L22" s="1243">
        <f t="shared" si="4"/>
        <v>0</v>
      </c>
      <c r="M22" s="1399">
        <f t="shared" si="8"/>
        <v>1947.4</v>
      </c>
      <c r="N22" s="2253"/>
      <c r="O22" s="2254"/>
      <c r="P22" s="1399">
        <f t="shared" si="9"/>
        <v>0</v>
      </c>
      <c r="R22" s="1243">
        <f t="shared" si="5"/>
        <v>7397.55</v>
      </c>
      <c r="S22" s="1244">
        <f t="shared" si="5"/>
        <v>29933.640000000003</v>
      </c>
    </row>
    <row r="23" spans="1:19">
      <c r="A23" s="2255"/>
      <c r="B23" s="50" t="s">
        <v>1953</v>
      </c>
      <c r="C23" s="2954" t="s">
        <v>3224</v>
      </c>
      <c r="D23" s="48">
        <f>ROUND($D$3*E23/$E$3,2)</f>
        <v>2821.76</v>
      </c>
      <c r="E23" s="56">
        <f>SUM(F23:G23)</f>
        <v>11418.03</v>
      </c>
      <c r="F23" s="61"/>
      <c r="G23" s="62">
        <f>'数据-基础表'!Q17</f>
        <v>11418.03</v>
      </c>
      <c r="H23" s="722">
        <f>ROUND($D$3*I23/$E$3,2)</f>
        <v>196.35</v>
      </c>
      <c r="I23" s="51">
        <f t="shared" si="2"/>
        <v>794.51</v>
      </c>
      <c r="J23" s="1388"/>
      <c r="K23" s="1387">
        <f t="shared" si="3"/>
        <v>794.51</v>
      </c>
      <c r="L23" s="1243">
        <f t="shared" si="4"/>
        <v>0</v>
      </c>
      <c r="M23" s="1399">
        <f t="shared" si="8"/>
        <v>794.51</v>
      </c>
      <c r="N23" s="2253"/>
      <c r="O23" s="2254"/>
      <c r="P23" s="1399">
        <f t="shared" si="9"/>
        <v>0</v>
      </c>
      <c r="R23" s="1243">
        <f t="shared" si="5"/>
        <v>3018.11</v>
      </c>
      <c r="S23" s="1244">
        <f t="shared" si="5"/>
        <v>12212.54</v>
      </c>
    </row>
    <row r="24" spans="1:19">
      <c r="A24" s="2255"/>
      <c r="B24" s="50" t="s">
        <v>1953</v>
      </c>
      <c r="C24" s="2954" t="s">
        <v>3289</v>
      </c>
      <c r="D24" s="48">
        <f>ROUND($D$3*E24/$E$3,2)</f>
        <v>7196.23</v>
      </c>
      <c r="E24" s="56">
        <f>SUM(F24:G24)</f>
        <v>29119</v>
      </c>
      <c r="F24" s="61">
        <f>'数据-基础表'!S20</f>
        <v>29119</v>
      </c>
      <c r="G24" s="62"/>
      <c r="H24" s="722">
        <f>ROUND($D$3*I24/$E$3,2)</f>
        <v>500.74</v>
      </c>
      <c r="I24" s="51">
        <f t="shared" si="2"/>
        <v>2026.22</v>
      </c>
      <c r="J24" s="1388"/>
      <c r="K24" s="1387">
        <f t="shared" si="3"/>
        <v>2026.22</v>
      </c>
      <c r="L24" s="1243">
        <f t="shared" si="4"/>
        <v>0</v>
      </c>
      <c r="M24" s="1399">
        <f t="shared" si="8"/>
        <v>2026.22</v>
      </c>
      <c r="N24" s="2253"/>
      <c r="O24" s="2254"/>
      <c r="P24" s="1399">
        <f t="shared" si="9"/>
        <v>0</v>
      </c>
      <c r="R24" s="1243">
        <f t="shared" si="5"/>
        <v>7696.9699999999993</v>
      </c>
      <c r="S24" s="1244">
        <f t="shared" si="5"/>
        <v>31145.22</v>
      </c>
    </row>
    <row r="25" spans="1:19">
      <c r="A25" s="2255"/>
      <c r="B25" s="50" t="s">
        <v>1953</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1953</v>
      </c>
      <c r="C26" s="63"/>
      <c r="D26" s="48">
        <f t="shared" si="6"/>
        <v>0</v>
      </c>
      <c r="E26" s="56">
        <f t="shared" si="1"/>
        <v>0</v>
      </c>
      <c r="F26" s="61"/>
      <c r="G26" s="62"/>
      <c r="H26" s="47">
        <f t="shared" si="7"/>
        <v>0</v>
      </c>
      <c r="I26" s="51">
        <f t="shared" si="2"/>
        <v>0</v>
      </c>
      <c r="J26" s="1388"/>
      <c r="K26" s="1394">
        <f t="shared" si="3"/>
        <v>0</v>
      </c>
      <c r="L26" s="1395">
        <f t="shared" si="4"/>
        <v>0</v>
      </c>
      <c r="M26" s="66">
        <f t="shared" si="8"/>
        <v>0</v>
      </c>
      <c r="N26" s="2256"/>
      <c r="O26" s="2257"/>
      <c r="P26" s="66">
        <f t="shared" si="9"/>
        <v>0</v>
      </c>
      <c r="R26" s="1243">
        <f t="shared" si="5"/>
        <v>0</v>
      </c>
      <c r="S26" s="1244">
        <f t="shared" si="5"/>
        <v>0</v>
      </c>
    </row>
    <row r="27" spans="1:19" ht="15.75" thickBot="1">
      <c r="A27" s="2255"/>
      <c r="B27" s="48"/>
      <c r="C27" s="2258" t="s">
        <v>1954</v>
      </c>
      <c r="D27" s="1389">
        <f>SUM(D19:D26)</f>
        <v>25796.48</v>
      </c>
      <c r="E27" s="1390">
        <f>IF(SUM(E19:E26)='数据-基础表'!BA5,SUM(E19:E26),IF(F27="地上面积有误","面积有误","地下面积有误"))</f>
        <v>104383.51</v>
      </c>
      <c r="F27" s="1389">
        <f>IF(SUM(F19:F26)=E8,SUM(F19:F26),"地上面积有误")</f>
        <v>64979.24</v>
      </c>
      <c r="G27" s="1391">
        <f>SUM(G19:G26)</f>
        <v>39404.270000000004</v>
      </c>
      <c r="H27" s="1392">
        <f>SUM(H19:H26)</f>
        <v>1795.0199999999998</v>
      </c>
      <c r="I27" s="1393">
        <f>SUM(I19:I26)</f>
        <v>7263.4300000000012</v>
      </c>
      <c r="J27" s="1388"/>
      <c r="K27" s="1396">
        <f>SUM(K19:K26)</f>
        <v>7263.4300000000012</v>
      </c>
      <c r="L27" s="1397">
        <f>SUM(L19:L26)</f>
        <v>0</v>
      </c>
      <c r="M27" s="1400">
        <f>SUM(M19:M26)</f>
        <v>7263.4300000000012</v>
      </c>
      <c r="N27" s="1396">
        <f t="shared" ref="N27:O27" si="10">SUM(N19:N26)</f>
        <v>0</v>
      </c>
      <c r="O27" s="1397">
        <f t="shared" si="10"/>
        <v>0</v>
      </c>
      <c r="P27" s="1398">
        <f>SUM(P19:P26)</f>
        <v>0</v>
      </c>
      <c r="R27" s="1245">
        <f>IF(SUM(R19:R26)=$D$3,SUM(R19:R26),SUM(R19:R26)&amp;"误差"&amp;ROUND(SUM(R19:R26)-$D$3,2))</f>
        <v>27591.5</v>
      </c>
      <c r="S27" s="1243" t="str">
        <f>IF(SUM(S19:S26)=$E$3,SUM(S19:S26),SUM(S19:S26)&amp;"误差"&amp;ROUND(SUM(S19:S26)-E3,2))</f>
        <v>111646.94误差-0.01</v>
      </c>
    </row>
    <row r="28" spans="1:19">
      <c r="A28" s="2255"/>
      <c r="B28" s="50" t="s">
        <v>1955</v>
      </c>
      <c r="C28" s="1255" t="s">
        <v>1956</v>
      </c>
      <c r="D28" s="48">
        <f>ROUND($D$3*E28/$E$3,2)</f>
        <v>1795.03</v>
      </c>
      <c r="E28" s="56">
        <f>SUM(F28:G28)</f>
        <v>7263.44</v>
      </c>
      <c r="F28" s="2995">
        <f>'数据-基础表'!BQ5+'数据-基础表'!BS5</f>
        <v>3988.6399999999994</v>
      </c>
      <c r="G28" s="2996">
        <f>'数据-基础表'!BR5+'数据-基础表'!BT5</f>
        <v>3274.8</v>
      </c>
      <c r="H28" s="1388"/>
      <c r="I28" s="1388"/>
      <c r="J28" s="1388"/>
      <c r="K28" s="1388"/>
      <c r="L28" s="1388"/>
      <c r="M28" s="1388"/>
      <c r="N28" s="1388"/>
      <c r="O28" s="1388"/>
      <c r="P28" s="1388"/>
    </row>
    <row r="29" spans="1:19">
      <c r="A29" s="2255"/>
      <c r="B29" s="50" t="s">
        <v>1955</v>
      </c>
      <c r="C29" s="2259" t="s">
        <v>1957</v>
      </c>
      <c r="D29" s="48">
        <f>ROUND($D$3*E29/$E$3,2)</f>
        <v>0</v>
      </c>
      <c r="E29" s="56">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5"/>
      <c r="B30" s="50"/>
      <c r="C30" s="2260" t="s">
        <v>1954</v>
      </c>
      <c r="D30" s="1389">
        <f>SUM(D28:D29)</f>
        <v>1795.03</v>
      </c>
      <c r="E30" s="1389">
        <f>SUM(E28:E29)</f>
        <v>7263.44</v>
      </c>
      <c r="F30" s="1389">
        <f>SUM(F28:F29)</f>
        <v>3988.6399999999994</v>
      </c>
      <c r="G30" s="1391">
        <f>SUM(G28:G29)</f>
        <v>3274.8</v>
      </c>
      <c r="H30" s="1388"/>
      <c r="I30" s="1388"/>
      <c r="J30" s="1388"/>
      <c r="K30" s="1388"/>
      <c r="L30" s="1388"/>
      <c r="M30" s="1388"/>
      <c r="N30" s="1388"/>
      <c r="O30" s="1388"/>
      <c r="P30" s="1388"/>
    </row>
    <row r="31" spans="1:19" ht="15.75" thickBot="1">
      <c r="A31" s="2261"/>
      <c r="B31" s="2262"/>
      <c r="C31" s="1003" t="s">
        <v>1958</v>
      </c>
      <c r="D31" s="728">
        <f>D27+D30</f>
        <v>27591.51</v>
      </c>
      <c r="E31" s="728">
        <f>E27+E30</f>
        <v>111646.95</v>
      </c>
      <c r="F31" s="729">
        <f>F27+F30</f>
        <v>68967.88</v>
      </c>
      <c r="G31" s="730">
        <f>G27+G30</f>
        <v>42679.070000000007</v>
      </c>
      <c r="H31" s="1388"/>
      <c r="I31" s="1388"/>
      <c r="J31" s="1388"/>
      <c r="K31" s="1388"/>
      <c r="L31" s="1388"/>
      <c r="M31" s="1388"/>
      <c r="N31" s="1388"/>
      <c r="O31" s="1388"/>
      <c r="P31" s="1388"/>
    </row>
    <row r="32" spans="1:19">
      <c r="A32" s="2225"/>
      <c r="B32" s="2225" t="s">
        <v>1959</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1960</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1961</v>
      </c>
      <c r="B2" s="1262">
        <f>项目基本情况!D3</f>
        <v>43265</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7" t="s">
        <v>1962</v>
      </c>
      <c r="B4" s="2273"/>
      <c r="C4" s="2274"/>
      <c r="D4" s="2275"/>
      <c r="E4" s="2274" t="s">
        <v>1963</v>
      </c>
      <c r="F4" s="2274"/>
      <c r="G4" s="2274"/>
      <c r="H4" s="2274"/>
      <c r="I4" s="2274"/>
      <c r="J4" s="2276"/>
      <c r="K4" s="2277"/>
      <c r="L4" s="2278"/>
      <c r="M4" s="2274"/>
      <c r="N4" s="2274" t="s">
        <v>1964</v>
      </c>
      <c r="O4" s="2274"/>
      <c r="P4" s="2274"/>
      <c r="Q4" s="2274"/>
      <c r="R4" s="2274"/>
      <c r="S4" s="2276"/>
      <c r="T4" s="2279" t="str">
        <f>'数据-汇总表'!I17</f>
        <v>按面积比例</v>
      </c>
      <c r="U4" s="2273" t="s">
        <v>1965</v>
      </c>
      <c r="V4" s="2274"/>
      <c r="W4" s="2274"/>
      <c r="X4" s="2274"/>
      <c r="Y4" s="2276"/>
      <c r="Z4" s="2236" t="s">
        <v>1966</v>
      </c>
      <c r="AA4" s="2236"/>
      <c r="AB4" s="2236"/>
      <c r="AC4" s="2236"/>
      <c r="AD4" s="2236"/>
      <c r="AE4" s="2234" t="s">
        <v>1967</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1968</v>
      </c>
      <c r="B5" s="2282" t="s">
        <v>1969</v>
      </c>
      <c r="C5" s="2283" t="s">
        <v>1970</v>
      </c>
      <c r="D5" s="2284" t="s">
        <v>1971</v>
      </c>
      <c r="E5" s="1264" t="s">
        <v>1972</v>
      </c>
      <c r="F5" s="2285" t="s">
        <v>1973</v>
      </c>
      <c r="G5" s="1264" t="s">
        <v>1974</v>
      </c>
      <c r="H5" s="1264" t="s">
        <v>1975</v>
      </c>
      <c r="I5" s="1264" t="s">
        <v>1976</v>
      </c>
      <c r="J5" s="2286" t="s">
        <v>1977</v>
      </c>
      <c r="K5" s="2287" t="s">
        <v>1978</v>
      </c>
      <c r="L5" s="2288" t="s">
        <v>1979</v>
      </c>
      <c r="M5" s="2289" t="s">
        <v>1980</v>
      </c>
      <c r="N5" s="2290" t="s">
        <v>3226</v>
      </c>
      <c r="O5" s="2288" t="s">
        <v>1981</v>
      </c>
      <c r="P5" s="2291" t="s">
        <v>1982</v>
      </c>
      <c r="Q5" s="68" t="s">
        <v>1983</v>
      </c>
      <c r="R5" s="2292" t="s">
        <v>1984</v>
      </c>
      <c r="S5" s="2293" t="s">
        <v>1985</v>
      </c>
      <c r="T5" s="2294" t="s">
        <v>1986</v>
      </c>
      <c r="U5" s="1263" t="s">
        <v>1987</v>
      </c>
      <c r="V5" s="1264" t="s">
        <v>1988</v>
      </c>
      <c r="W5" s="1264" t="s">
        <v>1989</v>
      </c>
      <c r="X5" s="70"/>
      <c r="Y5" s="69" t="s">
        <v>1990</v>
      </c>
      <c r="Z5" s="2295" t="s">
        <v>1987</v>
      </c>
      <c r="AA5" s="1264" t="s">
        <v>1988</v>
      </c>
      <c r="AB5" s="1264" t="s">
        <v>1989</v>
      </c>
      <c r="AC5" s="70"/>
      <c r="AD5" s="70" t="s">
        <v>1990</v>
      </c>
      <c r="AE5" s="1263" t="s">
        <v>1991</v>
      </c>
      <c r="AF5" s="1264" t="s">
        <v>1992</v>
      </c>
      <c r="AG5" s="69" t="s">
        <v>1993</v>
      </c>
      <c r="AH5" s="1263" t="s">
        <v>1994</v>
      </c>
      <c r="AI5" s="2295" t="s">
        <v>1995</v>
      </c>
      <c r="AJ5" s="2295" t="s">
        <v>1996</v>
      </c>
      <c r="AK5" s="1264" t="s">
        <v>1997</v>
      </c>
      <c r="AL5" s="1264" t="s">
        <v>1998</v>
      </c>
      <c r="AM5" s="69" t="s">
        <v>1999</v>
      </c>
      <c r="AN5" s="2296" t="s">
        <v>2000</v>
      </c>
      <c r="AO5" s="2066" t="s">
        <v>2001</v>
      </c>
      <c r="AP5" s="1245" t="s">
        <v>2002</v>
      </c>
      <c r="AQ5" s="2297" t="s">
        <v>2003</v>
      </c>
      <c r="AR5" s="2297" t="s">
        <v>2004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7" customFormat="1" ht="14.25">
      <c r="A6" s="2298" t="str">
        <f>'数据-汇总表'!C19</f>
        <v>商业街</v>
      </c>
      <c r="B6" s="2299" t="str">
        <f>IF(A6=0,"","经营性")</f>
        <v>经营性</v>
      </c>
      <c r="C6" s="2300" t="s">
        <v>1377</v>
      </c>
      <c r="D6" s="1047">
        <f>SUMIF(项目基本情况!D$12:I$12,C6,项目基本情况!D$14:I$14)</f>
        <v>40</v>
      </c>
      <c r="E6" s="1044">
        <f>IF(B6="","",SUMIF(项目基本情况!D$12:I$12,C6,项目基本情况!D$13:I$13))</f>
        <v>56310</v>
      </c>
      <c r="F6" s="71">
        <f>SUMIF(项目基本情况!D$12:I$12,C6,项目基本情况!D$15:I$15)</f>
        <v>35.729999999999997</v>
      </c>
      <c r="G6" s="72">
        <f>IF(ISERROR(ROUND(POWER(1+H6,D6-F6)*(POWER(1+H6,F6)-1)/(POWER(1+H6,D6)-1),3)),0,ROUND(POWER(1+H6,D6-F6)*(POWER(1+H6,F6)-1)/(POWER(1+H6,D6)-1),3))</f>
        <v>0.96199999999999997</v>
      </c>
      <c r="H6" s="801">
        <v>0.05</v>
      </c>
      <c r="I6" s="801">
        <v>0.06</v>
      </c>
      <c r="J6" s="73">
        <v>8.5000000000000006E-2</v>
      </c>
      <c r="K6" s="1247">
        <f>SUMIF('数据-汇总表'!C$19:C$33,A6,'数据-汇总表'!E$19:E$33)</f>
        <v>11954.21</v>
      </c>
      <c r="L6" s="802">
        <v>2800</v>
      </c>
      <c r="M6" s="74">
        <f t="shared" ref="M6:M14" si="0">ROUND(K6*L6/10000,0)</f>
        <v>3347</v>
      </c>
      <c r="N6" s="800">
        <v>1</v>
      </c>
      <c r="O6" s="74" t="str">
        <f>IF($N$5="成新度","——",ROUND(M6*N6,0))</f>
        <v>——</v>
      </c>
      <c r="P6" s="75" t="str">
        <f>IF($N$5="成新度","——",M6-O6)</f>
        <v>——</v>
      </c>
      <c r="Q6" s="803">
        <v>0.25</v>
      </c>
      <c r="R6" s="76">
        <f ca="1">SUMIF('数据-汇总表'!C$19:C$33,A6,'数据-汇总表'!R$19:R$27)</f>
        <v>3159.8300000000004</v>
      </c>
      <c r="S6" s="54">
        <f>IF('数据-汇总表'!$I$17="按面积比例",SUMIF('数据-汇总表'!C$19:C$33,A6,'数据-汇总表'!K$19:K$33),SUMIF('数据-汇总表'!C$19:C$33,A6,'数据-汇总表'!N$19:N$33))</f>
        <v>831.82</v>
      </c>
      <c r="T6" s="1439">
        <f>ROUND($L$14*S6/10000,0)</f>
        <v>183</v>
      </c>
      <c r="U6" s="77">
        <v>4</v>
      </c>
      <c r="V6" s="78">
        <v>3.5000000000000003E-2</v>
      </c>
      <c r="W6" s="78">
        <v>0.15</v>
      </c>
      <c r="X6" s="1257"/>
      <c r="Y6" s="2999">
        <f>N6</f>
        <v>1</v>
      </c>
      <c r="Z6" s="80"/>
      <c r="AA6" s="73"/>
      <c r="AB6" s="73"/>
      <c r="AC6" s="1257"/>
      <c r="AD6" s="81"/>
      <c r="AE6" s="1258">
        <f ca="1">IF(AN6="",0,SUMIF(INDIRECT("'"&amp;AN6&amp;"'"&amp;"!E:E"),$AE$5,INDIRECT("'"&amp;AN6&amp;"'"&amp;"!F:F")))</f>
        <v>35.729999999999997</v>
      </c>
      <c r="AF6" s="1800"/>
      <c r="AG6" s="146">
        <f>IF(AF6="",0,AE6-AF6)</f>
        <v>0</v>
      </c>
      <c r="AH6" s="82"/>
      <c r="AI6" s="84">
        <v>365</v>
      </c>
      <c r="AJ6" s="85"/>
      <c r="AK6" s="86">
        <v>0.02</v>
      </c>
      <c r="AL6" s="87">
        <v>2E-3</v>
      </c>
      <c r="AM6" s="88">
        <v>0.02</v>
      </c>
      <c r="AN6" s="2301" t="s">
        <v>3290</v>
      </c>
      <c r="AO6" s="55">
        <f ca="1">SUMIF(INDIRECT("'"&amp;AN6&amp;"'"&amp;"!A:A"),"总价",INDIRECT("'"&amp;AN6&amp;"'"&amp;"!B:B"))</f>
        <v>24597</v>
      </c>
      <c r="AP6" s="2302">
        <f>IF(C6="住宅",K6*L6,0)</f>
        <v>0</v>
      </c>
      <c r="AQ6" s="55">
        <f>ROUND($L$14*$N$14*S6/10000,0)</f>
        <v>183</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Loft办公</v>
      </c>
      <c r="B7" s="2299" t="str">
        <f t="shared" ref="B7:B13" si="1">IF(A7=0,"","经营性")</f>
        <v>经营性</v>
      </c>
      <c r="C7" s="2300" t="s">
        <v>1377</v>
      </c>
      <c r="D7" s="1047">
        <f>SUMIF(项目基本情况!D$12:I$12,C7,项目基本情况!D$14:I$14)</f>
        <v>40</v>
      </c>
      <c r="E7" s="1044">
        <f>IF(B7="","",SUMIF(项目基本情况!D$12:I$12,C7,项目基本情况!D$13:I$13))</f>
        <v>56310</v>
      </c>
      <c r="F7" s="71">
        <f>SUMIF(项目基本情况!D$12:I$12,C7,项目基本情况!D$15:I$15)</f>
        <v>35.729999999999997</v>
      </c>
      <c r="G7" s="72">
        <f t="shared" ref="G7:G11" si="2">IF(ISERROR(ROUND(POWER(1+H7,D7-F7)*(POWER(1+H7,F7)-1)/(POWER(1+H7,D7)-1),3)),0,ROUND(POWER(1+H7,D7-F7)*(POWER(1+H7,F7)-1)/(POWER(1+H7,D7)-1),3))</f>
        <v>0.95699999999999996</v>
      </c>
      <c r="H7" s="801">
        <v>4.4999999999999998E-2</v>
      </c>
      <c r="I7" s="801">
        <v>5.5E-2</v>
      </c>
      <c r="J7" s="73">
        <v>8.5000000000000006E-2</v>
      </c>
      <c r="K7" s="1247">
        <f>SUMIF('数据-汇总表'!C$19:C$33,A7,'数据-汇总表'!E$19:E$33)</f>
        <v>8168.1599999999971</v>
      </c>
      <c r="L7" s="802">
        <v>3000</v>
      </c>
      <c r="M7" s="74">
        <f t="shared" si="0"/>
        <v>2450</v>
      </c>
      <c r="N7" s="800">
        <v>1</v>
      </c>
      <c r="O7" s="74" t="str">
        <f t="shared" ref="O7:O14" si="3">IF($N$5="成新度","——",ROUND(M7*N7,0))</f>
        <v>——</v>
      </c>
      <c r="P7" s="75" t="str">
        <f t="shared" ref="P7:P14" si="4">IF($N$5="成新度","——",M7-O7)</f>
        <v>——</v>
      </c>
      <c r="Q7" s="803">
        <v>0.2</v>
      </c>
      <c r="R7" s="76">
        <f ca="1">SUMIF('数据-汇总表'!C$19:C$33,A7,'数据-汇总表'!R$19:R$27)</f>
        <v>2159.0699999999997</v>
      </c>
      <c r="S7" s="54">
        <f>IF('数据-汇总表'!$I$17="按面积比例",SUMIF('数据-汇总表'!C$19:C$33,A7,'数据-汇总表'!K$19:K$33),SUMIF('数据-汇总表'!C$19:C$33,A7,'数据-汇总表'!N$19:N$33))</f>
        <v>568.37</v>
      </c>
      <c r="T7" s="1439">
        <f t="shared" ref="T7:T13" si="5">ROUND($L$14*S7/10000,0)</f>
        <v>125</v>
      </c>
      <c r="U7" s="3000">
        <v>3</v>
      </c>
      <c r="V7" s="78">
        <v>3.5000000000000003E-2</v>
      </c>
      <c r="W7" s="78">
        <v>0.1</v>
      </c>
      <c r="X7" s="1257"/>
      <c r="Y7" s="79">
        <f t="shared" ref="Y7:Y11" si="6">N7</f>
        <v>1</v>
      </c>
      <c r="Z7" s="80"/>
      <c r="AA7" s="73"/>
      <c r="AB7" s="73"/>
      <c r="AC7" s="1257"/>
      <c r="AD7" s="81"/>
      <c r="AE7" s="1258">
        <f t="shared" ref="AE7:AE13" ca="1" si="7">IF(AN7="",0,SUMIF(INDIRECT("'"&amp;AN7&amp;"'"&amp;"!E:E"),$AE$5,INDIRECT("'"&amp;AN7&amp;"'"&amp;"!F:F")))</f>
        <v>35.729999999999997</v>
      </c>
      <c r="AF7" s="1800"/>
      <c r="AG7" s="146">
        <f t="shared" ref="AG7:AG13" si="8">IF(AF7="",0,AE7-AF7)</f>
        <v>0</v>
      </c>
      <c r="AH7" s="82"/>
      <c r="AI7" s="84">
        <v>365</v>
      </c>
      <c r="AJ7" s="85"/>
      <c r="AK7" s="86">
        <v>0.02</v>
      </c>
      <c r="AL7" s="87">
        <v>2E-3</v>
      </c>
      <c r="AM7" s="88">
        <v>0.02</v>
      </c>
      <c r="AN7" s="2301" t="s">
        <v>3268</v>
      </c>
      <c r="AO7" s="55">
        <f t="shared" ref="AO7:AO13" ca="1" si="9">SUMIF(INDIRECT("'"&amp;AN7&amp;"'"&amp;"!A:A"),"总价",INDIRECT("'"&amp;AN7&amp;"'"&amp;"!B:B"))</f>
        <v>13895</v>
      </c>
      <c r="AP7" s="2302">
        <f t="shared" ref="AP7:AP13" si="10">IF(C7="住宅",K7*L7,0)</f>
        <v>0</v>
      </c>
      <c r="AQ7" s="55">
        <f t="shared" ref="AQ7:AQ13" si="11">ROUND($L$14*$N$14*S7/10000,0)</f>
        <v>125</v>
      </c>
      <c r="AR7" s="55">
        <f t="shared" ref="AR7:AR13" si="12">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公寓（快捷酒店)</v>
      </c>
      <c r="B8" s="2299" t="str">
        <f t="shared" si="1"/>
        <v>经营性</v>
      </c>
      <c r="C8" s="2300" t="s">
        <v>1377</v>
      </c>
      <c r="D8" s="1047">
        <f>SUMIF(项目基本情况!D$12:I$12,C8,项目基本情况!D$14:I$14)</f>
        <v>40</v>
      </c>
      <c r="E8" s="1044">
        <f>IF(B8="","",SUMIF(项目基本情况!D$12:I$12,C8,项目基本情况!D$13:I$13))</f>
        <v>56310</v>
      </c>
      <c r="F8" s="71">
        <f>SUMIF(项目基本情况!D$12:I$12,C8,项目基本情况!D$15:I$15)</f>
        <v>35.729999999999997</v>
      </c>
      <c r="G8" s="72">
        <f t="shared" si="2"/>
        <v>0.95699999999999996</v>
      </c>
      <c r="H8" s="801">
        <v>4.4999999999999998E-2</v>
      </c>
      <c r="I8" s="801">
        <v>5.5E-2</v>
      </c>
      <c r="J8" s="73">
        <v>8.5000000000000006E-2</v>
      </c>
      <c r="K8" s="1247">
        <f>SUMIF('数据-汇总表'!C$19:C$33,A8,'数据-汇总表'!E$19:E$33)</f>
        <v>15737.87</v>
      </c>
      <c r="L8" s="802">
        <v>2600</v>
      </c>
      <c r="M8" s="74">
        <f>ROUND(K8*L8/10000,0)</f>
        <v>4092</v>
      </c>
      <c r="N8" s="800">
        <v>1</v>
      </c>
      <c r="O8" s="74" t="str">
        <f t="shared" si="3"/>
        <v>——</v>
      </c>
      <c r="P8" s="75" t="str">
        <f t="shared" si="4"/>
        <v>——</v>
      </c>
      <c r="Q8" s="803">
        <v>0.2</v>
      </c>
      <c r="R8" s="76">
        <f ca="1">SUMIF('数据-汇总表'!C$19:C$33,A8,'数据-汇总表'!R$19:R$27)</f>
        <v>4159.97</v>
      </c>
      <c r="S8" s="54">
        <f>IF('数据-汇总表'!$I$17="按面积比例",SUMIF('数据-汇总表'!C$19:C$33,A8,'数据-汇总表'!K$19:K$33),SUMIF('数据-汇总表'!C$19:C$33,A8,'数据-汇总表'!N$19:N$33))</f>
        <v>1095.1099999999999</v>
      </c>
      <c r="T8" s="1439">
        <f t="shared" si="5"/>
        <v>241</v>
      </c>
      <c r="U8" s="3001">
        <v>2.5</v>
      </c>
      <c r="V8" s="78">
        <v>3.5000000000000003E-2</v>
      </c>
      <c r="W8" s="78">
        <v>0.1</v>
      </c>
      <c r="X8" s="1257"/>
      <c r="Y8" s="79">
        <f t="shared" si="6"/>
        <v>1</v>
      </c>
      <c r="Z8" s="80"/>
      <c r="AA8" s="73"/>
      <c r="AB8" s="73"/>
      <c r="AC8" s="1257"/>
      <c r="AD8" s="81"/>
      <c r="AE8" s="1258">
        <f t="shared" ca="1" si="7"/>
        <v>35.729999999999997</v>
      </c>
      <c r="AF8" s="1800"/>
      <c r="AG8" s="146">
        <f t="shared" si="8"/>
        <v>0</v>
      </c>
      <c r="AH8" s="804"/>
      <c r="AI8" s="84">
        <v>365</v>
      </c>
      <c r="AJ8" s="85"/>
      <c r="AK8" s="86">
        <v>0.02</v>
      </c>
      <c r="AL8" s="87">
        <v>2E-3</v>
      </c>
      <c r="AM8" s="88">
        <v>0.02</v>
      </c>
      <c r="AN8" s="2301" t="s">
        <v>3269</v>
      </c>
      <c r="AO8" s="55">
        <f t="shared" ca="1" si="9"/>
        <v>22096</v>
      </c>
      <c r="AP8" s="2302">
        <f t="shared" si="10"/>
        <v>0</v>
      </c>
      <c r="AQ8" s="55">
        <f t="shared" si="11"/>
        <v>241</v>
      </c>
      <c r="AR8" s="55">
        <f t="shared" si="12"/>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t="str">
        <f>'数据-汇总表'!C22</f>
        <v>地下车库</v>
      </c>
      <c r="B9" s="2299" t="str">
        <f t="shared" si="1"/>
        <v>经营性</v>
      </c>
      <c r="C9" s="2997" t="s">
        <v>3220</v>
      </c>
      <c r="D9" s="1047">
        <f>SUMIF(项目基本情况!D$12:I$12,C9,项目基本情况!D$14:I$14)</f>
        <v>50</v>
      </c>
      <c r="E9" s="1044">
        <f>IF(B9="","",SUMIF(项目基本情况!D$12:I$12,C9,项目基本情况!D$13:I$13))</f>
        <v>59963</v>
      </c>
      <c r="F9" s="71">
        <f>SUMIF(项目基本情况!D$12:I$12,C9,项目基本情况!D$15:I$15)</f>
        <v>45.74</v>
      </c>
      <c r="G9" s="72">
        <f t="shared" si="2"/>
        <v>0.97</v>
      </c>
      <c r="H9" s="73">
        <v>0.04</v>
      </c>
      <c r="I9" s="73">
        <v>0.05</v>
      </c>
      <c r="J9" s="73">
        <v>8.5000000000000006E-2</v>
      </c>
      <c r="K9" s="1247">
        <f>SUMIF('数据-汇总表'!C$19:C$33,A9,'数据-汇总表'!E$19:E$33)</f>
        <v>27986.240000000002</v>
      </c>
      <c r="L9" s="802">
        <v>2500</v>
      </c>
      <c r="M9" s="74">
        <f t="shared" si="0"/>
        <v>6997</v>
      </c>
      <c r="N9" s="800">
        <v>1</v>
      </c>
      <c r="O9" s="74" t="str">
        <f t="shared" si="3"/>
        <v>——</v>
      </c>
      <c r="P9" s="75" t="str">
        <f t="shared" si="4"/>
        <v>——</v>
      </c>
      <c r="Q9" s="89">
        <v>0.15</v>
      </c>
      <c r="R9" s="76">
        <f ca="1">SUMIF('数据-汇总表'!C$19:C$33,A9,'数据-汇总表'!R$19:R$27)</f>
        <v>7397.55</v>
      </c>
      <c r="S9" s="54">
        <f>IF('数据-汇总表'!$I$17="按面积比例",SUMIF('数据-汇总表'!C$19:C$33,A9,'数据-汇总表'!K$19:K$33),SUMIF('数据-汇总表'!C$19:C$33,A9,'数据-汇总表'!N$19:N$33))</f>
        <v>1947.4</v>
      </c>
      <c r="T9" s="1439">
        <f t="shared" si="5"/>
        <v>428</v>
      </c>
      <c r="U9" s="77">
        <v>750</v>
      </c>
      <c r="V9" s="2998">
        <v>2.5000000000000001E-2</v>
      </c>
      <c r="W9" s="78">
        <v>0.1</v>
      </c>
      <c r="X9" s="1257"/>
      <c r="Y9" s="79">
        <f t="shared" si="6"/>
        <v>1</v>
      </c>
      <c r="Z9" s="80"/>
      <c r="AA9" s="73"/>
      <c r="AB9" s="73"/>
      <c r="AC9" s="1257"/>
      <c r="AD9" s="81"/>
      <c r="AE9" s="1258">
        <f t="shared" ca="1" si="7"/>
        <v>45.74</v>
      </c>
      <c r="AF9" s="1800"/>
      <c r="AG9" s="146">
        <f t="shared" si="8"/>
        <v>0</v>
      </c>
      <c r="AH9" s="3002">
        <f>ROUND('数据-汇总表'!G22/27,0)</f>
        <v>1037</v>
      </c>
      <c r="AI9" s="84">
        <v>12</v>
      </c>
      <c r="AJ9" s="85"/>
      <c r="AK9" s="93">
        <v>0.02</v>
      </c>
      <c r="AL9" s="94">
        <v>2E-3</v>
      </c>
      <c r="AM9" s="95">
        <v>0.02</v>
      </c>
      <c r="AN9" s="2301" t="s">
        <v>3270</v>
      </c>
      <c r="AO9" s="55">
        <f t="shared" ca="1" si="9"/>
        <v>11281</v>
      </c>
      <c r="AP9" s="2302">
        <f t="shared" si="10"/>
        <v>0</v>
      </c>
      <c r="AQ9" s="55">
        <f t="shared" si="11"/>
        <v>428</v>
      </c>
      <c r="AR9" s="55">
        <f t="shared" si="12"/>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t="str">
        <f>'数据-汇总表'!C23</f>
        <v>地下商业</v>
      </c>
      <c r="B10" s="2299" t="str">
        <f t="shared" si="1"/>
        <v>经营性</v>
      </c>
      <c r="C10" s="2300" t="s">
        <v>1377</v>
      </c>
      <c r="D10" s="1047">
        <f>SUMIF(项目基本情况!D$12:I$12,C10,项目基本情况!D$14:I$14)</f>
        <v>40</v>
      </c>
      <c r="E10" s="1044">
        <f>IF(B10="","",SUMIF(项目基本情况!D$12:I$12,C10,项目基本情况!D$13:I$13))</f>
        <v>56310</v>
      </c>
      <c r="F10" s="71">
        <f>SUMIF(项目基本情况!D$12:I$12,C10,项目基本情况!D$15:I$15)</f>
        <v>35.729999999999997</v>
      </c>
      <c r="G10" s="72">
        <f t="shared" si="2"/>
        <v>0.95699999999999996</v>
      </c>
      <c r="H10" s="73">
        <v>4.4999999999999998E-2</v>
      </c>
      <c r="I10" s="73">
        <v>5.5E-2</v>
      </c>
      <c r="J10" s="73">
        <v>8.5000000000000006E-2</v>
      </c>
      <c r="K10" s="1247">
        <f>SUMIF('数据-汇总表'!C$19:C$33,A10,'数据-汇总表'!E$19:E$33)</f>
        <v>11418.03</v>
      </c>
      <c r="L10" s="802">
        <v>3000</v>
      </c>
      <c r="M10" s="74">
        <f t="shared" si="0"/>
        <v>3425</v>
      </c>
      <c r="N10" s="800">
        <v>1</v>
      </c>
      <c r="O10" s="74" t="str">
        <f t="shared" si="3"/>
        <v>——</v>
      </c>
      <c r="P10" s="75" t="str">
        <f t="shared" si="4"/>
        <v>——</v>
      </c>
      <c r="Q10" s="89">
        <v>0.25</v>
      </c>
      <c r="R10" s="76">
        <f ca="1">SUMIF('数据-汇总表'!C$19:C$33,A10,'数据-汇总表'!R$19:R$27)</f>
        <v>3018.11</v>
      </c>
      <c r="S10" s="54">
        <f>IF('数据-汇总表'!$I$17="按面积比例",SUMIF('数据-汇总表'!C$19:C$33,A10,'数据-汇总表'!K$19:K$33),SUMIF('数据-汇总表'!C$19:C$33,A10,'数据-汇总表'!N$19:N$33))</f>
        <v>794.51</v>
      </c>
      <c r="T10" s="1439">
        <f t="shared" si="5"/>
        <v>175</v>
      </c>
      <c r="U10" s="77">
        <f>U6*0.6</f>
        <v>2.4</v>
      </c>
      <c r="V10" s="78">
        <v>0.03</v>
      </c>
      <c r="W10" s="78">
        <v>0.1</v>
      </c>
      <c r="X10" s="1257"/>
      <c r="Y10" s="79">
        <f t="shared" si="6"/>
        <v>1</v>
      </c>
      <c r="Z10" s="80"/>
      <c r="AA10" s="73"/>
      <c r="AB10" s="73"/>
      <c r="AC10" s="1257"/>
      <c r="AD10" s="81"/>
      <c r="AE10" s="1258">
        <f t="shared" ca="1" si="7"/>
        <v>35.729999999999997</v>
      </c>
      <c r="AF10" s="1800"/>
      <c r="AG10" s="146">
        <f t="shared" si="8"/>
        <v>0</v>
      </c>
      <c r="AH10" s="82"/>
      <c r="AI10" s="84">
        <v>365</v>
      </c>
      <c r="AJ10" s="85"/>
      <c r="AK10" s="86">
        <v>0.02</v>
      </c>
      <c r="AL10" s="87">
        <v>2E-3</v>
      </c>
      <c r="AM10" s="88">
        <v>0.02</v>
      </c>
      <c r="AN10" s="2301" t="s">
        <v>3271</v>
      </c>
      <c r="AO10" s="55">
        <f t="shared" ca="1" si="9"/>
        <v>13760</v>
      </c>
      <c r="AP10" s="2302">
        <f t="shared" si="10"/>
        <v>0</v>
      </c>
      <c r="AQ10" s="55">
        <f t="shared" si="11"/>
        <v>175</v>
      </c>
      <c r="AR10" s="55">
        <f t="shared" si="12"/>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t="str">
        <f>'数据-汇总表'!C24</f>
        <v>商场</v>
      </c>
      <c r="B11" s="2299" t="str">
        <f t="shared" si="1"/>
        <v>经营性</v>
      </c>
      <c r="C11" s="2300" t="s">
        <v>1377</v>
      </c>
      <c r="D11" s="1047">
        <f>SUMIF(项目基本情况!D$12:I$12,C11,项目基本情况!D$14:I$14)</f>
        <v>40</v>
      </c>
      <c r="E11" s="1044">
        <f>IF(B11="","",SUMIF(项目基本情况!D$12:I$12,C11,项目基本情况!D$13:I$13))</f>
        <v>56310</v>
      </c>
      <c r="F11" s="71">
        <f>SUMIF(项目基本情况!D$12:I$12,C11,项目基本情况!D$15:I$15)</f>
        <v>35.729999999999997</v>
      </c>
      <c r="G11" s="72">
        <f t="shared" si="2"/>
        <v>0.96199999999999997</v>
      </c>
      <c r="H11" s="801">
        <v>0.05</v>
      </c>
      <c r="I11" s="801">
        <v>0.06</v>
      </c>
      <c r="J11" s="73">
        <v>8.5000000000000006E-2</v>
      </c>
      <c r="K11" s="1247">
        <f>SUMIF('数据-汇总表'!C$19:C$33,A11,'数据-汇总表'!E$19:E$33)</f>
        <v>29119</v>
      </c>
      <c r="L11" s="90">
        <v>3500</v>
      </c>
      <c r="M11" s="74">
        <f t="shared" si="0"/>
        <v>10192</v>
      </c>
      <c r="N11" s="800">
        <v>1</v>
      </c>
      <c r="O11" s="74" t="str">
        <f t="shared" si="3"/>
        <v>——</v>
      </c>
      <c r="P11" s="75" t="str">
        <f t="shared" si="4"/>
        <v>——</v>
      </c>
      <c r="Q11" s="89">
        <v>0.25</v>
      </c>
      <c r="R11" s="76">
        <f ca="1">SUMIF('数据-汇总表'!C$19:C$33,A11,'数据-汇总表'!R$19:R$27)</f>
        <v>7696.9699999999993</v>
      </c>
      <c r="S11" s="54">
        <f>IF('数据-汇总表'!$I$17="按面积比例",SUMIF('数据-汇总表'!C$19:C$33,A11,'数据-汇总表'!K$19:K$33),SUMIF('数据-汇总表'!C$19:C$33,A11,'数据-汇总表'!N$19:N$33))</f>
        <v>2026.22</v>
      </c>
      <c r="T11" s="1439">
        <f t="shared" si="5"/>
        <v>446</v>
      </c>
      <c r="U11" s="82">
        <v>3.5</v>
      </c>
      <c r="V11" s="73">
        <v>0.03</v>
      </c>
      <c r="W11" s="73">
        <v>0.15</v>
      </c>
      <c r="X11" s="1257"/>
      <c r="Y11" s="79">
        <f t="shared" si="6"/>
        <v>1</v>
      </c>
      <c r="Z11" s="92"/>
      <c r="AA11" s="73"/>
      <c r="AB11" s="73"/>
      <c r="AC11" s="1257"/>
      <c r="AD11" s="81"/>
      <c r="AE11" s="1258">
        <f t="shared" ca="1" si="7"/>
        <v>35.729999999999997</v>
      </c>
      <c r="AF11" s="1800"/>
      <c r="AG11" s="146">
        <f t="shared" si="8"/>
        <v>0</v>
      </c>
      <c r="AH11" s="82"/>
      <c r="AI11" s="84">
        <v>365</v>
      </c>
      <c r="AJ11" s="85"/>
      <c r="AK11" s="86">
        <v>0.02</v>
      </c>
      <c r="AL11" s="87">
        <v>2E-3</v>
      </c>
      <c r="AM11" s="88">
        <v>0.02</v>
      </c>
      <c r="AN11" s="2301" t="s">
        <v>3267</v>
      </c>
      <c r="AO11" s="55">
        <f t="shared" ca="1" si="9"/>
        <v>46615</v>
      </c>
      <c r="AP11" s="2302">
        <f t="shared" si="10"/>
        <v>0</v>
      </c>
      <c r="AQ11" s="55">
        <f t="shared" si="11"/>
        <v>446</v>
      </c>
      <c r="AR11" s="55">
        <f t="shared" si="12"/>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7"/>
        <v>0</v>
      </c>
      <c r="AF12" s="1800"/>
      <c r="AG12" s="146">
        <f t="shared" si="8"/>
        <v>0</v>
      </c>
      <c r="AH12" s="82"/>
      <c r="AI12" s="84"/>
      <c r="AJ12" s="85"/>
      <c r="AK12" s="93"/>
      <c r="AL12" s="94"/>
      <c r="AM12" s="95"/>
      <c r="AN12" s="2301"/>
      <c r="AO12" s="55" t="e">
        <f t="shared" ca="1" si="9"/>
        <v>#REF!</v>
      </c>
      <c r="AP12" s="2302">
        <f t="shared" si="10"/>
        <v>0</v>
      </c>
      <c r="AQ12" s="55">
        <f t="shared" si="11"/>
        <v>0</v>
      </c>
      <c r="AR12" s="55">
        <f t="shared" si="12"/>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7"/>
        <v>0</v>
      </c>
      <c r="AF13" s="1800"/>
      <c r="AG13" s="146">
        <f t="shared" si="8"/>
        <v>0</v>
      </c>
      <c r="AH13" s="82"/>
      <c r="AI13" s="84"/>
      <c r="AJ13" s="85"/>
      <c r="AK13" s="86"/>
      <c r="AL13" s="87"/>
      <c r="AM13" s="88"/>
      <c r="AN13" s="2301"/>
      <c r="AO13" s="55" t="e">
        <f t="shared" ca="1" si="9"/>
        <v>#REF!</v>
      </c>
      <c r="AP13" s="2302">
        <f t="shared" si="10"/>
        <v>0</v>
      </c>
      <c r="AQ13" s="55">
        <f t="shared" si="11"/>
        <v>0</v>
      </c>
      <c r="AR13" s="55">
        <f t="shared" si="12"/>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2005</v>
      </c>
      <c r="B14" s="2299" t="s">
        <v>2006</v>
      </c>
      <c r="C14" s="2304" t="s">
        <v>2005</v>
      </c>
      <c r="D14" s="1047"/>
      <c r="E14" s="1044"/>
      <c r="F14" s="71"/>
      <c r="G14" s="72"/>
      <c r="H14" s="1246"/>
      <c r="I14" s="1246"/>
      <c r="J14" s="1246"/>
      <c r="K14" s="1247">
        <f>SUMIF('数据-汇总表'!C$19:C$33,A14,'数据-汇总表'!E$19:E$33)</f>
        <v>7263.44</v>
      </c>
      <c r="L14" s="90">
        <v>2200</v>
      </c>
      <c r="M14" s="74">
        <f t="shared" si="0"/>
        <v>1598</v>
      </c>
      <c r="N14" s="91">
        <f>N6</f>
        <v>1</v>
      </c>
      <c r="O14" s="74" t="str">
        <f t="shared" si="3"/>
        <v>——</v>
      </c>
      <c r="P14" s="75" t="str">
        <f t="shared" si="4"/>
        <v>——</v>
      </c>
      <c r="Q14" s="1250"/>
      <c r="R14" s="76"/>
      <c r="S14" s="54"/>
      <c r="T14" s="1439"/>
      <c r="U14" s="722"/>
      <c r="V14" s="1252"/>
      <c r="W14" s="1252"/>
      <c r="X14" s="1253"/>
      <c r="Y14" s="1254"/>
      <c r="Z14" s="1255"/>
      <c r="AA14" s="1256"/>
      <c r="AB14" s="1256"/>
      <c r="AC14" s="1257"/>
      <c r="AD14" s="1253"/>
      <c r="AE14" s="1258"/>
      <c r="AF14" s="55"/>
      <c r="AG14" s="146"/>
      <c r="AH14" s="1258"/>
      <c r="AI14" s="1811"/>
      <c r="AJ14" s="772"/>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2007</v>
      </c>
      <c r="B15" s="2299" t="s">
        <v>2006</v>
      </c>
      <c r="C15" s="2304" t="s">
        <v>2008</v>
      </c>
      <c r="D15" s="1047"/>
      <c r="E15" s="1044"/>
      <c r="F15" s="71"/>
      <c r="G15" s="72"/>
      <c r="H15" s="1246"/>
      <c r="I15" s="1246"/>
      <c r="J15" s="1246"/>
      <c r="K15" s="1247">
        <f>SUMIF('数据-汇总表'!C$19:C$33,A15,'数据-汇总表'!E$19:E$33)</f>
        <v>0</v>
      </c>
      <c r="L15" s="1248"/>
      <c r="M15" s="74"/>
      <c r="N15" s="1249"/>
      <c r="O15" s="74"/>
      <c r="P15" s="75"/>
      <c r="Q15" s="1250"/>
      <c r="R15" s="76"/>
      <c r="S15" s="54"/>
      <c r="T15" s="1439"/>
      <c r="U15" s="722"/>
      <c r="V15" s="1252"/>
      <c r="W15" s="1252"/>
      <c r="X15" s="1253"/>
      <c r="Y15" s="1254"/>
      <c r="Z15" s="1255"/>
      <c r="AA15" s="1256"/>
      <c r="AB15" s="1256"/>
      <c r="AC15" s="1257"/>
      <c r="AD15" s="1253"/>
      <c r="AE15" s="1258"/>
      <c r="AF15" s="55"/>
      <c r="AG15" s="146"/>
      <c r="AH15" s="1258"/>
      <c r="AI15" s="1811"/>
      <c r="AJ15" s="772"/>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2009</v>
      </c>
      <c r="B16" s="96"/>
      <c r="C16" s="1001"/>
      <c r="D16" s="2306"/>
      <c r="E16" s="96"/>
      <c r="F16" s="96"/>
      <c r="G16" s="97">
        <f>ROUND(SUMPRODUCT(G6:G13,K6:K13)/SUMPRODUCT((G6:G13&gt;0)*(K6:K13)),3)</f>
        <v>0.96199999999999997</v>
      </c>
      <c r="H16" s="98">
        <f>ROUND(SUMPRODUCT(H6:H13,K6:K13)/SUMPRODUCT((H6:H13&gt;0)*(K6:K13)),3)</f>
        <v>4.5999999999999999E-2</v>
      </c>
      <c r="I16" s="99"/>
      <c r="J16" s="99"/>
      <c r="K16" s="100">
        <f>SUM(K6:K15)</f>
        <v>111646.95</v>
      </c>
      <c r="L16" s="101">
        <f>ROUND(M16*10000/SUM(K6:K14),0)</f>
        <v>2875</v>
      </c>
      <c r="M16" s="101">
        <f>SUM(M6:M14)</f>
        <v>32101</v>
      </c>
      <c r="N16" s="102">
        <f>ROUND(SUMPRODUCT(M6:M14,N6:N14)/M16,3)</f>
        <v>1</v>
      </c>
      <c r="O16" s="101">
        <f>SUM(O6:O14)</f>
        <v>0</v>
      </c>
      <c r="P16" s="101">
        <f>SUM(P6:P14)</f>
        <v>0</v>
      </c>
      <c r="Q16" s="103">
        <f>ROUND(SUMPRODUCT(Q6:Q13,K6:K13)/SUMPRODUCT((Q6:Q13&gt;0)*(K6:K13)),2)</f>
        <v>0.21</v>
      </c>
      <c r="R16" s="1251">
        <f ca="1">SUM(R6:R13)</f>
        <v>27591.5</v>
      </c>
      <c r="S16" s="104">
        <f>SUM(S6:S13)</f>
        <v>7263.4300000000012</v>
      </c>
      <c r="T16" s="105">
        <f>IF(SUMIF(T6:T13,"&lt;9E307")=M14,SUMIF(T6:T13,"&lt;9E307"),"有误，请检查")</f>
        <v>1598</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2010</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2011</v>
      </c>
      <c r="B19" s="111">
        <v>0</v>
      </c>
      <c r="C19" s="2269" t="s">
        <v>2012</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2013</v>
      </c>
      <c r="B20" s="112">
        <v>3</v>
      </c>
      <c r="C20" s="2269" t="s">
        <v>2014</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2015</v>
      </c>
      <c r="B21" s="112">
        <v>3</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2016</v>
      </c>
      <c r="B22" s="113">
        <f>B19+B20</f>
        <v>3</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2017</v>
      </c>
      <c r="B23" s="113">
        <f>B19+B21</f>
        <v>3</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2018</v>
      </c>
      <c r="B24" s="114">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2019</v>
      </c>
      <c r="B26" s="2312" t="s">
        <v>2020</v>
      </c>
      <c r="C26" s="2313" t="s">
        <v>2021</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2022</v>
      </c>
      <c r="B27" s="115"/>
      <c r="C27" s="1760" t="s">
        <v>2023</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2024</v>
      </c>
      <c r="B28" s="118">
        <v>230</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2025</v>
      </c>
      <c r="B29" s="120">
        <f ca="1">成本法!C10</f>
        <v>2568</v>
      </c>
      <c r="C29" s="1760" t="s">
        <v>2026</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2027</v>
      </c>
      <c r="B30" s="723">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2028</v>
      </c>
      <c r="B31" s="119">
        <f>B30-B32</f>
        <v>200</v>
      </c>
      <c r="C31" s="1760"/>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2029</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2030</v>
      </c>
      <c r="B33" s="725">
        <v>0.03</v>
      </c>
      <c r="C33" s="1759" t="s">
        <v>2031</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2032</v>
      </c>
      <c r="B34" s="121">
        <v>0</v>
      </c>
      <c r="C34" s="1759" t="s">
        <v>2033</v>
      </c>
      <c r="D34" s="2270" t="s">
        <v>2034</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2035</v>
      </c>
      <c r="B35" s="118">
        <v>200</v>
      </c>
      <c r="C35" s="1759" t="s">
        <v>2036</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2037</v>
      </c>
      <c r="B36" s="122">
        <v>1.4999999999999999E-2</v>
      </c>
      <c r="C36" s="1759" t="s">
        <v>2038</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2039</v>
      </c>
      <c r="B37" s="123">
        <v>0.02</v>
      </c>
      <c r="C37" s="1759" t="s">
        <v>2040</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2041</v>
      </c>
      <c r="B38" s="121">
        <v>0.02</v>
      </c>
      <c r="C38" s="1759" t="s">
        <v>2040</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2042</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2043</v>
      </c>
      <c r="B40" s="1296">
        <f ca="1">存贷款利率!G1</f>
        <v>4.7500000000000001E-2</v>
      </c>
      <c r="C40" s="1759" t="s">
        <v>2044</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2045</v>
      </c>
      <c r="B41" s="124">
        <f>B42+B43</f>
        <v>5.6000000000000001E-2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2046</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2047</v>
      </c>
      <c r="B43" s="126">
        <f>B42*(B44+B45+B46)+B47</f>
        <v>6.000000000000001E-3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2048</v>
      </c>
      <c r="B44" s="127">
        <v>7.0000000000000007E-2</v>
      </c>
      <c r="C44" s="1759" t="s">
        <v>2049</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2050</v>
      </c>
      <c r="B45" s="125">
        <v>0.03</v>
      </c>
      <c r="C45" s="1760" t="s">
        <v>2051</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2052</v>
      </c>
      <c r="B46" s="125">
        <v>0.02</v>
      </c>
      <c r="C46" s="1760" t="s">
        <v>2053</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2054</v>
      </c>
      <c r="B47" s="128"/>
      <c r="C47" s="1760" t="s">
        <v>2055</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2056</v>
      </c>
      <c r="B48" s="129">
        <v>0.03</v>
      </c>
      <c r="C48" s="1767" t="s">
        <v>2057</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2058</v>
      </c>
      <c r="B49" s="125">
        <v>5.0000000000000001E-4</v>
      </c>
      <c r="C49" s="1767" t="s">
        <v>2059</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2060</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2061</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2062</v>
      </c>
      <c r="B52" s="132">
        <f>SUMIF(A54:A63,B53,B54:B63)</f>
        <v>14</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2063</v>
      </c>
      <c r="B53" s="2328" t="s">
        <v>212</v>
      </c>
      <c r="C53" s="1423" t="s">
        <v>2064</v>
      </c>
      <c r="D53" s="2329" t="s">
        <v>2065</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2066</v>
      </c>
      <c r="B54" s="83">
        <v>14</v>
      </c>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2067</v>
      </c>
      <c r="B55" s="83"/>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2068</v>
      </c>
      <c r="B56" s="83"/>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2069</v>
      </c>
      <c r="B57" s="83"/>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2070</v>
      </c>
      <c r="B58" s="83"/>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2071</v>
      </c>
      <c r="B59" s="83"/>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2072</v>
      </c>
      <c r="B60" s="83"/>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2073</v>
      </c>
      <c r="B61" s="83"/>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2074</v>
      </c>
      <c r="B62" s="83"/>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2075</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7"/>
      <c r="L64" s="797"/>
    </row>
    <row r="65" spans="1:12" s="960" customFormat="1">
      <c r="A65" s="2333"/>
      <c r="D65" s="2334"/>
      <c r="K65" s="797"/>
      <c r="L65" s="797"/>
    </row>
    <row r="66" spans="1:12" s="960" customFormat="1">
      <c r="A66" s="2333"/>
      <c r="D66" s="2334"/>
      <c r="K66" s="797"/>
      <c r="L66" s="797"/>
    </row>
    <row r="67" spans="1:12" s="960" customFormat="1">
      <c r="A67" s="2333"/>
      <c r="D67" s="2334"/>
      <c r="K67" s="797"/>
      <c r="L67" s="797"/>
    </row>
    <row r="68" spans="1:12" s="960" customFormat="1">
      <c r="A68" s="2333"/>
      <c r="D68" s="2334"/>
      <c r="K68" s="797"/>
      <c r="L68" s="797"/>
    </row>
    <row r="69" spans="1:12" s="960" customFormat="1">
      <c r="A69" s="2333"/>
      <c r="D69" s="2334"/>
      <c r="K69" s="797"/>
      <c r="L69" s="797"/>
    </row>
    <row r="70" spans="1:12" s="960" customFormat="1">
      <c r="A70" s="2333"/>
      <c r="D70" s="2334"/>
      <c r="K70" s="797"/>
      <c r="L70" s="797"/>
    </row>
    <row r="71" spans="1:12" s="960" customFormat="1">
      <c r="A71" s="2333"/>
      <c r="D71" s="2334"/>
      <c r="K71" s="797"/>
      <c r="L71" s="797"/>
    </row>
    <row r="72" spans="1:12" s="960" customFormat="1">
      <c r="A72" s="2333"/>
      <c r="D72" s="2334"/>
      <c r="K72" s="797"/>
      <c r="L72" s="797"/>
    </row>
    <row r="73" spans="1:12" s="960" customFormat="1">
      <c r="A73" s="2333"/>
      <c r="D73" s="2334"/>
      <c r="K73" s="797"/>
      <c r="L73" s="797"/>
    </row>
    <row r="74" spans="1:12" s="960" customFormat="1">
      <c r="A74" s="2333"/>
      <c r="D74" s="2334"/>
      <c r="K74" s="797"/>
      <c r="L74" s="797"/>
    </row>
    <row r="75" spans="1:12" s="960" customFormat="1">
      <c r="A75" s="2333"/>
      <c r="D75" s="2334"/>
      <c r="K75" s="797"/>
      <c r="L75" s="797"/>
    </row>
    <row r="76" spans="1:12" s="960" customFormat="1">
      <c r="A76" s="2333"/>
      <c r="D76" s="2334"/>
      <c r="K76" s="797"/>
      <c r="L76" s="797"/>
    </row>
    <row r="77" spans="1:12" s="960" customFormat="1">
      <c r="A77" s="2333"/>
      <c r="D77" s="2334"/>
      <c r="K77" s="797"/>
      <c r="L77" s="797"/>
    </row>
    <row r="78" spans="1:12" s="960" customFormat="1">
      <c r="A78" s="2333"/>
      <c r="D78" s="2334"/>
      <c r="K78" s="797"/>
      <c r="L78" s="797"/>
    </row>
    <row r="79" spans="1:12" s="960" customFormat="1">
      <c r="A79" s="2333"/>
      <c r="D79" s="2334"/>
      <c r="K79" s="797"/>
      <c r="L79" s="797"/>
    </row>
    <row r="80" spans="1:12" s="960" customFormat="1">
      <c r="A80" s="2333"/>
      <c r="D80" s="2334"/>
      <c r="K80" s="797"/>
      <c r="L80" s="797"/>
    </row>
    <row r="81" spans="1:12" s="960" customFormat="1">
      <c r="A81" s="2333"/>
      <c r="D81" s="2334"/>
      <c r="K81" s="797"/>
      <c r="L81" s="797"/>
    </row>
    <row r="82" spans="1:12" s="960" customFormat="1">
      <c r="A82" s="2333"/>
      <c r="D82" s="2334"/>
      <c r="K82" s="797"/>
      <c r="L82" s="797"/>
    </row>
    <row r="83" spans="1:12" s="960" customFormat="1">
      <c r="A83" s="2333"/>
      <c r="D83" s="2334"/>
      <c r="K83" s="797"/>
      <c r="L83" s="797"/>
    </row>
    <row r="84" spans="1:12" s="960" customFormat="1">
      <c r="A84" s="2333"/>
      <c r="D84" s="2334"/>
      <c r="K84" s="797"/>
      <c r="L84" s="797"/>
    </row>
    <row r="85" spans="1:12" s="960" customFormat="1">
      <c r="A85" s="2333"/>
      <c r="D85" s="2334"/>
      <c r="K85" s="797"/>
      <c r="L85" s="797"/>
    </row>
    <row r="86" spans="1:12" s="960" customFormat="1">
      <c r="A86" s="2333"/>
      <c r="D86" s="2334"/>
      <c r="K86" s="797"/>
      <c r="L86" s="797"/>
    </row>
    <row r="87" spans="1:12" s="960" customFormat="1">
      <c r="A87" s="2333"/>
      <c r="D87" s="2334"/>
      <c r="K87" s="797"/>
      <c r="L87" s="797"/>
    </row>
    <row r="88" spans="1:12" s="960" customFormat="1">
      <c r="A88" s="2333"/>
      <c r="D88" s="2334"/>
      <c r="K88" s="797"/>
      <c r="L88" s="797"/>
    </row>
    <row r="89" spans="1:12" s="960" customFormat="1">
      <c r="A89" s="2333"/>
      <c r="D89" s="2334"/>
      <c r="K89" s="797"/>
      <c r="L89" s="797"/>
    </row>
    <row r="90" spans="1:12" s="960" customFormat="1">
      <c r="A90" s="2333"/>
      <c r="D90" s="2334"/>
      <c r="K90" s="797"/>
      <c r="L90" s="797"/>
    </row>
    <row r="91" spans="1:12" s="960" customFormat="1">
      <c r="A91" s="2333"/>
      <c r="D91" s="2334"/>
      <c r="K91" s="797"/>
      <c r="L91" s="797"/>
    </row>
    <row r="92" spans="1:12" s="960" customFormat="1">
      <c r="A92" s="2333"/>
      <c r="D92" s="2334"/>
      <c r="K92" s="797"/>
      <c r="L92" s="797"/>
    </row>
    <row r="93" spans="1:12" s="960" customFormat="1">
      <c r="A93" s="2333"/>
      <c r="D93" s="2334"/>
      <c r="K93" s="797"/>
      <c r="L93" s="797"/>
    </row>
    <row r="94" spans="1:12" s="960" customFormat="1">
      <c r="A94" s="2333"/>
      <c r="D94" s="2334"/>
      <c r="K94" s="797"/>
      <c r="L94" s="797"/>
    </row>
    <row r="95" spans="1:12" s="960" customFormat="1">
      <c r="A95" s="2333"/>
      <c r="D95" s="2334"/>
      <c r="K95" s="797"/>
      <c r="L95" s="797"/>
    </row>
    <row r="96" spans="1:12" s="960" customFormat="1">
      <c r="A96" s="2333"/>
      <c r="D96" s="2334"/>
      <c r="K96" s="797"/>
      <c r="L96" s="797"/>
    </row>
    <row r="97" spans="1:12" s="960" customFormat="1">
      <c r="A97" s="2333"/>
      <c r="D97" s="2334"/>
      <c r="K97" s="797"/>
      <c r="L97" s="797"/>
    </row>
    <row r="98" spans="1:12" s="960" customFormat="1">
      <c r="A98" s="2333"/>
      <c r="D98" s="2334"/>
      <c r="K98" s="797"/>
      <c r="L98" s="797"/>
    </row>
    <row r="99" spans="1:12" s="960" customFormat="1">
      <c r="A99" s="2333"/>
      <c r="D99" s="2334"/>
      <c r="K99" s="797"/>
      <c r="L99" s="797"/>
    </row>
    <row r="100" spans="1:12" s="960" customFormat="1">
      <c r="A100" s="2333"/>
      <c r="D100" s="2334"/>
      <c r="K100" s="797"/>
      <c r="L100" s="797"/>
    </row>
    <row r="101" spans="1:12" s="960" customFormat="1">
      <c r="A101" s="2333"/>
      <c r="D101" s="2334"/>
      <c r="K101" s="797"/>
      <c r="L101" s="797"/>
    </row>
    <row r="102" spans="1:12" s="960" customFormat="1">
      <c r="A102" s="2333"/>
      <c r="D102" s="2334"/>
      <c r="K102" s="797"/>
      <c r="L102" s="797"/>
    </row>
    <row r="103" spans="1:12" s="960" customFormat="1">
      <c r="A103" s="2333"/>
      <c r="D103" s="2334"/>
      <c r="K103" s="797"/>
      <c r="L103" s="797"/>
    </row>
    <row r="104" spans="1:12" s="960" customFormat="1">
      <c r="A104" s="2333"/>
      <c r="D104" s="2334"/>
      <c r="K104" s="797"/>
      <c r="L104" s="797"/>
    </row>
    <row r="105" spans="1:12" s="960" customFormat="1">
      <c r="A105" s="2333"/>
      <c r="D105" s="2334"/>
      <c r="K105" s="797"/>
      <c r="L105" s="797"/>
    </row>
    <row r="106" spans="1:12" s="960" customFormat="1">
      <c r="A106" s="2333"/>
      <c r="D106" s="2334"/>
      <c r="K106" s="797"/>
      <c r="L106" s="797"/>
    </row>
    <row r="107" spans="1:12" s="960" customFormat="1">
      <c r="A107" s="2333"/>
      <c r="D107" s="2334"/>
      <c r="K107" s="797"/>
      <c r="L107" s="797"/>
    </row>
    <row r="108" spans="1:12" s="960" customFormat="1">
      <c r="A108" s="2333"/>
      <c r="D108" s="2334"/>
      <c r="K108" s="797"/>
      <c r="L108" s="797"/>
    </row>
    <row r="109" spans="1:12" s="960" customFormat="1">
      <c r="A109" s="2333"/>
      <c r="D109" s="2334"/>
      <c r="K109" s="797"/>
      <c r="L109" s="797"/>
    </row>
    <row r="110" spans="1:12" s="960" customFormat="1">
      <c r="A110" s="2333"/>
      <c r="D110" s="2334"/>
      <c r="K110" s="797"/>
      <c r="L110" s="797"/>
    </row>
    <row r="111" spans="1:12" s="960" customFormat="1">
      <c r="A111" s="2333"/>
      <c r="D111" s="2334"/>
      <c r="K111" s="797"/>
      <c r="L111" s="797"/>
    </row>
    <row r="112" spans="1:12" s="960" customFormat="1">
      <c r="A112" s="2333"/>
      <c r="D112" s="2334"/>
      <c r="K112" s="797"/>
      <c r="L112" s="797"/>
    </row>
    <row r="113" spans="1:12" s="960" customFormat="1">
      <c r="A113" s="2333"/>
      <c r="D113" s="2334"/>
      <c r="K113" s="797"/>
      <c r="L113" s="797"/>
    </row>
    <row r="114" spans="1:12" s="960" customFormat="1">
      <c r="A114" s="2333"/>
      <c r="D114" s="2334"/>
      <c r="K114" s="797"/>
      <c r="L114" s="797"/>
    </row>
    <row r="115" spans="1:12" s="960" customFormat="1">
      <c r="A115" s="2333"/>
      <c r="D115" s="2334"/>
      <c r="K115" s="797"/>
      <c r="L115" s="797"/>
    </row>
    <row r="116" spans="1:12" s="960" customFormat="1">
      <c r="A116" s="2333"/>
      <c r="D116" s="2334"/>
      <c r="K116" s="797"/>
      <c r="L116" s="797"/>
    </row>
    <row r="117" spans="1:12" s="960" customFormat="1">
      <c r="A117" s="2333"/>
      <c r="D117" s="2334"/>
      <c r="K117" s="797"/>
      <c r="L117" s="797"/>
    </row>
    <row r="118" spans="1:12" s="960" customFormat="1">
      <c r="A118" s="2333"/>
      <c r="D118" s="2334"/>
      <c r="K118" s="797"/>
      <c r="L118" s="797"/>
    </row>
    <row r="119" spans="1:12" s="960" customFormat="1">
      <c r="A119" s="2333"/>
      <c r="D119" s="2334"/>
      <c r="K119" s="797"/>
      <c r="L119" s="797"/>
    </row>
    <row r="120" spans="1:12" s="960" customFormat="1">
      <c r="A120" s="2333"/>
      <c r="D120" s="2334"/>
      <c r="K120" s="797"/>
      <c r="L120" s="797"/>
    </row>
    <row r="121" spans="1:12" s="960" customFormat="1">
      <c r="A121" s="2333"/>
      <c r="D121" s="2334"/>
      <c r="K121" s="797"/>
      <c r="L121" s="797"/>
    </row>
    <row r="122" spans="1:12" s="960" customFormat="1">
      <c r="A122" s="2333"/>
      <c r="D122" s="2334"/>
      <c r="K122" s="797"/>
      <c r="L122" s="797"/>
    </row>
    <row r="123" spans="1:12" s="960" customFormat="1">
      <c r="A123" s="2333"/>
      <c r="D123" s="2334"/>
      <c r="K123" s="797"/>
      <c r="L123" s="797"/>
    </row>
    <row r="124" spans="1:12" s="960" customFormat="1">
      <c r="A124" s="2333"/>
      <c r="D124" s="2334"/>
      <c r="K124" s="797"/>
      <c r="L124" s="797"/>
    </row>
    <row r="125" spans="1:12" s="960" customFormat="1">
      <c r="A125" s="2333"/>
      <c r="D125" s="2334"/>
      <c r="K125" s="797"/>
      <c r="L125" s="797"/>
    </row>
    <row r="126" spans="1:12" s="960" customFormat="1">
      <c r="A126" s="2333"/>
      <c r="D126" s="2334"/>
      <c r="K126" s="797"/>
      <c r="L126" s="797"/>
    </row>
    <row r="127" spans="1:12" s="960" customFormat="1">
      <c r="A127" s="2333"/>
      <c r="D127" s="2334"/>
      <c r="K127" s="797"/>
      <c r="L127" s="797"/>
    </row>
    <row r="128" spans="1:12" s="960" customFormat="1">
      <c r="A128" s="2333"/>
      <c r="D128" s="2334"/>
      <c r="K128" s="797"/>
      <c r="L128" s="797"/>
    </row>
    <row r="129" spans="1:12" s="960" customFormat="1">
      <c r="A129" s="2333"/>
      <c r="D129" s="2334"/>
      <c r="K129" s="797"/>
      <c r="L129" s="797"/>
    </row>
    <row r="130" spans="1:12" s="960" customFormat="1">
      <c r="A130" s="2333"/>
      <c r="D130" s="2334"/>
      <c r="K130" s="797"/>
      <c r="L130" s="797"/>
    </row>
    <row r="131" spans="1:12" s="960" customFormat="1">
      <c r="A131" s="2333"/>
      <c r="D131" s="2334"/>
      <c r="K131" s="797"/>
      <c r="L131" s="797"/>
    </row>
    <row r="132" spans="1:12" s="960" customFormat="1">
      <c r="A132" s="2333"/>
      <c r="D132" s="2334"/>
      <c r="K132" s="797"/>
      <c r="L132" s="797"/>
    </row>
    <row r="133" spans="1:12" s="960"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098" t="s">
        <v>2076</v>
      </c>
      <c r="B1" s="3099"/>
      <c r="C1" s="3099"/>
      <c r="D1" s="3099"/>
      <c r="E1" s="3099"/>
      <c r="F1" s="3099"/>
      <c r="G1" s="3099"/>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2077</v>
      </c>
      <c r="D2" s="2358"/>
      <c r="E2" s="2359"/>
      <c r="F2" s="2278"/>
      <c r="G2" s="2357" t="s">
        <v>2078</v>
      </c>
      <c r="H2" s="2360"/>
      <c r="I2" s="2360"/>
      <c r="J2" s="2360"/>
      <c r="K2" s="2360"/>
      <c r="L2" s="2360"/>
      <c r="M2" s="2360"/>
      <c r="N2" s="2360"/>
      <c r="O2" s="2360"/>
      <c r="P2" s="2360"/>
      <c r="Q2" s="2360"/>
      <c r="R2" s="2360"/>
    </row>
    <row r="3" spans="1:29" ht="42.75">
      <c r="A3" s="414" t="s">
        <v>2079</v>
      </c>
      <c r="B3" s="1264" t="s">
        <v>2080</v>
      </c>
      <c r="C3" s="2958"/>
      <c r="D3" s="2362"/>
      <c r="E3" s="430" t="s">
        <v>2079</v>
      </c>
      <c r="F3" s="2363" t="s">
        <v>2081</v>
      </c>
      <c r="G3" s="2364" t="s">
        <v>2082</v>
      </c>
      <c r="H3" s="2360"/>
      <c r="I3" s="2360"/>
      <c r="J3" s="2360"/>
      <c r="K3" s="2360"/>
      <c r="L3" s="2360"/>
      <c r="M3" s="2360"/>
      <c r="N3" s="2360"/>
      <c r="O3" s="2360"/>
      <c r="P3" s="2360"/>
      <c r="Q3" s="2360"/>
      <c r="R3" s="2360"/>
    </row>
    <row r="4" spans="1:29" ht="40.5">
      <c r="A4" s="430"/>
      <c r="B4" s="1791" t="s">
        <v>2083</v>
      </c>
      <c r="C4" s="2959" t="s">
        <v>3253</v>
      </c>
      <c r="D4" s="2362"/>
      <c r="E4" s="2365"/>
      <c r="F4" s="42" t="s">
        <v>2084</v>
      </c>
      <c r="G4" s="2366" t="s">
        <v>2085</v>
      </c>
      <c r="H4" s="2360"/>
      <c r="I4" s="2360"/>
      <c r="J4" s="2360"/>
      <c r="K4" s="2360"/>
      <c r="L4" s="2360"/>
      <c r="M4" s="2360"/>
      <c r="N4" s="2360"/>
      <c r="O4" s="2360"/>
      <c r="P4" s="2360"/>
      <c r="Q4" s="2360"/>
      <c r="R4" s="2360"/>
    </row>
    <row r="5" spans="1:29" ht="54">
      <c r="A5" s="430"/>
      <c r="B5" s="1791" t="s">
        <v>2086</v>
      </c>
      <c r="C5" s="2959" t="s">
        <v>3254</v>
      </c>
      <c r="D5" s="2362"/>
      <c r="E5" s="2365"/>
      <c r="F5" s="1791" t="s">
        <v>2087</v>
      </c>
      <c r="G5" s="2366" t="s">
        <v>2088</v>
      </c>
      <c r="H5" s="2360"/>
      <c r="I5" s="2360"/>
      <c r="J5" s="2360"/>
      <c r="K5" s="2360"/>
      <c r="L5" s="2360"/>
      <c r="M5" s="2360"/>
      <c r="N5" s="2360"/>
      <c r="O5" s="2360"/>
      <c r="P5" s="2360"/>
      <c r="Q5" s="2360"/>
      <c r="R5" s="2360"/>
    </row>
    <row r="6" spans="1:29" ht="54">
      <c r="A6" s="430"/>
      <c r="B6" s="1791" t="s">
        <v>2089</v>
      </c>
      <c r="C6" s="2957" t="s">
        <v>3347</v>
      </c>
      <c r="D6" s="2362"/>
      <c r="E6" s="2365"/>
      <c r="F6" s="1791" t="s">
        <v>2090</v>
      </c>
      <c r="G6" s="2366" t="s">
        <v>2091</v>
      </c>
      <c r="H6" s="2360"/>
      <c r="I6" s="2360"/>
      <c r="J6" s="2360"/>
      <c r="K6" s="2360"/>
      <c r="L6" s="2360"/>
      <c r="M6" s="2360"/>
      <c r="N6" s="2360"/>
      <c r="O6" s="2360"/>
      <c r="P6" s="2360"/>
      <c r="Q6" s="2360"/>
      <c r="R6" s="2360"/>
    </row>
    <row r="7" spans="1:29" ht="108.75" thickBot="1">
      <c r="A7" s="430"/>
      <c r="B7" s="1791" t="s">
        <v>2087</v>
      </c>
      <c r="C7" s="2957" t="s">
        <v>3255</v>
      </c>
      <c r="D7" s="2367"/>
      <c r="E7" s="2368"/>
      <c r="F7" s="2369" t="s">
        <v>2092</v>
      </c>
      <c r="G7" s="2370" t="s">
        <v>2093</v>
      </c>
      <c r="H7" s="2360"/>
      <c r="I7" s="2360"/>
      <c r="J7" s="2360"/>
      <c r="K7" s="2360"/>
      <c r="L7" s="2360"/>
      <c r="M7" s="2360"/>
      <c r="N7" s="2360"/>
      <c r="O7" s="2360"/>
      <c r="P7" s="2360"/>
      <c r="Q7" s="2360"/>
      <c r="R7" s="2360"/>
    </row>
    <row r="8" spans="1:29" ht="27">
      <c r="A8" s="430"/>
      <c r="B8" s="1791" t="s">
        <v>2090</v>
      </c>
      <c r="C8" s="2957" t="s">
        <v>3250</v>
      </c>
      <c r="D8" s="2367"/>
      <c r="E8" s="2367"/>
      <c r="F8" s="1129"/>
      <c r="G8" s="1129"/>
      <c r="H8" s="2360"/>
      <c r="I8" s="2360"/>
      <c r="J8" s="2360"/>
      <c r="K8" s="2360"/>
      <c r="L8" s="2360"/>
      <c r="M8" s="2360"/>
      <c r="N8" s="2360"/>
      <c r="O8" s="2360"/>
      <c r="P8" s="2360"/>
      <c r="Q8" s="2360"/>
      <c r="R8" s="2360"/>
    </row>
    <row r="9" spans="1:29" ht="54">
      <c r="A9" s="430"/>
      <c r="B9" s="1791" t="s">
        <v>2094</v>
      </c>
      <c r="C9" s="2959" t="s">
        <v>3256</v>
      </c>
      <c r="D9" s="2362"/>
      <c r="E9" s="2367"/>
      <c r="F9" s="1129"/>
      <c r="G9" s="1129"/>
      <c r="H9" s="2360"/>
      <c r="I9" s="2360"/>
      <c r="J9" s="2360"/>
      <c r="K9" s="2360"/>
      <c r="L9" s="2360"/>
      <c r="M9" s="2360"/>
      <c r="N9" s="2360"/>
      <c r="O9" s="2360"/>
      <c r="P9" s="2360"/>
      <c r="Q9" s="2360"/>
      <c r="R9" s="2360"/>
    </row>
    <row r="10" spans="1:29" s="116" customFormat="1" ht="15.75" thickBot="1">
      <c r="A10" s="2371"/>
      <c r="B10" s="2372" t="s">
        <v>2095</v>
      </c>
      <c r="C10" s="2373"/>
      <c r="D10" s="2362"/>
      <c r="E10" s="2362"/>
      <c r="F10" s="1129"/>
      <c r="G10" s="1129"/>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7"/>
      <c r="C11" s="2362"/>
      <c r="D11" s="2362"/>
      <c r="E11" s="2362"/>
      <c r="F11" s="2367"/>
      <c r="G11" s="1147"/>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7"/>
      <c r="C12" s="2362"/>
      <c r="D12" s="2378"/>
      <c r="E12" s="2362"/>
      <c r="F12" s="2367"/>
      <c r="G12" s="1147"/>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2096</v>
      </c>
      <c r="B13" s="2378"/>
      <c r="C13" s="2378"/>
      <c r="D13" s="2385"/>
      <c r="E13" s="2378"/>
      <c r="F13" s="2378"/>
      <c r="G13" s="2378"/>
    </row>
    <row r="14" spans="1:29" ht="15.75" thickBot="1">
      <c r="A14" s="2389"/>
      <c r="B14" s="2390"/>
      <c r="C14" s="2391" t="s">
        <v>2097</v>
      </c>
      <c r="D14" s="2362"/>
      <c r="E14" s="2392"/>
      <c r="F14" s="2392"/>
      <c r="G14" s="2357" t="s">
        <v>2098</v>
      </c>
    </row>
    <row r="15" spans="1:29" ht="42.75">
      <c r="A15" s="67" t="s">
        <v>2099</v>
      </c>
      <c r="B15" s="1263" t="s">
        <v>2080</v>
      </c>
      <c r="C15" s="2393">
        <f>C3</f>
        <v>0</v>
      </c>
      <c r="D15" s="2362"/>
      <c r="E15" s="2394" t="s">
        <v>2100</v>
      </c>
      <c r="F15" s="1263" t="s">
        <v>2101</v>
      </c>
      <c r="G15" s="134" t="str">
        <f>G3</f>
        <v>估价对象位于XX开发区，园区建设成熟度XX，产业集聚程度XX</v>
      </c>
    </row>
    <row r="16" spans="1:29" ht="42.75">
      <c r="A16" s="644"/>
      <c r="B16" s="2395" t="s">
        <v>2083</v>
      </c>
      <c r="C16" s="2396" t="str">
        <f>C4</f>
        <v>估价对象位于曲江新区，周边商业氛围较不成熟，人流量一般，商业繁华度一般。</v>
      </c>
      <c r="D16" s="2362"/>
      <c r="E16" s="2397"/>
      <c r="F16" s="2398" t="s">
        <v>2084</v>
      </c>
      <c r="G16" s="135" t="str">
        <f>G4</f>
        <v>估价对象周边道路状况、公共交通通达情况、停车便捷程度，综合评价交通便捷度较好</v>
      </c>
    </row>
    <row r="17" spans="1:18" ht="57">
      <c r="A17" s="644"/>
      <c r="B17" s="2395" t="s">
        <v>2086</v>
      </c>
      <c r="C17" s="2396" t="str">
        <f>C5</f>
        <v>估价对象位于曲江新区，周边办公楼项目数量一般，入驻率一般，办公集聚程度一般。</v>
      </c>
      <c r="D17" s="2367"/>
      <c r="E17" s="2397"/>
      <c r="F17" s="2398" t="s">
        <v>2102</v>
      </c>
      <c r="G17" s="1565"/>
    </row>
    <row r="18" spans="1:18" ht="57">
      <c r="A18" s="644"/>
      <c r="B18" s="2398" t="s">
        <v>2089</v>
      </c>
      <c r="C18" s="135" t="str">
        <f>C6</f>
        <v>估价对象周边道路通达状况一般、公共交通通达情况一般、停车便捷程度一般，综合评价交通便捷度一般。</v>
      </c>
      <c r="D18" s="2367"/>
      <c r="E18" s="2397"/>
      <c r="F18" s="2398" t="s">
        <v>2092</v>
      </c>
      <c r="G18" s="135" t="str">
        <f>G7</f>
        <v>该园区内是否有污染型企业，绿化情况，卫生条件，整体环境状况判断</v>
      </c>
    </row>
    <row r="19" spans="1:18" ht="28.5">
      <c r="A19" s="644"/>
      <c r="B19" s="2398" t="s">
        <v>2103</v>
      </c>
      <c r="C19" s="1565"/>
      <c r="D19" s="2362"/>
      <c r="E19" s="2397"/>
      <c r="F19" s="1791" t="s">
        <v>2087</v>
      </c>
      <c r="G19" s="135" t="str">
        <f>G5</f>
        <v>估价对象所在区域公共配套设施齐备情况</v>
      </c>
    </row>
    <row r="20" spans="1:18" ht="57">
      <c r="A20" s="644"/>
      <c r="B20" s="2398" t="s">
        <v>2104</v>
      </c>
      <c r="C20" s="2396" t="str">
        <f>C9</f>
        <v>区域自然环境：杜陵遗址生态公园；人文环境：厦门华侨博物馆；综合评价环境状况较好。</v>
      </c>
      <c r="D20" s="2367"/>
      <c r="E20" s="2397"/>
      <c r="F20" s="1791" t="s">
        <v>2105</v>
      </c>
      <c r="G20" s="135" t="str">
        <f>G6</f>
        <v>估价对象所在区域基础设施水平</v>
      </c>
    </row>
    <row r="21" spans="1:18" ht="114">
      <c r="A21" s="644"/>
      <c r="B21" s="1791" t="s">
        <v>2087</v>
      </c>
      <c r="C21" s="135" t="str">
        <f>C7</f>
        <v>估价对象所在区域2公里范围内有：银行（恒丰银行、中国建设银行），商场（佳乐购物中心、西安安瑞桥超市），医院（西北妇女儿童医院），学校（三兆小学、曲江第二幼儿园）等，公共配套设施齐备情况较好。</v>
      </c>
      <c r="D21" s="2362"/>
      <c r="E21" s="2397"/>
      <c r="F21" s="2398" t="s">
        <v>2106</v>
      </c>
      <c r="G21" s="2399"/>
    </row>
    <row r="22" spans="1:18" ht="13.5" customHeight="1">
      <c r="A22" s="644"/>
      <c r="B22" s="1791" t="s">
        <v>2090</v>
      </c>
      <c r="C22" s="135" t="str">
        <f>C8</f>
        <v>估价对象所在区域基础设施水平达到“七通”。</v>
      </c>
      <c r="D22" s="2362"/>
      <c r="E22" s="2397"/>
      <c r="F22" s="2398" t="s">
        <v>2095</v>
      </c>
      <c r="G22" s="1565"/>
    </row>
    <row r="23" spans="1:18" s="2360" customFormat="1" ht="15.75" thickBot="1">
      <c r="A23" s="644"/>
      <c r="B23" s="2398" t="s">
        <v>2106</v>
      </c>
      <c r="C23" s="2399"/>
      <c r="D23" s="2386"/>
      <c r="E23" s="2400"/>
      <c r="F23" s="2401" t="s">
        <v>2107</v>
      </c>
      <c r="G23" s="2402"/>
      <c r="H23" s="2386"/>
      <c r="I23" s="2387"/>
      <c r="J23" s="2386"/>
      <c r="K23" s="2386"/>
      <c r="L23" s="2387"/>
      <c r="M23" s="2386"/>
      <c r="N23" s="2386"/>
      <c r="O23" s="2387"/>
      <c r="P23" s="2386"/>
      <c r="Q23" s="2386"/>
      <c r="R23" s="2388"/>
    </row>
    <row r="24" spans="1:18" s="2360" customFormat="1" ht="15.75" thickBot="1">
      <c r="A24" s="2403"/>
      <c r="B24" s="2401" t="s">
        <v>2108</v>
      </c>
      <c r="C24" s="136">
        <f>C10</f>
        <v>0</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1365</v>
      </c>
      <c r="B1" s="1739">
        <f>SUM(B14:B23)</f>
        <v>111646.95</v>
      </c>
      <c r="C1" s="1738"/>
      <c r="D1" s="1738"/>
      <c r="E1" s="1738"/>
      <c r="F1" s="1738"/>
      <c r="G1" s="1736"/>
    </row>
    <row r="2" spans="1:10" ht="16.5">
      <c r="A2" s="1739" t="s">
        <v>1353</v>
      </c>
      <c r="B2" s="1739">
        <f>SUM(C14:C23)</f>
        <v>27591.5</v>
      </c>
      <c r="C2" s="1738"/>
      <c r="D2" s="1738"/>
      <c r="E2" s="1738"/>
      <c r="F2" s="1738"/>
      <c r="G2" s="1736"/>
    </row>
    <row r="3" spans="1:10" ht="16.5">
      <c r="A3" s="1739" t="s">
        <v>1362</v>
      </c>
      <c r="B3" s="1740">
        <f>项目基本情况!D3</f>
        <v>43265</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112046</v>
      </c>
      <c r="C5" s="1739">
        <f ca="1">ROUND(B5*10000/$B$1,0)</f>
        <v>10036</v>
      </c>
      <c r="D5" s="1739">
        <f ca="1">ROUND(B5*10000/$B$2,0)</f>
        <v>40609</v>
      </c>
      <c r="E5" s="1738"/>
      <c r="F5" s="1736"/>
      <c r="G5" s="1736"/>
    </row>
    <row r="6" spans="1:10" ht="16.5">
      <c r="A6" s="1739" t="s">
        <v>1356</v>
      </c>
      <c r="B6" s="1739">
        <f ca="1">SUM(G14:G23)</f>
        <v>112046</v>
      </c>
      <c r="C6" s="1739">
        <f ca="1">ROUND(B6*10000/$B$1,0)</f>
        <v>10036</v>
      </c>
      <c r="D6" s="1739">
        <f ca="1">ROUND(B6*10000/$B$2,0)</f>
        <v>40609</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111646.95</v>
      </c>
      <c r="C14" s="1737">
        <f>结果表!C118</f>
        <v>27591.5</v>
      </c>
      <c r="D14" s="1737">
        <f ca="1">结果表!H118</f>
        <v>112046</v>
      </c>
      <c r="E14" s="1737">
        <f ca="1">ROUND(D14*10000/B14,0)</f>
        <v>10036</v>
      </c>
      <c r="F14" s="1737">
        <f ca="1">ROUND(D14*10000/C14,0)</f>
        <v>40609</v>
      </c>
      <c r="G14" s="1737">
        <f ca="1">结果表!D122</f>
        <v>112046</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 zoomScaleNormal="100" zoomScaleSheetLayoutView="100" zoomScalePageLayoutView="80" workbookViewId="0">
      <selection activeCell="K23" sqref="K23"/>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7" t="s">
        <v>2109</v>
      </c>
      <c r="B1" s="2409"/>
      <c r="C1" s="2410"/>
      <c r="D1" s="2409"/>
      <c r="E1" s="2409"/>
      <c r="F1" s="2411" t="s">
        <v>2110</v>
      </c>
      <c r="G1" s="2063" t="s">
        <v>3206</v>
      </c>
      <c r="H1" s="2412" t="str">
        <f>IF(G1="现房","——","估价对象范围")</f>
        <v>——</v>
      </c>
      <c r="I1" s="2413"/>
    </row>
    <row r="2" spans="1:12" ht="21.75" customHeight="1" thickBot="1">
      <c r="A2" s="3133" t="str">
        <f>项目基本情况!S2</f>
        <v>陕西省西安市曲江新区雁翔路以西，春林路以南“景恒彩虹谷”项目房地产</v>
      </c>
      <c r="B2" s="3134"/>
      <c r="C2" s="3134"/>
      <c r="D2" s="3134"/>
      <c r="E2" s="3134"/>
      <c r="F2" s="3134"/>
      <c r="G2" s="3134"/>
      <c r="H2" s="3134"/>
      <c r="I2" s="3135"/>
    </row>
    <row r="3" spans="1:12" ht="12.75">
      <c r="A3" s="3137" t="s">
        <v>2111</v>
      </c>
      <c r="B3" s="3138"/>
      <c r="C3" s="3138"/>
      <c r="D3" s="3138"/>
      <c r="E3" s="3138"/>
      <c r="F3" s="3138"/>
      <c r="G3" s="3138"/>
      <c r="H3" s="3138"/>
      <c r="I3" s="3138"/>
    </row>
    <row r="4" spans="1:12" ht="14.25">
      <c r="A4" s="2416" t="s">
        <v>2112</v>
      </c>
      <c r="B4" s="2417" t="s">
        <v>2113</v>
      </c>
      <c r="C4" s="2418" t="s">
        <v>3265</v>
      </c>
      <c r="D4" s="2418" t="s">
        <v>3266</v>
      </c>
      <c r="E4" s="3130" t="s">
        <v>2114</v>
      </c>
      <c r="F4" s="3131"/>
      <c r="G4" s="3131"/>
      <c r="H4" s="3131"/>
      <c r="I4" s="3142"/>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13" t="s">
        <v>2115</v>
      </c>
      <c r="B5" s="3051">
        <v>25</v>
      </c>
      <c r="C5" s="3139"/>
      <c r="D5" s="3136"/>
      <c r="E5" s="139" t="s">
        <v>2116</v>
      </c>
      <c r="F5" s="2420"/>
      <c r="G5" s="2420"/>
      <c r="H5" s="2420"/>
      <c r="I5" s="1827"/>
    </row>
    <row r="6" spans="1:12" ht="12.75">
      <c r="A6" s="3113"/>
      <c r="B6" s="3051"/>
      <c r="C6" s="3141"/>
      <c r="D6" s="3136"/>
      <c r="E6" s="139" t="s">
        <v>2117</v>
      </c>
      <c r="F6" s="2420"/>
      <c r="G6" s="2420"/>
      <c r="H6" s="2420"/>
      <c r="I6" s="1827"/>
    </row>
    <row r="7" spans="1:12" ht="12.75">
      <c r="A7" s="3113"/>
      <c r="B7" s="3051"/>
      <c r="C7" s="3140"/>
      <c r="D7" s="3136"/>
      <c r="E7" s="139" t="s">
        <v>2118</v>
      </c>
      <c r="F7" s="2420"/>
      <c r="G7" s="2420"/>
      <c r="H7" s="2420"/>
      <c r="I7" s="1827"/>
    </row>
    <row r="8" spans="1:12" ht="12.75">
      <c r="A8" s="3113" t="s">
        <v>2119</v>
      </c>
      <c r="B8" s="3051">
        <v>15</v>
      </c>
      <c r="C8" s="3139"/>
      <c r="D8" s="3136"/>
      <c r="E8" s="139" t="s">
        <v>2120</v>
      </c>
      <c r="F8" s="2420"/>
      <c r="G8" s="2420"/>
      <c r="H8" s="2420"/>
      <c r="I8" s="1827"/>
    </row>
    <row r="9" spans="1:12" ht="12.75">
      <c r="A9" s="3113"/>
      <c r="B9" s="3051"/>
      <c r="C9" s="3140"/>
      <c r="D9" s="3136"/>
      <c r="E9" s="139" t="s">
        <v>2121</v>
      </c>
      <c r="F9" s="2420"/>
      <c r="G9" s="2420"/>
      <c r="H9" s="2420"/>
      <c r="I9" s="1827"/>
    </row>
    <row r="10" spans="1:12" ht="12.75">
      <c r="A10" s="3113" t="s">
        <v>2122</v>
      </c>
      <c r="B10" s="3051">
        <v>15</v>
      </c>
      <c r="C10" s="3139"/>
      <c r="D10" s="3136"/>
      <c r="E10" s="139" t="s">
        <v>2123</v>
      </c>
      <c r="F10" s="2420"/>
      <c r="G10" s="2420"/>
      <c r="H10" s="2420"/>
      <c r="I10" s="1827"/>
    </row>
    <row r="11" spans="1:12" ht="12.75">
      <c r="A11" s="3113"/>
      <c r="B11" s="3051"/>
      <c r="C11" s="3140"/>
      <c r="D11" s="3136"/>
      <c r="E11" s="139" t="s">
        <v>2124</v>
      </c>
      <c r="F11" s="2420"/>
      <c r="G11" s="2420"/>
      <c r="H11" s="2420"/>
      <c r="I11" s="1827"/>
    </row>
    <row r="12" spans="1:12" ht="12.75">
      <c r="A12" s="3113" t="s">
        <v>2125</v>
      </c>
      <c r="B12" s="3051">
        <v>15</v>
      </c>
      <c r="C12" s="3139"/>
      <c r="D12" s="3136"/>
      <c r="E12" s="139" t="s">
        <v>2126</v>
      </c>
      <c r="F12" s="2420"/>
      <c r="G12" s="2420"/>
      <c r="H12" s="2420"/>
      <c r="I12" s="1827"/>
    </row>
    <row r="13" spans="1:12" ht="12.75">
      <c r="A13" s="3113"/>
      <c r="B13" s="3051"/>
      <c r="C13" s="3140"/>
      <c r="D13" s="3136"/>
      <c r="E13" s="139" t="s">
        <v>2127</v>
      </c>
      <c r="F13" s="2420"/>
      <c r="G13" s="2420"/>
      <c r="H13" s="2420"/>
      <c r="I13" s="1827"/>
    </row>
    <row r="14" spans="1:12" ht="12.75">
      <c r="A14" s="3113" t="s">
        <v>2128</v>
      </c>
      <c r="B14" s="3051">
        <v>30</v>
      </c>
      <c r="C14" s="3116">
        <v>4</v>
      </c>
      <c r="D14" s="3164">
        <v>6</v>
      </c>
      <c r="E14" s="139" t="s">
        <v>2129</v>
      </c>
      <c r="F14" s="2420"/>
      <c r="G14" s="2420"/>
      <c r="H14" s="2420"/>
      <c r="I14" s="1827"/>
    </row>
    <row r="15" spans="1:12" ht="12.75">
      <c r="A15" s="3113"/>
      <c r="B15" s="3051"/>
      <c r="C15" s="3117"/>
      <c r="D15" s="3164"/>
      <c r="E15" s="139" t="s">
        <v>2130</v>
      </c>
      <c r="F15" s="2420"/>
      <c r="G15" s="2420"/>
      <c r="H15" s="2420"/>
      <c r="I15" s="1827"/>
    </row>
    <row r="16" spans="1:12" ht="12.75">
      <c r="A16" s="3113"/>
      <c r="B16" s="3051"/>
      <c r="C16" s="3118"/>
      <c r="D16" s="3164"/>
      <c r="E16" s="139" t="s">
        <v>2131</v>
      </c>
      <c r="F16" s="2420"/>
      <c r="G16" s="2420"/>
      <c r="H16" s="2420"/>
      <c r="I16" s="1827"/>
    </row>
    <row r="17" spans="1:35" ht="15">
      <c r="A17" s="2421" t="s">
        <v>2132</v>
      </c>
      <c r="B17" s="64"/>
      <c r="C17" s="140">
        <f>SUM(C5:C16)</f>
        <v>4</v>
      </c>
      <c r="D17" s="140">
        <f>SUM(D5:D16)</f>
        <v>6</v>
      </c>
      <c r="E17" s="137"/>
      <c r="F17" s="137"/>
      <c r="G17" s="137"/>
      <c r="H17" s="137"/>
      <c r="I17" s="137"/>
      <c r="K17" s="2419"/>
      <c r="L17" s="2422" t="s">
        <v>2133</v>
      </c>
      <c r="M17" s="2422" t="s">
        <v>2134</v>
      </c>
    </row>
    <row r="18" spans="1:35" ht="15.75" thickBot="1">
      <c r="A18" s="2423" t="s">
        <v>2135</v>
      </c>
      <c r="B18" s="2424"/>
      <c r="C18" s="141">
        <f>ROUND(C17/SUM(C17:D17),2)</f>
        <v>0.4</v>
      </c>
      <c r="D18" s="141">
        <f>1-C18</f>
        <v>0.6</v>
      </c>
      <c r="E18" s="137"/>
      <c r="F18" s="137"/>
      <c r="G18" s="137"/>
      <c r="H18" s="137"/>
      <c r="I18" s="137"/>
      <c r="K18" s="2419" t="s">
        <v>2136</v>
      </c>
      <c r="L18" s="2419">
        <f>IF(C1="",'数据-汇总表'!E3,SUMIF(项目类型,C1,'数据-汇总表'!E17:E26)+SUMIF(项目类型,C1,'数据-汇总表'!I17:I26))</f>
        <v>111646.95</v>
      </c>
      <c r="M18" s="2419">
        <f>IF(C1="",'数据-汇总表'!E3,SUMIF(项目类型,C1,'数据-汇总表'!E17:E26))</f>
        <v>111646.95</v>
      </c>
    </row>
    <row r="19" spans="1:35" ht="15">
      <c r="A19" s="2425" t="s">
        <v>2137</v>
      </c>
      <c r="B19" s="2426" t="s">
        <v>2138</v>
      </c>
      <c r="C19" s="142">
        <f ca="1">SUMIF(INDIRECT("'"&amp;C4&amp;"'"&amp;"!A:A"),结果表!B19,INDIRECT("'"&amp;C4&amp;"'"&amp;"!B:B"))</f>
        <v>81749</v>
      </c>
      <c r="D19" s="143">
        <f ca="1">SUMIF(INDIRECT("'"&amp;D4&amp;"'"&amp;"!A:A"),结果表!B19,INDIRECT("'"&amp;D4&amp;"'"&amp;"!B:B"))</f>
        <v>132244</v>
      </c>
      <c r="E19" s="2425" t="s">
        <v>2139</v>
      </c>
      <c r="F19" s="2426" t="s">
        <v>2138</v>
      </c>
      <c r="G19" s="144">
        <f ca="1">ROUND(C19*$C$18+D19*$D$18,0)</f>
        <v>112046</v>
      </c>
      <c r="H19" s="2427" t="s">
        <v>2140</v>
      </c>
      <c r="I19" s="137"/>
      <c r="K19" s="2419" t="s">
        <v>2141</v>
      </c>
      <c r="L19" s="2419">
        <f>IF(C1="",'数据-汇总表'!D3,SUMIF(项目类型,C1,'数据-汇总表'!D17:D26)+SUMIF(项目类型,C1,'数据-汇总表'!H17:H27))</f>
        <v>27591.5</v>
      </c>
      <c r="M19" s="2419">
        <f>IF(C1="",'数据-汇总表'!D3,SUMIF(项目类型,C1,'数据-汇总表'!D17:D26))</f>
        <v>27591.5</v>
      </c>
    </row>
    <row r="20" spans="1:35" ht="15">
      <c r="A20" s="2428"/>
      <c r="B20" s="1243" t="s">
        <v>2142</v>
      </c>
      <c r="C20" s="145">
        <f ca="1">SUMIF(INDIRECT("'"&amp;C4&amp;"'"&amp;"!A:A"),结果表!B20,INDIRECT("'"&amp;C4&amp;"'"&amp;"!B:B"))</f>
        <v>7322</v>
      </c>
      <c r="D20" s="146">
        <f ca="1">SUMIF(INDIRECT("'"&amp;D4&amp;"'"&amp;"!A:A"),结果表!B20,INDIRECT("'"&amp;D4&amp;"'"&amp;"!B:B"))</f>
        <v>11845</v>
      </c>
      <c r="E20" s="2428"/>
      <c r="F20" s="1243" t="s">
        <v>2142</v>
      </c>
      <c r="G20" s="147">
        <f ca="1">ROUND(C20*$C$18+D20*$D$18,0)</f>
        <v>10036</v>
      </c>
      <c r="H20" s="976" t="s">
        <v>2143</v>
      </c>
      <c r="I20" s="137"/>
    </row>
    <row r="21" spans="1:35" ht="15" customHeight="1" thickBot="1">
      <c r="A21" s="996"/>
      <c r="B21" s="2429" t="s">
        <v>2144</v>
      </c>
      <c r="C21" s="788">
        <f ca="1">ROUND(C19*10000/L19,0)</f>
        <v>29628</v>
      </c>
      <c r="D21" s="789">
        <f ca="1">ROUND(D19*10000/L19,0)</f>
        <v>47929</v>
      </c>
      <c r="E21" s="996"/>
      <c r="F21" s="2429" t="s">
        <v>2144</v>
      </c>
      <c r="G21" s="148">
        <f ca="1">ROUND(G19*10000/L19,0)</f>
        <v>40609</v>
      </c>
      <c r="H21" s="2430" t="s">
        <v>2143</v>
      </c>
      <c r="I21" s="137"/>
    </row>
    <row r="22" spans="1:35" ht="15" thickBot="1">
      <c r="A22" s="2273" t="s">
        <v>2145</v>
      </c>
      <c r="B22" s="2431"/>
      <c r="C22" s="2432"/>
      <c r="D22" s="790">
        <f ca="1">IF(C19&lt;D19,D19/C19-1,C19/D19-1)</f>
        <v>0.61768339673879802</v>
      </c>
      <c r="E22" s="137"/>
      <c r="F22" s="137"/>
      <c r="G22" s="137"/>
      <c r="H22" s="137"/>
      <c r="I22" s="137"/>
    </row>
    <row r="23" spans="1:35" ht="13.5" thickBot="1">
      <c r="A23" s="2409"/>
      <c r="B23" s="2409"/>
      <c r="C23" s="2409"/>
      <c r="D23" s="2409"/>
      <c r="E23" s="137"/>
      <c r="F23" s="137"/>
      <c r="G23" s="137"/>
      <c r="H23" s="137"/>
      <c r="I23" s="137"/>
    </row>
    <row r="24" spans="1:35" ht="14.25">
      <c r="A24" s="3107" t="s">
        <v>2146</v>
      </c>
      <c r="B24" s="2426" t="s">
        <v>2138</v>
      </c>
      <c r="C24" s="144">
        <f>IF(B30=0,0,D30)</f>
        <v>0</v>
      </c>
      <c r="D24" s="2433"/>
      <c r="E24" s="137"/>
      <c r="F24" s="137"/>
      <c r="G24" s="137"/>
      <c r="H24" s="137"/>
      <c r="I24" s="137"/>
    </row>
    <row r="25" spans="1:35" ht="14.25">
      <c r="A25" s="3108"/>
      <c r="B25" s="1243" t="s">
        <v>2142</v>
      </c>
      <c r="C25" s="149">
        <f>IF(B30=0,0,C30)</f>
        <v>0</v>
      </c>
      <c r="D25" s="2434"/>
      <c r="E25" s="137"/>
      <c r="F25" s="137"/>
      <c r="G25" s="137"/>
      <c r="H25" s="137"/>
      <c r="I25" s="137"/>
    </row>
    <row r="26" spans="1:35" ht="13.5" customHeight="1">
      <c r="A26" s="2435" t="s">
        <v>2147</v>
      </c>
      <c r="B26" s="150" t="s">
        <v>2148</v>
      </c>
      <c r="C26" s="150" t="s">
        <v>2149</v>
      </c>
      <c r="D26" s="151" t="s">
        <v>2150</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2151</v>
      </c>
      <c r="B30" s="150"/>
      <c r="C30" s="150"/>
      <c r="D30" s="150"/>
      <c r="E30" s="2918" t="s">
        <v>3028</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2152</v>
      </c>
      <c r="B32" s="2439"/>
      <c r="C32" s="152">
        <f ca="1">IF(D32="总价",G19-C24,G20-C25)</f>
        <v>112046</v>
      </c>
      <c r="D32" s="2440" t="s">
        <v>2153</v>
      </c>
      <c r="E32" s="137"/>
      <c r="F32" s="137"/>
      <c r="G32" s="137"/>
      <c r="H32" s="137"/>
      <c r="I32" s="137"/>
    </row>
    <row r="33" spans="1:15" ht="15">
      <c r="A33" s="953" t="s">
        <v>2154</v>
      </c>
      <c r="B33" s="2441"/>
      <c r="C33" s="2442"/>
      <c r="D33" s="2443"/>
      <c r="E33" s="2444" t="s">
        <v>2155</v>
      </c>
      <c r="F33" s="2445" t="str">
        <f>IF(D32="楼面单价","取值（单价）","取值（总价）")</f>
        <v>取值（总价）</v>
      </c>
      <c r="G33" s="137"/>
      <c r="H33" s="137"/>
      <c r="I33" s="137"/>
    </row>
    <row r="34" spans="1:15" ht="15">
      <c r="A34" s="2446"/>
      <c r="B34" s="2447" t="s">
        <v>2156</v>
      </c>
      <c r="C34" s="156" t="e">
        <f ca="1">IF(C33="自定义",F34,C32-C35)</f>
        <v>#REF!</v>
      </c>
      <c r="D34" s="1051" t="e">
        <f ca="1">IF(C33="自定义",ROUND(C34/C32,3),IF(C33="收益比率",SUMIF(INDIRECT("'"&amp;D33&amp;"'"&amp;"!b:b"),"土地收益比率",INDIRECT("'"&amp;D33&amp;"'"&amp;"!c:c")),SUMIF(INDIRECT("'"&amp;D33&amp;"'"&amp;"!b:b"),"土地成本比率",INDIRECT("'"&amp;D33&amp;"'"&amp;"!c:c"))))</f>
        <v>#REF!</v>
      </c>
      <c r="E34" s="2448" t="s">
        <v>2157</v>
      </c>
      <c r="F34" s="1732"/>
      <c r="G34" s="137"/>
      <c r="H34" s="137"/>
      <c r="I34" s="137"/>
    </row>
    <row r="35" spans="1:15" ht="15.75" thickBot="1">
      <c r="A35" s="2449"/>
      <c r="B35" s="2450" t="s">
        <v>2158</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1" t="s">
        <v>2159</v>
      </c>
      <c r="F35" s="162"/>
      <c r="G35" s="137"/>
      <c r="H35" s="137"/>
      <c r="I35" s="137"/>
    </row>
    <row r="36" spans="1:15" ht="15.75" thickBot="1">
      <c r="A36" s="3125" t="s">
        <v>2160</v>
      </c>
      <c r="B36" s="2452" t="s">
        <v>2161</v>
      </c>
      <c r="C36" s="153"/>
      <c r="D36" s="2453"/>
      <c r="E36" s="2454"/>
      <c r="F36" s="2455"/>
      <c r="G36" s="137"/>
      <c r="H36" s="137"/>
      <c r="I36" s="137"/>
    </row>
    <row r="37" spans="1:15" ht="15.75" thickBot="1">
      <c r="A37" s="3126"/>
      <c r="B37" s="2259" t="s">
        <v>2162</v>
      </c>
      <c r="C37" s="155"/>
      <c r="D37" s="1388"/>
      <c r="E37" s="1388"/>
      <c r="F37" s="2455"/>
      <c r="G37" s="137"/>
      <c r="H37" s="137"/>
      <c r="I37" s="137"/>
    </row>
    <row r="38" spans="1:15" ht="15.75" thickBot="1">
      <c r="A38" s="3127"/>
      <c r="B38" s="2456" t="s">
        <v>2163</v>
      </c>
      <c r="C38" s="726"/>
      <c r="D38" s="2457" t="s">
        <v>2164</v>
      </c>
      <c r="E38" s="1388"/>
      <c r="F38" s="2455"/>
      <c r="G38" s="137"/>
      <c r="H38" s="137"/>
      <c r="I38" s="137"/>
    </row>
    <row r="39" spans="1:15" ht="15">
      <c r="A39" s="2428" t="s">
        <v>2165</v>
      </c>
      <c r="B39" s="2458" t="s">
        <v>2166</v>
      </c>
      <c r="C39" s="2459" t="s">
        <v>2167</v>
      </c>
      <c r="D39" s="2459" t="s">
        <v>2168</v>
      </c>
      <c r="E39" s="2460" t="s">
        <v>2169</v>
      </c>
      <c r="F39" s="2455"/>
      <c r="G39" s="137"/>
      <c r="H39" s="137"/>
      <c r="I39" s="137"/>
    </row>
    <row r="40" spans="1:15" ht="14.25">
      <c r="A40" s="2461" t="s">
        <v>2170</v>
      </c>
      <c r="B40" s="157"/>
      <c r="C40" s="158"/>
      <c r="D40" s="158"/>
      <c r="E40" s="159"/>
      <c r="F40" s="2455"/>
      <c r="G40" s="137"/>
      <c r="H40" s="137"/>
      <c r="I40" s="137"/>
    </row>
    <row r="41" spans="1:15" ht="14.25">
      <c r="A41" s="2461" t="s">
        <v>2171</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7"/>
      <c r="B43" s="2157"/>
      <c r="C43" s="2157"/>
      <c r="D43" s="2157"/>
      <c r="E43" s="2157"/>
      <c r="F43" s="2463"/>
      <c r="G43" s="2463"/>
      <c r="H43" s="2463"/>
      <c r="I43" s="2464"/>
    </row>
    <row r="44" spans="1:15" ht="18.75">
      <c r="A44" s="2465" t="s">
        <v>2172</v>
      </c>
      <c r="B44" s="2466"/>
      <c r="C44" s="2466"/>
      <c r="D44" s="2467"/>
      <c r="E44" s="2467"/>
      <c r="F44" s="2468"/>
      <c r="G44" s="2468"/>
      <c r="H44" s="2468"/>
      <c r="I44" s="2468"/>
      <c r="J44" s="2469" t="s">
        <v>2173</v>
      </c>
      <c r="K44" s="2470"/>
      <c r="L44" s="2470"/>
      <c r="M44" s="2470"/>
      <c r="N44" s="2470"/>
      <c r="O44" s="2470"/>
    </row>
    <row r="45" spans="1:15" ht="14.25" customHeight="1" thickBot="1">
      <c r="A45" s="3104" t="s">
        <v>2174</v>
      </c>
      <c r="B45" s="3105"/>
      <c r="C45" s="3106"/>
      <c r="D45" s="163">
        <f ca="1">ROUND(H101*F45,0)</f>
        <v>112046</v>
      </c>
      <c r="E45" s="164" t="s">
        <v>2175</v>
      </c>
      <c r="F45" s="165">
        <v>1</v>
      </c>
      <c r="G45" s="166" t="s">
        <v>2176</v>
      </c>
      <c r="H45" s="137"/>
      <c r="I45" s="137"/>
      <c r="J45" s="3168" t="s">
        <v>2177</v>
      </c>
      <c r="K45" s="3168"/>
      <c r="L45" s="3168"/>
      <c r="M45" s="3168"/>
      <c r="N45" s="3168"/>
      <c r="O45" s="3168"/>
    </row>
    <row r="46" spans="1:15" ht="14.25" customHeight="1">
      <c r="A46" s="3101" t="s">
        <v>2178</v>
      </c>
      <c r="B46" s="3102"/>
      <c r="C46" s="3102"/>
      <c r="D46" s="3102"/>
      <c r="E46" s="3102"/>
      <c r="F46" s="3102"/>
      <c r="G46" s="3103"/>
      <c r="H46" s="2471"/>
      <c r="I46" s="167"/>
      <c r="J46" s="1805">
        <v>1</v>
      </c>
      <c r="K46" s="3168" t="s">
        <v>2179</v>
      </c>
      <c r="L46" s="3168"/>
      <c r="M46" s="3188"/>
      <c r="N46" s="3188"/>
      <c r="O46" s="3188"/>
    </row>
    <row r="47" spans="1:15" ht="12" customHeight="1">
      <c r="A47" s="168" t="s">
        <v>2180</v>
      </c>
      <c r="B47" s="169"/>
      <c r="C47" s="170"/>
      <c r="D47" s="171" t="s">
        <v>2181</v>
      </c>
      <c r="E47" s="24" t="s">
        <v>2182</v>
      </c>
      <c r="F47" s="172" t="s">
        <v>2183</v>
      </c>
      <c r="G47" s="173" t="s">
        <v>2184</v>
      </c>
      <c r="H47" s="2471"/>
      <c r="I47" s="167"/>
      <c r="J47" s="1805">
        <v>2</v>
      </c>
      <c r="K47" s="3168" t="s">
        <v>2185</v>
      </c>
      <c r="L47" s="3168"/>
      <c r="M47" s="3189">
        <f>'数据-取费表'!B2</f>
        <v>43265</v>
      </c>
      <c r="N47" s="3189"/>
      <c r="O47" s="3189"/>
    </row>
    <row r="48" spans="1:15" ht="25.5">
      <c r="A48" s="3132" t="s">
        <v>2186</v>
      </c>
      <c r="B48" s="3115"/>
      <c r="C48" s="3115"/>
      <c r="D48" s="139">
        <f>IF(H48="情况1",0,IF(H48="情况2",D52,IF(H48="情况3",D53,IF(H48="情况4",D54))))</f>
        <v>0</v>
      </c>
      <c r="E48" s="1794" t="str">
        <f>IF(H48="情况4","(销售额-原购置价)×税（费）率","销售额×税（费）率")</f>
        <v>销售额×税（费）率</v>
      </c>
      <c r="F48" s="174" t="str">
        <f>IF(H48="情况1","免征",'数据-取费表'!B41)</f>
        <v>免征</v>
      </c>
      <c r="G48" s="2472" t="s">
        <v>2187</v>
      </c>
      <c r="H48" s="2473" t="s">
        <v>2188</v>
      </c>
      <c r="I48" s="2471"/>
      <c r="J48" s="1805">
        <v>3</v>
      </c>
      <c r="K48" s="3168" t="s">
        <v>2189</v>
      </c>
      <c r="L48" s="3168"/>
      <c r="M48" s="3190">
        <f ca="1">H101</f>
        <v>112046</v>
      </c>
      <c r="N48" s="3190"/>
      <c r="O48" s="3190"/>
    </row>
    <row r="49" spans="1:35" ht="25.5" customHeight="1">
      <c r="A49" s="175" t="s">
        <v>2190</v>
      </c>
      <c r="B49" s="3100" t="s">
        <v>2191</v>
      </c>
      <c r="C49" s="3100"/>
      <c r="D49" s="176">
        <v>0</v>
      </c>
      <c r="E49" s="23" t="s">
        <v>2192</v>
      </c>
      <c r="F49" s="28" t="s">
        <v>34</v>
      </c>
      <c r="G49" s="3174"/>
      <c r="H49" s="137"/>
      <c r="I49" s="2474"/>
      <c r="J49" s="1805">
        <v>4</v>
      </c>
      <c r="K49" s="3168" t="str">
        <f>IF(项目基本情况!E8="房地产抵押价值","房地产抵押价值","抵押担保权已注销时的房地产抵押价值")</f>
        <v>房地产抵押价值</v>
      </c>
      <c r="L49" s="3168"/>
      <c r="M49" s="3190">
        <f ca="1">IF(项目基本情况!E8="房地产抵押价值",H107,H109)</f>
        <v>112046</v>
      </c>
      <c r="N49" s="3190"/>
      <c r="O49" s="3190"/>
    </row>
    <row r="50" spans="1:35" ht="25.5" customHeight="1">
      <c r="A50" s="177"/>
      <c r="B50" s="3100" t="s">
        <v>2193</v>
      </c>
      <c r="C50" s="3100"/>
      <c r="D50" s="178"/>
      <c r="E50" s="31"/>
      <c r="F50" s="179"/>
      <c r="G50" s="3175"/>
      <c r="H50" s="137"/>
      <c r="I50" s="2474"/>
      <c r="J50" s="3168" t="s">
        <v>2194</v>
      </c>
      <c r="K50" s="3168"/>
      <c r="L50" s="3168"/>
      <c r="M50" s="3168"/>
      <c r="N50" s="3168"/>
      <c r="O50" s="3168"/>
    </row>
    <row r="51" spans="1:35" ht="12" customHeight="1">
      <c r="A51" s="180"/>
      <c r="B51" s="3100" t="s">
        <v>2195</v>
      </c>
      <c r="C51" s="3100"/>
      <c r="D51" s="181"/>
      <c r="E51" s="30"/>
      <c r="F51" s="179"/>
      <c r="G51" s="3176"/>
      <c r="H51" s="137"/>
      <c r="I51" s="2474"/>
      <c r="J51" s="2475" t="s">
        <v>2196</v>
      </c>
      <c r="K51" s="3168" t="s">
        <v>2197</v>
      </c>
      <c r="L51" s="3168"/>
      <c r="M51" s="2475" t="s">
        <v>2198</v>
      </c>
      <c r="N51" s="2475" t="s">
        <v>2199</v>
      </c>
      <c r="O51" s="2475" t="s">
        <v>2200</v>
      </c>
    </row>
    <row r="52" spans="1:35" ht="24" customHeight="1">
      <c r="A52" s="182" t="s">
        <v>2201</v>
      </c>
      <c r="B52" s="3100" t="s">
        <v>2202</v>
      </c>
      <c r="C52" s="3100"/>
      <c r="D52" s="181">
        <f ca="1">ROUND(D45*'数据-取费表'!B41/(1+'数据-取费表'!C42),0)</f>
        <v>5976</v>
      </c>
      <c r="E52" s="11" t="s">
        <v>2203</v>
      </c>
      <c r="F52" s="183">
        <f>'数据-取费表'!B41</f>
        <v>5.6000000000000001E-2</v>
      </c>
      <c r="G52" s="2476"/>
      <c r="H52" s="137"/>
      <c r="I52" s="2474"/>
      <c r="J52" s="1805">
        <v>1</v>
      </c>
      <c r="K52" s="3169" t="s">
        <v>2204</v>
      </c>
      <c r="L52" s="3169"/>
      <c r="M52" s="1747">
        <f>D48</f>
        <v>0</v>
      </c>
      <c r="N52" s="1805" t="str">
        <f>E48</f>
        <v>销售额×税（费）率</v>
      </c>
      <c r="O52" s="1748" t="str">
        <f>F48</f>
        <v>免征</v>
      </c>
    </row>
    <row r="53" spans="1:35" ht="12" customHeight="1">
      <c r="A53" s="182" t="s">
        <v>2205</v>
      </c>
      <c r="B53" s="3123" t="s">
        <v>2206</v>
      </c>
      <c r="C53" s="3124"/>
      <c r="D53" s="181">
        <f ca="1">ROUND(D45*'数据-取费表'!B41/(1+'数据-取费表'!C42),0)</f>
        <v>5976</v>
      </c>
      <c r="E53" s="11" t="s">
        <v>2203</v>
      </c>
      <c r="F53" s="183">
        <f>'数据-取费表'!B41</f>
        <v>5.6000000000000001E-2</v>
      </c>
      <c r="G53" s="2476"/>
      <c r="H53" s="137"/>
      <c r="I53" s="2474"/>
      <c r="J53" s="1805">
        <v>2</v>
      </c>
      <c r="K53" s="3169" t="s">
        <v>2207</v>
      </c>
      <c r="L53" s="3169"/>
      <c r="M53" s="1747">
        <f t="shared" ref="M53:O54" ca="1" si="0">D55</f>
        <v>56</v>
      </c>
      <c r="N53" s="1805" t="str">
        <f t="shared" si="0"/>
        <v>销售额×税（费）率</v>
      </c>
      <c r="O53" s="1748">
        <f t="shared" si="0"/>
        <v>5.0000000000000001E-4</v>
      </c>
    </row>
    <row r="54" spans="1:35" ht="12" customHeight="1">
      <c r="A54" s="182" t="s">
        <v>2208</v>
      </c>
      <c r="B54" s="3123" t="s">
        <v>2209</v>
      </c>
      <c r="C54" s="3124"/>
      <c r="D54" s="181">
        <f ca="1">C68</f>
        <v>5976</v>
      </c>
      <c r="E54" s="30" t="s">
        <v>2210</v>
      </c>
      <c r="F54" s="183">
        <f>'数据-取费表'!B41</f>
        <v>5.6000000000000001E-2</v>
      </c>
      <c r="G54" s="2476"/>
      <c r="H54" s="2477"/>
      <c r="I54" s="2474"/>
      <c r="J54" s="1805">
        <v>3</v>
      </c>
      <c r="K54" s="3169" t="s">
        <v>2211</v>
      </c>
      <c r="L54" s="3169"/>
      <c r="M54" s="1747">
        <f t="shared" ca="1" si="0"/>
        <v>63418</v>
      </c>
      <c r="N54" s="1805" t="str">
        <f t="shared" si="0"/>
        <v>增值额×税（费）率</v>
      </c>
      <c r="O54" s="1749" t="str">
        <f t="shared" si="0"/>
        <v>——</v>
      </c>
    </row>
    <row r="55" spans="1:35" ht="24" customHeight="1">
      <c r="A55" s="3114" t="s">
        <v>2212</v>
      </c>
      <c r="B55" s="3115"/>
      <c r="C55" s="3115"/>
      <c r="D55" s="184">
        <f ca="1">IF(H55="个人住宅",0,ROUND(D45*I55,0))</f>
        <v>56</v>
      </c>
      <c r="E55" s="11" t="s">
        <v>2213</v>
      </c>
      <c r="F55" s="183">
        <f>IF(H55="正常",I55,"免征")</f>
        <v>5.0000000000000001E-4</v>
      </c>
      <c r="G55" s="2476"/>
      <c r="H55" s="2473" t="s">
        <v>2214</v>
      </c>
      <c r="I55" s="185">
        <f>'数据-取费表'!B49</f>
        <v>5.0000000000000001E-4</v>
      </c>
      <c r="J55" s="1805" t="str">
        <f>IF(H59="非个人房产","",4)</f>
        <v/>
      </c>
      <c r="K55" s="3169" t="str">
        <f>IF(H59="非个人房产","——","个人所得税")</f>
        <v>——</v>
      </c>
      <c r="L55" s="3169"/>
      <c r="M55" s="1750" t="str">
        <f>D59</f>
        <v>——</v>
      </c>
      <c r="N55" s="1803" t="str">
        <f>E59</f>
        <v>——</v>
      </c>
      <c r="O55" s="1751" t="str">
        <f>F59</f>
        <v>——</v>
      </c>
    </row>
    <row r="56" spans="1:35" ht="24.75">
      <c r="A56" s="3114" t="s">
        <v>2215</v>
      </c>
      <c r="B56" s="3115"/>
      <c r="C56" s="3115"/>
      <c r="D56" s="184">
        <f ca="1">IF(H56="个人住宅",D57,D58)</f>
        <v>63418</v>
      </c>
      <c r="E56" s="11" t="s">
        <v>2216</v>
      </c>
      <c r="F56" s="183" t="str">
        <f>IF(H56="正常",F58,"免征")</f>
        <v>——</v>
      </c>
      <c r="G56" s="2478" t="s">
        <v>2217</v>
      </c>
      <c r="H56" s="2479" t="s">
        <v>2214</v>
      </c>
      <c r="I56" s="2480"/>
      <c r="J56" s="1805" t="str">
        <f>IF(项目基本情况!K6="上海银行",IF(J55="",4,J55+1),"")</f>
        <v/>
      </c>
      <c r="K56" s="3192" t="str">
        <f>IF(项目基本情况!K6="上海银行","其他处置费用","")</f>
        <v/>
      </c>
      <c r="L56" s="3193"/>
      <c r="M56" s="1747" t="str">
        <f>IF(项目基本情况!K6="上海银行",M69,"")</f>
        <v/>
      </c>
      <c r="N56" s="3195" t="str">
        <f>IF(项目基本情况!K6="上海银行","包含处置中涉及的律师、诉讼、拍卖、评估等费用","")</f>
        <v/>
      </c>
      <c r="O56" s="3196"/>
    </row>
    <row r="57" spans="1:35" ht="12.75">
      <c r="A57" s="182" t="s">
        <v>2190</v>
      </c>
      <c r="B57" s="3130" t="s">
        <v>2218</v>
      </c>
      <c r="C57" s="3142"/>
      <c r="D57" s="186">
        <v>0</v>
      </c>
      <c r="E57" s="23" t="s">
        <v>2192</v>
      </c>
      <c r="F57" s="154"/>
      <c r="G57" s="2476"/>
      <c r="H57" s="2480"/>
      <c r="I57" s="2480"/>
      <c r="J57" s="3169">
        <f>IF(AND(J55="",J56=""),4,IF(项目基本情况!K6="上海银行",结果表!J56+1,结果表!J55+1))</f>
        <v>4</v>
      </c>
      <c r="K57" s="3169" t="s">
        <v>2219</v>
      </c>
      <c r="L57" s="2481" t="s">
        <v>2220</v>
      </c>
      <c r="M57" s="1752"/>
      <c r="N57" s="1753">
        <f ca="1">SUMIF(M52:M56,"&lt;9e307")</f>
        <v>63474</v>
      </c>
      <c r="O57" s="2482"/>
      <c r="P57" s="1746">
        <f ca="1">N57/M49</f>
        <v>0.56649947343055529</v>
      </c>
    </row>
    <row r="58" spans="1:35" ht="24.75">
      <c r="A58" s="182" t="s">
        <v>2201</v>
      </c>
      <c r="B58" s="3130" t="s">
        <v>2221</v>
      </c>
      <c r="C58" s="3131"/>
      <c r="D58" s="184">
        <f ca="1">IF(H58="转让取得",C81,C97)</f>
        <v>63418</v>
      </c>
      <c r="E58" s="11" t="s">
        <v>2216</v>
      </c>
      <c r="F58" s="24" t="s">
        <v>34</v>
      </c>
      <c r="G58" s="2476"/>
      <c r="H58" s="2479" t="s">
        <v>2222</v>
      </c>
      <c r="I58" s="2480"/>
      <c r="J58" s="3169"/>
      <c r="K58" s="3169"/>
      <c r="L58" s="2481" t="s">
        <v>2223</v>
      </c>
      <c r="M58" s="1754"/>
      <c r="N58" s="2483" t="str">
        <f ca="1">NUMBERSTRING(INT(N57*10000),2)&amp;"元整"</f>
        <v>陆亿叁仟肆佰柒拾肆万元整</v>
      </c>
      <c r="O58" s="2484"/>
    </row>
    <row r="59" spans="1:35" ht="24.75" thickBot="1">
      <c r="A59" s="3172" t="s">
        <v>2224</v>
      </c>
      <c r="B59" s="3173"/>
      <c r="C59" s="3173"/>
      <c r="D59" s="187" t="str">
        <f>IF(H59="非个人房产","——",IF(H59="个人住宅",0,ROUND(D45*I59,0)))</f>
        <v>——</v>
      </c>
      <c r="E59" s="188" t="str">
        <f>IF(H59="非个人房产","——","销售额×税（费）率")</f>
        <v>——</v>
      </c>
      <c r="F59" s="189" t="str">
        <f>IF(H59="非个人房产","——",IF(H59="个人住宅","免征",I59))</f>
        <v>——</v>
      </c>
      <c r="G59" s="2485" t="s">
        <v>2217</v>
      </c>
      <c r="H59" s="2479" t="s">
        <v>2225</v>
      </c>
      <c r="I59" s="190">
        <v>0.01</v>
      </c>
      <c r="J59" s="3170">
        <f>J57+1</f>
        <v>5</v>
      </c>
      <c r="K59" s="3169" t="s">
        <v>2226</v>
      </c>
      <c r="L59" s="1805" t="s">
        <v>2220</v>
      </c>
      <c r="M59" s="1755"/>
      <c r="N59" s="1756">
        <f ca="1">M49-N57</f>
        <v>48572</v>
      </c>
      <c r="O59" s="2486"/>
    </row>
    <row r="60" spans="1:35" ht="12" customHeight="1">
      <c r="A60" s="2487"/>
      <c r="B60" s="2409"/>
      <c r="C60" s="2409"/>
      <c r="D60" s="2409"/>
      <c r="E60" s="2158"/>
      <c r="F60" s="2480"/>
      <c r="G60" s="2480"/>
      <c r="H60" s="2488"/>
      <c r="I60" s="137"/>
      <c r="J60" s="3171"/>
      <c r="K60" s="3169"/>
      <c r="L60" s="2481" t="s">
        <v>2223</v>
      </c>
      <c r="M60" s="1754"/>
      <c r="N60" s="2483" t="str">
        <f ca="1">NUMBERSTRING(INT(N59*10000),2)&amp;"元整"</f>
        <v>肆亿捌仟伍佰柒拾贰万元整</v>
      </c>
      <c r="O60" s="2484"/>
    </row>
    <row r="61" spans="1:35" ht="13.5" thickBot="1">
      <c r="A61" s="3112" t="s">
        <v>2227</v>
      </c>
      <c r="B61" s="3112"/>
      <c r="C61" s="3112"/>
      <c r="D61" s="3112"/>
      <c r="E61" s="3112"/>
      <c r="F61" s="2480"/>
      <c r="G61" s="2480"/>
      <c r="H61" s="2488"/>
      <c r="I61" s="137"/>
      <c r="J61" s="1805">
        <f>J59+1</f>
        <v>6</v>
      </c>
      <c r="K61" s="3169" t="s">
        <v>2228</v>
      </c>
      <c r="L61" s="3169"/>
      <c r="M61" s="1757"/>
      <c r="N61" s="1758">
        <f ca="1">ROUND(N59*10000/'数据-汇总表'!E3,0)</f>
        <v>4350</v>
      </c>
      <c r="O61" s="2489"/>
    </row>
    <row r="62" spans="1:35" ht="12.75">
      <c r="A62" s="3128" t="s">
        <v>2229</v>
      </c>
      <c r="B62" s="3129"/>
      <c r="C62" s="1797"/>
      <c r="D62" s="1797" t="s">
        <v>2230</v>
      </c>
      <c r="E62" s="191" t="s">
        <v>2231</v>
      </c>
      <c r="F62" s="2480"/>
      <c r="G62" s="2480"/>
      <c r="H62" s="2488"/>
      <c r="I62" s="137"/>
    </row>
    <row r="63" spans="1:35" ht="12.75">
      <c r="A63" s="202" t="s">
        <v>775</v>
      </c>
      <c r="B63" s="192" t="s">
        <v>2232</v>
      </c>
      <c r="C63" s="193">
        <f ca="1">ROUND((C64+C65)/(1+'数据-取费表'!C42),0)</f>
        <v>106710</v>
      </c>
      <c r="D63" s="194"/>
      <c r="E63" s="195"/>
      <c r="F63" s="2480"/>
      <c r="G63" s="2480"/>
      <c r="H63" s="2488"/>
      <c r="I63" s="137"/>
      <c r="J63" s="3194" t="s">
        <v>2233</v>
      </c>
      <c r="K63" s="2490" t="s">
        <v>2234</v>
      </c>
      <c r="L63" s="1745">
        <f ca="1">IF(M49&gt;10000,M49*0.5%,IF(AND(M49&gt;1000,M49&lt;=10000),M49*1%,IF(AND(M49&gt;100,M49&lt;=1000),M49*3%,IF(AND(M49&gt;10,M49&lt;=100),M49*5%,M49*8%))))</f>
        <v>560.23</v>
      </c>
      <c r="M63" s="24">
        <f ca="1">ROUND(L63,1)</f>
        <v>560.20000000000005</v>
      </c>
      <c r="Z63" s="2414"/>
      <c r="AI63" s="2415"/>
    </row>
    <row r="64" spans="1:35" ht="14.25" customHeight="1">
      <c r="A64" s="196" t="s">
        <v>770</v>
      </c>
      <c r="B64" s="197" t="s">
        <v>2235</v>
      </c>
      <c r="C64" s="198">
        <f ca="1">D45</f>
        <v>112046</v>
      </c>
      <c r="D64" s="199" t="s">
        <v>32</v>
      </c>
      <c r="E64" s="200"/>
      <c r="F64" s="2480"/>
      <c r="G64" s="2480"/>
      <c r="H64" s="2488"/>
      <c r="I64" s="137"/>
      <c r="J64" s="3194"/>
      <c r="K64" s="2490" t="s">
        <v>2236</v>
      </c>
      <c r="L64" s="1745">
        <f ca="1">IF(M49&gt;2000,M49*0.5%,IF(AND(M49&gt;1000,M49&lt;=2000),M49*0.6%,IF(AND(M49&gt;500,M49&lt;=1000),M49*0.7%,IF(AND(M49&gt;200,M49&lt;=500),M49*0.8%,IF(AND(M49&gt;100,M49&lt;=200),M49*0.9%,IF(AND(M49&gt;50,M49&lt;=100),M49*1%,IF(AND(M49&gt;20,M49&lt;=50),M49*1.5%,IF(AND(M49&gt;10,M49&lt;=20),M49*2%,IF(AND(M49&gt;1,M49&lt;=10),M49*2.5%)))))))))</f>
        <v>560.23</v>
      </c>
      <c r="M64" s="24">
        <f t="shared" ref="M64:M65" ca="1" si="1">ROUND(L64,1)</f>
        <v>560.20000000000005</v>
      </c>
      <c r="N64" s="137" t="s">
        <v>2237</v>
      </c>
      <c r="Z64" s="2414"/>
      <c r="AI64" s="2415"/>
    </row>
    <row r="65" spans="1:35" ht="14.25" customHeight="1">
      <c r="A65" s="196" t="s">
        <v>771</v>
      </c>
      <c r="B65" s="197" t="s">
        <v>2238</v>
      </c>
      <c r="C65" s="201"/>
      <c r="D65" s="199"/>
      <c r="E65" s="200"/>
      <c r="F65" s="2480"/>
      <c r="G65" s="2480"/>
      <c r="H65" s="2488"/>
      <c r="I65" s="137"/>
      <c r="J65" s="3194"/>
      <c r="K65" s="2490" t="s">
        <v>2239</v>
      </c>
      <c r="L65" s="1745">
        <f ca="1">IF(M49&gt;1000,M49*0.1%,IF(AND(M49&gt;500,M49&lt;=1000),M49*0.5%,IF(AND(M49&gt;50,M49&lt;=500),M49*1%,IF(AND(M49&gt;1,M49&lt;=50),M49*1.5%))))</f>
        <v>112.04600000000001</v>
      </c>
      <c r="M65" s="24">
        <f t="shared" ca="1" si="1"/>
        <v>112</v>
      </c>
      <c r="N65" s="137" t="s">
        <v>2237</v>
      </c>
      <c r="Z65" s="2414"/>
      <c r="AI65" s="2415"/>
    </row>
    <row r="66" spans="1:35" ht="14.25" customHeight="1">
      <c r="A66" s="202" t="s">
        <v>772</v>
      </c>
      <c r="B66" s="203" t="s">
        <v>2240</v>
      </c>
      <c r="C66" s="204"/>
      <c r="D66" s="205" t="s">
        <v>32</v>
      </c>
      <c r="E66" s="1769" t="s">
        <v>1371</v>
      </c>
      <c r="F66" s="2480"/>
      <c r="G66" s="2480"/>
      <c r="H66" s="2488"/>
      <c r="I66" s="137"/>
      <c r="J66" s="3194"/>
      <c r="K66" s="2490" t="s">
        <v>2241</v>
      </c>
      <c r="L66" s="1745">
        <f ca="1">M49*0.5%</f>
        <v>560.23</v>
      </c>
      <c r="M66" s="24">
        <f ca="1">IF(L66&gt;0.5,0.5,ROUND(L66,0))</f>
        <v>0.5</v>
      </c>
      <c r="N66" s="137" t="s">
        <v>2242</v>
      </c>
      <c r="Z66" s="2414"/>
      <c r="AI66" s="2415"/>
    </row>
    <row r="67" spans="1:35" ht="14.25" customHeight="1">
      <c r="A67" s="202" t="s">
        <v>773</v>
      </c>
      <c r="B67" s="203" t="s">
        <v>2243</v>
      </c>
      <c r="C67" s="206">
        <f ca="1">C63-C66</f>
        <v>106710</v>
      </c>
      <c r="D67" s="199" t="s">
        <v>32</v>
      </c>
      <c r="E67" s="200"/>
      <c r="F67" s="2480"/>
      <c r="G67" s="2480"/>
      <c r="H67" s="2488"/>
      <c r="I67" s="137"/>
      <c r="J67" s="3194"/>
      <c r="K67" s="2490" t="s">
        <v>2244</v>
      </c>
      <c r="L67" s="1745">
        <f ca="1">IF(M49&gt;=10000,(8.25+(M49-10000)*0.01%),IF(AND(M49&gt;=8000,M49&lt;10000),(7.85+(M49-8000)*0.02%),IF(AND(M49&gt;=5000,M49&lt;8000),(6.65+(M49-5000)*0.04%),IF(AND(M49&gt;=2000,M49&lt;5000),(4.25+(PM49-2000)*0.08%),IF(AND(M49&gt;=1000,M49&lt;2000),(2.75+(M49-1000)*0.15%),IF(AND(M49&gt;=100,M49&lt;1000),(0.5+(M49-100)*0.25%),IF(AND(M49&gt;0,M49&lt;100),M49*0.5%)))))))</f>
        <v>18.454599999999999</v>
      </c>
      <c r="M67" s="24">
        <f ca="1">ROUND(L67*0.9,1)</f>
        <v>16.600000000000001</v>
      </c>
      <c r="Z67" s="2414"/>
      <c r="AI67" s="2415"/>
    </row>
    <row r="68" spans="1:35" ht="14.25" customHeight="1" thickBot="1">
      <c r="A68" s="207" t="s">
        <v>774</v>
      </c>
      <c r="B68" s="208" t="s">
        <v>2245</v>
      </c>
      <c r="C68" s="209">
        <f ca="1">IF(C67&lt;=0,0,ROUND(C67*D68,0))</f>
        <v>5976</v>
      </c>
      <c r="D68" s="210">
        <f>'数据-取费表'!B41</f>
        <v>5.6000000000000001E-2</v>
      </c>
      <c r="E68" s="211"/>
      <c r="F68" s="2480"/>
      <c r="G68" s="2480"/>
      <c r="H68" s="2488"/>
      <c r="I68" s="137"/>
      <c r="J68" s="3194"/>
      <c r="K68" s="2490" t="s">
        <v>2246</v>
      </c>
      <c r="L68" s="1745">
        <f ca="1">IF(M49&gt;10000,M49*0.5%,IF(AND(M49&gt;5000,M49&lt;=10000),M49*1%,IF(AND(M49&gt;1000,M49&lt;=5000),M49*2%,IF(AND(M49&gt;200,M49&lt;=1000),M49*3%,M49*5%))))</f>
        <v>560.23</v>
      </c>
      <c r="M68" s="24">
        <f ca="1">ROUND(L68,1)</f>
        <v>560.20000000000005</v>
      </c>
      <c r="Z68" s="2414"/>
      <c r="AI68" s="2415"/>
    </row>
    <row r="69" spans="1:35" s="2437" customFormat="1" ht="16.5" customHeight="1">
      <c r="A69" s="2491"/>
      <c r="B69" s="2492"/>
      <c r="C69" s="2493"/>
      <c r="D69" s="2494"/>
      <c r="E69" s="2495"/>
      <c r="F69" s="2158"/>
      <c r="G69" s="2158"/>
      <c r="H69" s="2157"/>
      <c r="I69" s="2409"/>
      <c r="J69" s="3194"/>
      <c r="K69" s="2490" t="s">
        <v>2247</v>
      </c>
      <c r="L69" s="2496"/>
      <c r="M69" s="24">
        <f ca="1">ROUND(SUM(M63:M68),0)</f>
        <v>1810</v>
      </c>
      <c r="N69" s="1746">
        <f ca="1">M69/M49</f>
        <v>1.6154079574460488E-2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52" t="s">
        <v>2248</v>
      </c>
      <c r="B70" s="3153"/>
      <c r="C70" s="3153"/>
      <c r="D70" s="3153"/>
      <c r="E70" s="3153"/>
      <c r="F70" s="3153"/>
      <c r="G70" s="3153"/>
      <c r="H70" s="315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28" t="s">
        <v>2229</v>
      </c>
      <c r="B71" s="3129"/>
      <c r="C71" s="1797"/>
      <c r="D71" s="1797" t="s">
        <v>2230</v>
      </c>
      <c r="E71" s="212" t="s">
        <v>2231</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2249</v>
      </c>
      <c r="C72" s="206">
        <f ca="1">ROUND(D45/(1+'数据-取费表'!C42),0)</f>
        <v>106710</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2250</v>
      </c>
      <c r="C73" s="206">
        <f ca="1">C74+C78</f>
        <v>640</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2251</v>
      </c>
      <c r="C74" s="199">
        <f>ROUND(IF(G77="2016年5月1日后购买",C75/(1+'数据-取费表'!C42)+C76+C77,C75+C76+C77),0)</f>
        <v>0</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2252</v>
      </c>
      <c r="C75" s="217"/>
      <c r="D75" s="199" t="s">
        <v>32</v>
      </c>
      <c r="E75" s="218" t="s">
        <v>2253</v>
      </c>
      <c r="F75" s="2502" t="s">
        <v>2254</v>
      </c>
      <c r="G75" s="218" t="s">
        <v>2255</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2256</v>
      </c>
      <c r="C76" s="199">
        <f>IF(F75="购房发票",ROUND(C75*H75*D76,0),0)</f>
        <v>0</v>
      </c>
      <c r="D76" s="221">
        <v>0.05</v>
      </c>
      <c r="E76" s="3123" t="s">
        <v>2257</v>
      </c>
      <c r="F76" s="3100"/>
      <c r="G76" s="3100"/>
      <c r="H76" s="315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4" t="s">
        <v>2260</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2261</v>
      </c>
      <c r="C78" s="224">
        <f ca="1">ROUND(D45*D78/(1+'数据-取费表'!C42),0)</f>
        <v>640</v>
      </c>
      <c r="D78" s="225">
        <f>'数据-取费表'!B43</f>
        <v>6.000000000000001E-3</v>
      </c>
      <c r="E78" s="3109" t="s">
        <v>2262</v>
      </c>
      <c r="F78" s="3110"/>
      <c r="G78" s="3110"/>
      <c r="H78" s="311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2263</v>
      </c>
      <c r="C79" s="206">
        <f ca="1">C72-C73</f>
        <v>106070</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2264</v>
      </c>
      <c r="C80" s="226">
        <f ca="1">IF(C79&lt;=0,0,C79/C73)</f>
        <v>165.734375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2265</v>
      </c>
      <c r="C81" s="227">
        <f ca="1">ROUND(IF(C79&lt;=0,0,IF(C80&gt;=200%,C79*60%-C73*35%,IF(C80&gt;=100%,C79*50%-C73*15%,IF(C80&gt;=50%,C79*40%-C73*5%,IF(C80&lt;50%,C79*30%,0))))),0)</f>
        <v>63418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52" t="s">
        <v>2266</v>
      </c>
      <c r="B83" s="3153"/>
      <c r="C83" s="3153"/>
      <c r="D83" s="3153"/>
      <c r="E83" s="3153"/>
      <c r="F83" s="3153"/>
      <c r="G83" s="3153"/>
      <c r="H83" s="315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28" t="s">
        <v>2229</v>
      </c>
      <c r="B84" s="3129"/>
      <c r="C84" s="1797"/>
      <c r="D84" s="1797" t="s">
        <v>2230</v>
      </c>
      <c r="E84" s="212" t="s">
        <v>2231</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2249</v>
      </c>
      <c r="C85" s="206">
        <f ca="1">ROUND(D45/(1+'数据-取费表'!C42),0)</f>
        <v>106710</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2250</v>
      </c>
      <c r="C86" s="206">
        <f ca="1">IF(H88="仅含出让金",C87+C90+C91+C92+C93+C94,C87+C91+C92+C93+C94)</f>
        <v>640</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2267</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2268</v>
      </c>
      <c r="C88" s="235"/>
      <c r="D88" s="225"/>
      <c r="E88" s="236" t="s">
        <v>2269</v>
      </c>
      <c r="F88" s="1793"/>
      <c r="G88" s="237" t="s">
        <v>2270</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2258</v>
      </c>
      <c r="C89" s="224">
        <f>ROUND(C88*D89,0)</f>
        <v>0</v>
      </c>
      <c r="D89" s="225">
        <f>'数据-取费表'!B48+'数据-取费表'!B49</f>
        <v>3.0499999999999999E-2</v>
      </c>
      <c r="E89" s="236" t="s">
        <v>2271</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2272</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2273</v>
      </c>
      <c r="B91" s="197" t="s">
        <v>2274</v>
      </c>
      <c r="C91" s="224">
        <f>IF(H91="——",成本法!C33,I91)</f>
        <v>0</v>
      </c>
      <c r="D91" s="225"/>
      <c r="E91" s="3109" t="s">
        <v>2275</v>
      </c>
      <c r="F91" s="3110"/>
      <c r="G91" s="3110"/>
      <c r="H91" s="2509" t="s">
        <v>2276</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2277</v>
      </c>
      <c r="B92" s="197" t="s">
        <v>2278</v>
      </c>
      <c r="C92" s="224">
        <f>ROUND((C87+C90+C91)*D92,0)</f>
        <v>0</v>
      </c>
      <c r="D92" s="225">
        <v>0.1</v>
      </c>
      <c r="E92" s="3109" t="s">
        <v>2279</v>
      </c>
      <c r="F92" s="3110"/>
      <c r="G92" s="3110"/>
      <c r="H92" s="311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2280</v>
      </c>
      <c r="B93" s="197" t="s">
        <v>2261</v>
      </c>
      <c r="C93" s="224">
        <f ca="1">ROUND(D45*D93/(1+'数据-取费表'!C42),0)</f>
        <v>640</v>
      </c>
      <c r="D93" s="225">
        <f>'数据-取费表'!B43</f>
        <v>6.000000000000001E-3</v>
      </c>
      <c r="E93" s="3109" t="s">
        <v>2262</v>
      </c>
      <c r="F93" s="3110"/>
      <c r="G93" s="3110"/>
      <c r="H93" s="311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2281</v>
      </c>
      <c r="B94" s="197" t="s">
        <v>2282</v>
      </c>
      <c r="C94" s="235">
        <f>ROUND((C87+C90+C91)*D94,0)</f>
        <v>0</v>
      </c>
      <c r="D94" s="225">
        <v>0.2</v>
      </c>
      <c r="E94" s="3120" t="s">
        <v>2283</v>
      </c>
      <c r="F94" s="3121"/>
      <c r="G94" s="3121"/>
      <c r="H94" s="312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2263</v>
      </c>
      <c r="C95" s="206">
        <f ca="1">ROUND(C85-C86,0)</f>
        <v>106070</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2264</v>
      </c>
      <c r="C96" s="226">
        <f ca="1">IF(C95&lt;=0,0,C95/C86)</f>
        <v>165.734375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2265</v>
      </c>
      <c r="C97" s="227">
        <f ca="1">ROUND(IF(C95&lt;=0,0,IF(C96&gt;=200%,C95*60%-C86*35%,IF(C96&gt;=100%,C95*50%-C86*15%,IF(C96&gt;=50%,C95*40%-C86*5%,IF(C96&lt;50%,C95*30%,0))))),0)</f>
        <v>63418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7"/>
    </row>
    <row r="99" spans="1:35" ht="21.75" customHeight="1" thickBot="1">
      <c r="A99" s="2465" t="s">
        <v>2284</v>
      </c>
      <c r="B99" s="2409"/>
      <c r="C99" s="2409"/>
      <c r="D99" s="2409"/>
      <c r="E99" s="2158"/>
      <c r="F99" s="2158"/>
      <c r="G99" s="2158"/>
      <c r="H99" s="2157"/>
      <c r="I99" s="137"/>
    </row>
    <row r="100" spans="1:35" ht="18.75" customHeight="1">
      <c r="A100" s="3094" t="s">
        <v>2285</v>
      </c>
      <c r="B100" s="3095"/>
      <c r="C100" s="3095"/>
      <c r="D100" s="3111"/>
      <c r="E100" s="3095" t="s">
        <v>2286</v>
      </c>
      <c r="F100" s="3095"/>
      <c r="G100" s="3095"/>
      <c r="H100" s="3111"/>
      <c r="I100" s="137"/>
    </row>
    <row r="101" spans="1:35" ht="18.75" customHeight="1">
      <c r="A101" s="3177" t="s">
        <v>2287</v>
      </c>
      <c r="B101" s="3178"/>
      <c r="C101" s="735" t="str">
        <f>C4</f>
        <v>成本法</v>
      </c>
      <c r="D101" s="736" t="str">
        <f>D4</f>
        <v>收益法（汇总）</v>
      </c>
      <c r="E101" s="3191" t="s">
        <v>2288</v>
      </c>
      <c r="F101" s="3144"/>
      <c r="G101" s="2511" t="s">
        <v>2289</v>
      </c>
      <c r="H101" s="1041">
        <f ca="1">H118</f>
        <v>112046</v>
      </c>
      <c r="I101" s="137"/>
    </row>
    <row r="102" spans="1:35" ht="18.75" customHeight="1">
      <c r="A102" s="3146" t="s">
        <v>2290</v>
      </c>
      <c r="B102" s="2511" t="s">
        <v>2289</v>
      </c>
      <c r="C102" s="735">
        <f ca="1">C19</f>
        <v>81749</v>
      </c>
      <c r="D102" s="736">
        <f ca="1">D19</f>
        <v>132244</v>
      </c>
      <c r="E102" s="3191"/>
      <c r="F102" s="3144"/>
      <c r="G102" s="2511" t="s">
        <v>2291</v>
      </c>
      <c r="H102" s="370">
        <f ca="1">I118</f>
        <v>10036</v>
      </c>
      <c r="I102" s="137"/>
    </row>
    <row r="103" spans="1:35" ht="42.75" customHeight="1">
      <c r="A103" s="3146"/>
      <c r="B103" s="2511" t="s">
        <v>2291</v>
      </c>
      <c r="C103" s="737">
        <f ca="1">C20</f>
        <v>7322</v>
      </c>
      <c r="D103" s="738">
        <f ca="1">D20</f>
        <v>11845</v>
      </c>
      <c r="E103" s="3186" t="s">
        <v>2292</v>
      </c>
      <c r="F103" s="3187"/>
      <c r="G103" s="2512" t="s">
        <v>2293</v>
      </c>
      <c r="H103" s="1041">
        <f>IF(D36="正常操作",H104+H105+H106,H105+H106)</f>
        <v>0</v>
      </c>
      <c r="I103" s="137"/>
    </row>
    <row r="104" spans="1:35" ht="18.75" customHeight="1">
      <c r="A104" s="3146" t="s">
        <v>2294</v>
      </c>
      <c r="B104" s="2513" t="s">
        <v>2289</v>
      </c>
      <c r="C104" s="739">
        <f ca="1">H118</f>
        <v>112046</v>
      </c>
      <c r="D104" s="740"/>
      <c r="E104" s="2259" t="s">
        <v>2295</v>
      </c>
      <c r="F104" s="2250"/>
      <c r="G104" s="2512" t="s">
        <v>2293</v>
      </c>
      <c r="H104" s="1042">
        <f>IF(D36="同一抵押权人同一抵押物续贷",C36&amp;"（未扣减，详见特别提示）",C36)</f>
        <v>0</v>
      </c>
      <c r="I104" s="137"/>
    </row>
    <row r="105" spans="1:35" ht="18.75" customHeight="1" thickBot="1">
      <c r="A105" s="3147"/>
      <c r="B105" s="2514" t="s">
        <v>2291</v>
      </c>
      <c r="C105" s="741">
        <f ca="1">I118</f>
        <v>10036</v>
      </c>
      <c r="D105" s="742"/>
      <c r="E105" s="2259" t="s">
        <v>2296</v>
      </c>
      <c r="F105" s="2250"/>
      <c r="G105" s="2512" t="s">
        <v>2293</v>
      </c>
      <c r="H105" s="1042">
        <f>C37</f>
        <v>0</v>
      </c>
      <c r="I105" s="137"/>
    </row>
    <row r="106" spans="1:35" ht="18.75" customHeight="1">
      <c r="A106" s="2409" t="s">
        <v>2297</v>
      </c>
      <c r="B106" s="2409"/>
      <c r="C106" s="2409"/>
      <c r="D106" s="2409"/>
      <c r="E106" s="2515" t="s">
        <v>2298</v>
      </c>
      <c r="F106" s="2250"/>
      <c r="G106" s="2512" t="s">
        <v>2293</v>
      </c>
      <c r="H106" s="1042">
        <f>C38</f>
        <v>0</v>
      </c>
      <c r="I106" s="137"/>
    </row>
    <row r="107" spans="1:35" ht="18.75" customHeight="1">
      <c r="A107" s="137"/>
      <c r="B107" s="137"/>
      <c r="C107" s="137"/>
      <c r="D107" s="137"/>
      <c r="E107" s="3143" t="str">
        <f>IF(项目基本情况!E8="已注销","——","3.房地产抵押价值")</f>
        <v>3.房地产抵押价值</v>
      </c>
      <c r="F107" s="3144"/>
      <c r="G107" s="2511" t="s">
        <v>2289</v>
      </c>
      <c r="H107" s="1041">
        <f ca="1">IF(E107="——","——",H101-H103)</f>
        <v>112046</v>
      </c>
      <c r="I107" s="137"/>
    </row>
    <row r="108" spans="1:35" ht="18.75" customHeight="1">
      <c r="A108" s="137"/>
      <c r="B108" s="137"/>
      <c r="C108" s="137"/>
      <c r="D108" s="137"/>
      <c r="E108" s="3143"/>
      <c r="F108" s="3144"/>
      <c r="G108" s="2511" t="s">
        <v>2291</v>
      </c>
      <c r="H108" s="370">
        <f ca="1">ROUND(H107*10000/'数据-汇总表'!E3,0)</f>
        <v>10036</v>
      </c>
      <c r="I108" s="137"/>
    </row>
    <row r="109" spans="1:35" ht="18.75" customHeight="1">
      <c r="A109" s="137"/>
      <c r="B109" s="137"/>
      <c r="C109" s="137"/>
      <c r="D109" s="137"/>
      <c r="E109" s="3143" t="str">
        <f>IF(项目基本情况!E8="已注销及未注销","4.抵押担保权已注销时的房地产抵押价值",IF(项目基本情况!E8="已注销","3.抵押担保权已注销时的房地产抵押价值","——"))</f>
        <v>——</v>
      </c>
      <c r="F109" s="3144"/>
      <c r="G109" s="2511" t="s">
        <v>2289</v>
      </c>
      <c r="H109" s="347" t="str">
        <f>IF(E109="——","——",H101-H105-H106)</f>
        <v>——</v>
      </c>
      <c r="I109" s="137"/>
    </row>
    <row r="110" spans="1:35" ht="18.75" customHeight="1">
      <c r="A110" s="137"/>
      <c r="B110" s="137"/>
      <c r="C110" s="137"/>
      <c r="D110" s="137"/>
      <c r="E110" s="3143"/>
      <c r="F110" s="3144"/>
      <c r="G110" s="2511" t="s">
        <v>2291</v>
      </c>
      <c r="H110" s="370" t="str">
        <f>IF(H109="——","——",ROUND(H109*10000/'数据-汇总表'!E3,0))</f>
        <v>——</v>
      </c>
      <c r="I110" s="137"/>
    </row>
    <row r="111" spans="1:35" ht="18.75" customHeight="1">
      <c r="A111" s="137"/>
      <c r="B111" s="137"/>
      <c r="C111" s="137"/>
      <c r="D111" s="137"/>
      <c r="E111" s="3179" t="str">
        <f>IF(项目基本情况!E9="抵押净值",IF(OR(项目基本情况!E8="已注销",项目基本情况!E8="房地产抵押价值"),"4.抵押净值","5.抵押净值"),"——")</f>
        <v>——</v>
      </c>
      <c r="F111" s="3180"/>
      <c r="G111" s="2511" t="s">
        <v>2289</v>
      </c>
      <c r="H111" s="1041" t="str">
        <f>IF(E111="——","——",N59)</f>
        <v>——</v>
      </c>
      <c r="I111" s="137"/>
    </row>
    <row r="112" spans="1:35" ht="18.75" customHeight="1" thickBot="1">
      <c r="A112" s="137"/>
      <c r="B112" s="137"/>
      <c r="C112" s="137"/>
      <c r="D112" s="137"/>
      <c r="E112" s="3181"/>
      <c r="F112" s="3182"/>
      <c r="G112" s="2516" t="s">
        <v>2291</v>
      </c>
      <c r="H112" s="789" t="str">
        <f>IF(E111="——","——",N61)</f>
        <v>——</v>
      </c>
      <c r="I112" s="137"/>
    </row>
    <row r="113" spans="1:11" ht="18.75" customHeight="1">
      <c r="A113" s="137"/>
      <c r="B113" s="137"/>
      <c r="C113" s="137"/>
      <c r="D113" s="137"/>
      <c r="E113" s="3148" t="s">
        <v>2297</v>
      </c>
      <c r="F113" s="3148"/>
      <c r="G113" s="3148"/>
      <c r="H113" s="3148"/>
      <c r="I113" s="137"/>
    </row>
    <row r="114" spans="1:11" ht="3.75" customHeight="1">
      <c r="A114" s="2409"/>
      <c r="B114" s="2409"/>
      <c r="C114" s="2409"/>
      <c r="D114" s="2409"/>
      <c r="E114" s="2487"/>
      <c r="F114" s="2487"/>
      <c r="G114" s="2487"/>
      <c r="H114" s="2487"/>
      <c r="I114" s="2409"/>
    </row>
    <row r="115" spans="1:11" ht="18.75" customHeight="1">
      <c r="A115" s="3161" t="s">
        <v>2299</v>
      </c>
      <c r="B115" s="3162"/>
      <c r="C115" s="3162"/>
      <c r="D115" s="3162"/>
      <c r="E115" s="3162"/>
      <c r="F115" s="3162"/>
      <c r="G115" s="3162"/>
      <c r="H115" s="3162"/>
      <c r="I115" s="3163"/>
    </row>
    <row r="116" spans="1:11" ht="27" customHeight="1">
      <c r="A116" s="3051" t="s">
        <v>2300</v>
      </c>
      <c r="B116" s="3149" t="s">
        <v>2301</v>
      </c>
      <c r="C116" s="3149" t="s">
        <v>2302</v>
      </c>
      <c r="D116" s="3166" t="s">
        <v>2303</v>
      </c>
      <c r="E116" s="3167"/>
      <c r="F116" s="3157" t="s">
        <v>2304</v>
      </c>
      <c r="G116" s="3157"/>
      <c r="H116" s="3051" t="s">
        <v>2305</v>
      </c>
      <c r="I116" s="3051"/>
    </row>
    <row r="117" spans="1:11" ht="18.75" customHeight="1">
      <c r="A117" s="3051"/>
      <c r="B117" s="3150"/>
      <c r="C117" s="3150"/>
      <c r="D117" s="1791" t="s">
        <v>2306</v>
      </c>
      <c r="E117" s="1791" t="s">
        <v>2307</v>
      </c>
      <c r="F117" s="1791" t="s">
        <v>2306</v>
      </c>
      <c r="G117" s="1791" t="s">
        <v>2308</v>
      </c>
      <c r="H117" s="1791" t="s">
        <v>2306</v>
      </c>
      <c r="I117" s="1791" t="s">
        <v>2308</v>
      </c>
    </row>
    <row r="118" spans="1:11" ht="24.75" customHeight="1">
      <c r="A118" s="2517" t="str">
        <f>项目基本情况!S2</f>
        <v>陕西省西安市曲江新区雁翔路以西，春林路以南“景恒彩虹谷”项目房地产</v>
      </c>
      <c r="B118" s="1791">
        <f>M18</f>
        <v>111646.95</v>
      </c>
      <c r="C118" s="1791">
        <f>M19</f>
        <v>27591.5</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112046</v>
      </c>
      <c r="I118" s="1791">
        <f ca="1">ROUND(IF(D32="楼面单价",C32,H118*10000/B118),0)</f>
        <v>10036</v>
      </c>
    </row>
    <row r="119" spans="1:11" ht="18.75" customHeight="1">
      <c r="A119" s="3051" t="s">
        <v>2309</v>
      </c>
      <c r="B119" s="3051"/>
      <c r="C119" s="3051"/>
      <c r="D119" s="3154" t="e">
        <f ca="1">NUMBERSTRING(INT(D118*10000),2)&amp;"元整"</f>
        <v>#REF!</v>
      </c>
      <c r="E119" s="3156"/>
      <c r="F119" s="3154" t="e">
        <f ca="1">NUMBERSTRING(INT(F118*10000),2)&amp;"元整"</f>
        <v>#REF!</v>
      </c>
      <c r="G119" s="3156"/>
      <c r="H119" s="3154" t="str">
        <f ca="1">NUMBERSTRING(INT(H118*10000),2)&amp;"元整"</f>
        <v>壹拾壹亿贰仟零肆拾陆万元整</v>
      </c>
      <c r="I119" s="3156"/>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14" t="str">
        <f>IF(D120=0,"故，本次评估不存在"&amp;A120,"故，本次评估"&amp;A120&amp;"为人民币"&amp;D120&amp;"万元整。")</f>
        <v>故，本次评估不存在估价师知悉的法定优先受偿款</v>
      </c>
    </row>
    <row r="121" spans="1:11" ht="18.75" customHeight="1">
      <c r="A121" s="3158" t="s">
        <v>2309</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3">
        <f ca="1">H107</f>
        <v>112046</v>
      </c>
      <c r="E122" s="3184"/>
      <c r="F122" s="3184"/>
      <c r="G122" s="3184"/>
      <c r="H122" s="3184"/>
      <c r="I122" s="3185"/>
    </row>
    <row r="123" spans="1:11" ht="18.75" customHeight="1">
      <c r="A123" s="3051" t="s">
        <v>2309</v>
      </c>
      <c r="B123" s="3051"/>
      <c r="C123" s="3051"/>
      <c r="D123" s="3154" t="str">
        <f ca="1">NUMBERSTRING(INT(D122*10000),2)&amp;"元整"</f>
        <v>壹拾壹亿贰仟零肆拾陆万元整</v>
      </c>
      <c r="E123" s="3155"/>
      <c r="F123" s="3155"/>
      <c r="G123" s="3155"/>
      <c r="H123" s="3155"/>
      <c r="I123" s="3156"/>
    </row>
    <row r="124" spans="1:11" ht="18.75" customHeight="1">
      <c r="A124" s="3145" t="str">
        <f>IF(项目基本情况!B9="房地产市场价值","",MID(E109,3,LEN(E109)-2))</f>
        <v/>
      </c>
      <c r="B124" s="3145"/>
      <c r="C124" s="3145"/>
      <c r="D124" s="3183" t="str">
        <f>H109</f>
        <v>——</v>
      </c>
      <c r="E124" s="3184"/>
      <c r="F124" s="3184"/>
      <c r="G124" s="3184"/>
      <c r="H124" s="3184"/>
      <c r="I124" s="3185"/>
    </row>
    <row r="125" spans="1:11" ht="18.75" customHeight="1">
      <c r="A125" s="3051" t="s">
        <v>2309</v>
      </c>
      <c r="B125" s="3051"/>
      <c r="C125" s="3051"/>
      <c r="D125" s="3154" t="e">
        <f>NUMBERSTRING(INT(D124*10000),2)&amp;"元整"</f>
        <v>#VALUE!</v>
      </c>
      <c r="E125" s="3155"/>
      <c r="F125" s="3155"/>
      <c r="G125" s="3155"/>
      <c r="H125" s="3155"/>
      <c r="I125" s="3156"/>
    </row>
    <row r="126" spans="1:11" ht="18.75" customHeight="1">
      <c r="A126" s="3145" t="str">
        <f>IF(项目基本情况!B9="房地产市场价值","",MID(E111,3,LEN(E111)-2))</f>
        <v/>
      </c>
      <c r="B126" s="3145"/>
      <c r="C126" s="3145"/>
      <c r="D126" s="3183" t="str">
        <f>H111</f>
        <v>——</v>
      </c>
      <c r="E126" s="3184"/>
      <c r="F126" s="3184"/>
      <c r="G126" s="3184"/>
      <c r="H126" s="3184"/>
      <c r="I126" s="3185"/>
    </row>
    <row r="127" spans="1:11" ht="18.75" customHeight="1">
      <c r="A127" s="3051" t="s">
        <v>2309</v>
      </c>
      <c r="B127" s="3051"/>
      <c r="C127" s="3051"/>
      <c r="D127" s="3154" t="e">
        <f>NUMBERSTRING(INT(D126*10000),2)&amp;"元整"</f>
        <v>#VALUE!</v>
      </c>
      <c r="E127" s="3155"/>
      <c r="F127" s="3155"/>
      <c r="G127" s="3155"/>
      <c r="H127" s="3155"/>
      <c r="I127" s="3156"/>
    </row>
    <row r="128" spans="1:11" ht="21.75" customHeight="1">
      <c r="A128" s="3165" t="s">
        <v>2310</v>
      </c>
      <c r="B128" s="3165"/>
      <c r="C128" s="3165"/>
      <c r="D128" s="3165"/>
      <c r="E128" s="3165"/>
      <c r="F128" s="3165"/>
      <c r="G128" s="3165"/>
      <c r="H128" s="3165"/>
      <c r="I128" s="3165"/>
    </row>
    <row r="129" spans="1:35" ht="21.75" customHeight="1">
      <c r="A129" s="2518" t="s">
        <v>2311</v>
      </c>
      <c r="B129" s="2519"/>
      <c r="C129" s="2520" t="s">
        <v>2312</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2313</v>
      </c>
      <c r="G135" s="2535"/>
      <c r="H135" s="2535"/>
      <c r="I135" s="2536" t="s">
        <v>2314</v>
      </c>
    </row>
    <row r="136" spans="1:35" ht="21.75" customHeight="1">
      <c r="A136" s="794"/>
      <c r="B136" s="2537" t="s">
        <v>2315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2316</v>
      </c>
    </row>
    <row r="139" spans="1:35" ht="21.75" customHeight="1">
      <c r="A139" s="794"/>
      <c r="B139" s="2537" t="s">
        <v>2317</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2316</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3"/>
      <c r="C1" s="241"/>
      <c r="D1" s="241"/>
      <c r="E1" s="241"/>
      <c r="F1" s="241"/>
      <c r="G1" s="1375">
        <f>MATCH(B1,'数据-取费表'!A6:A16,0)+5</f>
        <v>12</v>
      </c>
    </row>
    <row r="2" spans="1:9" s="243" customFormat="1" ht="18" customHeight="1">
      <c r="A2" s="244" t="s">
        <v>2319</v>
      </c>
      <c r="B2" s="245">
        <f ca="1">IF(D2="——",C52,C52-E2)</f>
        <v>81749</v>
      </c>
      <c r="C2" s="242" t="s">
        <v>2320</v>
      </c>
      <c r="D2" s="2540" t="s">
        <v>70</v>
      </c>
      <c r="E2" s="1436" t="e">
        <f ca="1">SUMIF(INDIRECT("'"&amp;G2&amp;"'"&amp;"!A:A"),"承租人权益价值",INDIRECT("'"&amp;G2&amp;"'"&amp;"!c:c"))</f>
        <v>#REF!</v>
      </c>
      <c r="F2" s="2541" t="s">
        <v>2320</v>
      </c>
      <c r="G2" s="2542"/>
    </row>
    <row r="3" spans="1:9" s="243" customFormat="1" ht="18" customHeight="1" thickBot="1">
      <c r="A3" s="246" t="s">
        <v>2321</v>
      </c>
      <c r="B3" s="247">
        <f ca="1">ROUND(B2*10000/(IF(B1="",'数据-汇总表'!E3,INDIRECT("'数据-取费表'!k"&amp;$G$1))),0)</f>
        <v>7322</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 ca="1">C6+C7+C8</f>
        <v>20583</v>
      </c>
      <c r="D5" s="254" t="s">
        <v>2326</v>
      </c>
      <c r="E5" s="255" t="s">
        <v>2327</v>
      </c>
      <c r="F5" s="255" t="s">
        <v>2328</v>
      </c>
      <c r="G5" s="256"/>
    </row>
    <row r="6" spans="1:9" s="257" customFormat="1" ht="13.5" customHeight="1">
      <c r="A6" s="945" t="s">
        <v>2329</v>
      </c>
      <c r="B6" s="258" t="s">
        <v>2330</v>
      </c>
      <c r="C6" s="259">
        <f>'土地比较法-住宅、综合'!B2</f>
        <v>17482</v>
      </c>
      <c r="D6" s="260"/>
      <c r="E6" s="261"/>
      <c r="F6" s="261"/>
      <c r="G6" s="262"/>
    </row>
    <row r="7" spans="1:9" s="257" customFormat="1" ht="13.5" customHeight="1">
      <c r="A7" s="945" t="s">
        <v>2331</v>
      </c>
      <c r="B7" s="258" t="s">
        <v>2332</v>
      </c>
      <c r="C7" s="263">
        <f>ROUND(C6*F7,0)</f>
        <v>533</v>
      </c>
      <c r="D7" s="263"/>
      <c r="E7" s="261"/>
      <c r="F7" s="264">
        <f>'数据-取费表'!B48+'数据-取费表'!B49</f>
        <v>3.0499999999999999E-2</v>
      </c>
      <c r="G7" s="262"/>
    </row>
    <row r="8" spans="1:9" s="266" customFormat="1">
      <c r="A8" s="945" t="s">
        <v>2333</v>
      </c>
      <c r="B8" s="258" t="s">
        <v>2334</v>
      </c>
      <c r="C8" s="263">
        <f ca="1">IF(G8="已包含在土地购买价格中","0",IF(B1="",'数据-取费表'!B29,IF(G9="全部缴纳",C9+C10,H9)))</f>
        <v>2568</v>
      </c>
      <c r="D8" s="265"/>
      <c r="E8" s="263"/>
      <c r="F8" s="264"/>
      <c r="G8" s="2543" t="s">
        <v>3235</v>
      </c>
    </row>
    <row r="9" spans="1:9" s="257" customFormat="1" ht="13.5" customHeight="1">
      <c r="A9" s="946" t="s">
        <v>800</v>
      </c>
      <c r="B9" s="267" t="s">
        <v>2335</v>
      </c>
      <c r="C9" s="268">
        <f ca="1">ROUND(D9*E9/10000,0)</f>
        <v>0</v>
      </c>
      <c r="D9" s="1028">
        <f ca="1">IF(B1="",'数据-汇总表'!E5,IF(INDIRECT("'数据-取费表'!c"&amp;$G$1)="住宅",INDIRECT("'数据-取费表'!k"&amp;$G$1),0))</f>
        <v>0</v>
      </c>
      <c r="E9" s="268">
        <f>'数据-取费表'!B27</f>
        <v>0</v>
      </c>
      <c r="F9" s="264"/>
      <c r="G9" s="2544"/>
      <c r="H9" s="1386"/>
      <c r="I9" s="2545" t="s">
        <v>2336</v>
      </c>
    </row>
    <row r="10" spans="1:9" s="257" customFormat="1" ht="13.5" customHeight="1">
      <c r="A10" s="946" t="s">
        <v>801</v>
      </c>
      <c r="B10" s="267" t="s">
        <v>2337</v>
      </c>
      <c r="C10" s="268">
        <f ca="1">ROUND(D10*E10/10000,0)</f>
        <v>2568</v>
      </c>
      <c r="D10" s="1028">
        <f ca="1">IF(B1="",'数据-汇总表'!E6,IF(INDIRECT("'数据-取费表'!c"&amp;$G$1)="住宅",INDIRECT("'数据-取费表'!s"&amp;$G$1),INDIRECT("'数据-取费表'!k"&amp;$G$1)+INDIRECT("'数据-取费表'!s"&amp;$G$1)))</f>
        <v>111646.95</v>
      </c>
      <c r="E10" s="268">
        <f>'数据-取费表'!B28</f>
        <v>230</v>
      </c>
      <c r="F10" s="264"/>
      <c r="G10" s="269"/>
    </row>
    <row r="11" spans="1:9" s="257" customFormat="1" ht="13.5" hidden="1" customHeight="1">
      <c r="A11" s="270" t="s">
        <v>7</v>
      </c>
      <c r="B11" s="258" t="s">
        <v>2338</v>
      </c>
      <c r="C11" s="254"/>
      <c r="D11" s="1030"/>
      <c r="E11" s="261"/>
      <c r="F11" s="261"/>
      <c r="G11" s="262"/>
    </row>
    <row r="12" spans="1:9" s="257" customFormat="1" ht="13.5" hidden="1" customHeight="1">
      <c r="A12" s="270" t="s">
        <v>8</v>
      </c>
      <c r="B12" s="258" t="s">
        <v>2339</v>
      </c>
      <c r="C12" s="254">
        <v>0</v>
      </c>
      <c r="D12" s="1030"/>
      <c r="E12" s="271"/>
      <c r="F12" s="264">
        <v>3.0499999999999999E-2</v>
      </c>
      <c r="G12" s="262"/>
    </row>
    <row r="13" spans="1:9" s="257" customFormat="1" ht="13.5" hidden="1" customHeight="1">
      <c r="A13" s="270" t="s">
        <v>9</v>
      </c>
      <c r="B13" s="258" t="s">
        <v>2340</v>
      </c>
      <c r="C13" s="254"/>
      <c r="D13" s="1030"/>
      <c r="E13" s="261"/>
      <c r="F13" s="261"/>
      <c r="G13" s="262"/>
    </row>
    <row r="14" spans="1:9" s="257" customFormat="1" ht="13.5" hidden="1" customHeight="1">
      <c r="A14" s="270" t="s">
        <v>10</v>
      </c>
      <c r="B14" s="258" t="s">
        <v>2341</v>
      </c>
      <c r="C14" s="254"/>
      <c r="D14" s="1030"/>
      <c r="E14" s="261"/>
      <c r="F14" s="261"/>
      <c r="G14" s="262" t="s">
        <v>2342</v>
      </c>
    </row>
    <row r="15" spans="1:9" s="257" customFormat="1" ht="13.5" hidden="1" customHeight="1">
      <c r="A15" s="270" t="s">
        <v>11</v>
      </c>
      <c r="B15" s="258" t="s">
        <v>2343</v>
      </c>
      <c r="C15" s="263"/>
      <c r="D15" s="1030"/>
      <c r="E15" s="261"/>
      <c r="F15" s="261"/>
      <c r="G15" s="262" t="s">
        <v>2344</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2345</v>
      </c>
      <c r="C17" s="272"/>
      <c r="D17" s="1031"/>
      <c r="E17" s="272"/>
      <c r="F17" s="272"/>
      <c r="G17" s="262" t="s">
        <v>2344</v>
      </c>
    </row>
    <row r="18" spans="1:7" s="257" customFormat="1" ht="13.5" hidden="1" customHeight="1">
      <c r="A18" s="270" t="s">
        <v>14</v>
      </c>
      <c r="B18" s="258" t="s">
        <v>2346</v>
      </c>
      <c r="C18" s="263">
        <v>0</v>
      </c>
      <c r="D18" s="1030"/>
      <c r="E18" s="261"/>
      <c r="F18" s="264">
        <v>3.0499999999999999E-2</v>
      </c>
      <c r="G18" s="262" t="s">
        <v>2347</v>
      </c>
    </row>
    <row r="19" spans="1:7" s="266" customFormat="1" ht="13.5" customHeight="1">
      <c r="A19" s="298" t="s">
        <v>2348</v>
      </c>
      <c r="B19" s="253" t="s">
        <v>2349</v>
      </c>
      <c r="C19" s="254" t="str">
        <f>IF(G19="已包含在土地取得成本中","0",ROUND(D19*E19/10000,0))</f>
        <v>0</v>
      </c>
      <c r="D19" s="1032">
        <f ca="1">D9+D10</f>
        <v>111646.95</v>
      </c>
      <c r="E19" s="254">
        <f>'数据-取费表'!B31</f>
        <v>200</v>
      </c>
      <c r="F19" s="274"/>
      <c r="G19" s="2543" t="s">
        <v>3236</v>
      </c>
    </row>
    <row r="20" spans="1:7" s="257" customFormat="1" ht="13.5" customHeight="1">
      <c r="A20" s="298" t="s">
        <v>2350</v>
      </c>
      <c r="B20" s="253" t="s">
        <v>2351</v>
      </c>
      <c r="C20" s="275">
        <f ca="1">ROUND((C5+C19)*F20,0)</f>
        <v>412</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0">
        <f ca="1">ROUND(SUM(C23:C25),0)</f>
        <v>3105</v>
      </c>
      <c r="D22" s="278">
        <f ca="1">C26</f>
        <v>1.4E-3</v>
      </c>
      <c r="E22" s="279" t="s">
        <v>2355</v>
      </c>
      <c r="F22" s="280">
        <f ca="1">'数据-取费表'!B40</f>
        <v>4.7500000000000001E-2</v>
      </c>
      <c r="G22" s="277" t="str">
        <f>IF('数据-取费表'!B22&lt;=1,"单利计息","复利计息")</f>
        <v>复利计息</v>
      </c>
    </row>
    <row r="23" spans="1:7" s="257" customFormat="1" ht="13.5" customHeight="1">
      <c r="A23" s="947" t="s">
        <v>2359</v>
      </c>
      <c r="B23" s="258" t="s">
        <v>2360</v>
      </c>
      <c r="C23" s="1351">
        <f ca="1">ROUND(IF('数据-取费表'!B22&lt;=1,C5*F22*'数据-取费表'!B23,C5*(POWER((1+F22),'数据-取费表'!B23)-1)),0)</f>
        <v>3075</v>
      </c>
      <c r="D23" s="281"/>
      <c r="E23" s="281"/>
      <c r="F23" s="282"/>
      <c r="G23" s="283" t="s">
        <v>2361</v>
      </c>
    </row>
    <row r="24" spans="1:7" s="257" customFormat="1" ht="13.5" customHeight="1">
      <c r="A24" s="947" t="s">
        <v>2362</v>
      </c>
      <c r="B24" s="258" t="s">
        <v>2363</v>
      </c>
      <c r="C24" s="1351">
        <f ca="1">ROUND(IF('数据-取费表'!B22&lt;=1,C19*F22*('数据-取费表'!B19/2+'数据-取费表'!B21),C19*(POWER((1+F22),('数据-取费表'!B19/2+'数据-取费表'!B21))-1)),0)</f>
        <v>0</v>
      </c>
      <c r="D24" s="281"/>
      <c r="E24" s="281"/>
      <c r="F24" s="282"/>
      <c r="G24" s="283" t="s">
        <v>2364</v>
      </c>
    </row>
    <row r="25" spans="1:7" s="257" customFormat="1" ht="24">
      <c r="A25" s="947" t="s">
        <v>2365</v>
      </c>
      <c r="B25" s="258" t="s">
        <v>2366</v>
      </c>
      <c r="C25" s="1351">
        <f ca="1">ROUND(IF('数据-取费表'!B22&lt;=1,C20*F22*'数据-取费表'!B23/2,C20*(POWER((1+F22),'数据-取费表'!B23/2)-1)),0)</f>
        <v>30</v>
      </c>
      <c r="D25" s="281"/>
      <c r="E25" s="284"/>
      <c r="F25" s="282"/>
      <c r="G25" s="285" t="s">
        <v>2367</v>
      </c>
    </row>
    <row r="26" spans="1:7" s="257" customFormat="1">
      <c r="A26" s="947" t="s">
        <v>795</v>
      </c>
      <c r="B26" s="258" t="s">
        <v>2368</v>
      </c>
      <c r="C26" s="281">
        <f ca="1">ROUND(IF('数据-取费表'!B22&lt;=1,F21*F22*'数据-取费表'!B23/2,F21*(POWER((1+F22),'数据-取费表'!B23/2)-1)),4)</f>
        <v>1.4E-3</v>
      </c>
      <c r="D26" s="281"/>
      <c r="E26" s="284"/>
      <c r="F26" s="282"/>
      <c r="G26" s="286"/>
    </row>
    <row r="27" spans="1:7" s="257" customFormat="1" ht="24.75">
      <c r="A27" s="298" t="s">
        <v>2369</v>
      </c>
      <c r="B27" s="287" t="s">
        <v>2370</v>
      </c>
      <c r="C27" s="288">
        <f ca="1">C28</f>
        <v>4409</v>
      </c>
      <c r="D27" s="278">
        <f ca="1">C29</f>
        <v>4.1999999999999997E-3</v>
      </c>
      <c r="E27" s="279" t="s">
        <v>2371</v>
      </c>
      <c r="F27" s="289">
        <f ca="1">IF(B1="",'数据-取费表'!Q16,INDIRECT("'数据-取费表'!q"&amp;$G$1))</f>
        <v>0.21</v>
      </c>
      <c r="G27" s="290" t="s">
        <v>2372</v>
      </c>
    </row>
    <row r="28" spans="1:7" s="257" customFormat="1" ht="13.5" customHeight="1">
      <c r="A28" s="947" t="s">
        <v>791</v>
      </c>
      <c r="B28" s="291" t="s">
        <v>2373</v>
      </c>
      <c r="C28" s="292">
        <f ca="1">ROUND((C5+C19+C20)*F27*'数据-取费表'!B21/'数据-取费表'!B20,0)</f>
        <v>4409</v>
      </c>
      <c r="D28" s="278"/>
      <c r="E28" s="279"/>
      <c r="F28" s="289"/>
      <c r="G28" s="290"/>
    </row>
    <row r="29" spans="1:7" s="257" customFormat="1" ht="13.5" customHeight="1">
      <c r="A29" s="947" t="s">
        <v>792</v>
      </c>
      <c r="B29" s="291" t="s">
        <v>2374</v>
      </c>
      <c r="C29" s="281">
        <f ca="1">ROUND(C21*F27*'数据-取费表'!B21/'数据-取费表'!B20,4)</f>
        <v>4.1999999999999997E-3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30951</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35779</v>
      </c>
      <c r="D33" s="275"/>
      <c r="E33" s="255"/>
      <c r="F33" s="284"/>
      <c r="G33" s="277"/>
    </row>
    <row r="34" spans="1:7" s="301" customFormat="1" ht="13.5" customHeight="1">
      <c r="A34" s="947" t="s">
        <v>791</v>
      </c>
      <c r="B34" s="258" t="s">
        <v>2382</v>
      </c>
      <c r="C34" s="263">
        <f ca="1">IF(B1="",IF(F34=100%,'数据-取费表'!M16,'数据-取费表'!O16),IF(F34=100%,INDIRECT("'数据-取费表'!m"&amp;$G$1)+INDIRECT("'数据-取费表'!t"&amp;$G$1),INDIRECT("'数据-取费表'!o"&amp;$G$1)+INDIRECT("'数据-取费表'!aq"&amp;$G$1)))</f>
        <v>32101</v>
      </c>
      <c r="D34" s="260"/>
      <c r="E34" s="263"/>
      <c r="F34" s="300">
        <f ca="1">IF('数据-取费表'!B24=0,1,IF(B1="",'数据-取费表'!N16,INDIRECT("'数据-取费表'!n"&amp;$G$1)))</f>
        <v>1</v>
      </c>
      <c r="G34" s="262" t="s">
        <v>2383</v>
      </c>
    </row>
    <row r="35" spans="1:7" ht="13.5" customHeight="1">
      <c r="A35" s="947" t="s">
        <v>796</v>
      </c>
      <c r="B35" s="258" t="s">
        <v>2384</v>
      </c>
      <c r="C35" s="263">
        <f ca="1">ROUND(C34*F35,0)</f>
        <v>963</v>
      </c>
      <c r="D35" s="263"/>
      <c r="E35" s="263"/>
      <c r="F35" s="302">
        <f>'数据-取费表'!B33</f>
        <v>0.03</v>
      </c>
      <c r="G35" s="262" t="s">
        <v>2385</v>
      </c>
    </row>
    <row r="36" spans="1:7" ht="24">
      <c r="A36" s="947"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7" t="s">
        <v>798</v>
      </c>
      <c r="B37" s="258" t="s">
        <v>2388</v>
      </c>
      <c r="C37" s="292">
        <f ca="1">ROUND(E37*D37*F34/10000,0)</f>
        <v>2233</v>
      </c>
      <c r="D37" s="260">
        <f ca="1">D19</f>
        <v>111646.95</v>
      </c>
      <c r="E37" s="292">
        <f>'数据-取费表'!B35</f>
        <v>200</v>
      </c>
      <c r="F37" s="302"/>
      <c r="G37" s="304" t="s">
        <v>2389</v>
      </c>
    </row>
    <row r="38" spans="1:7" ht="13.5" customHeight="1">
      <c r="A38" s="947" t="s">
        <v>799</v>
      </c>
      <c r="B38" s="258" t="s">
        <v>2390</v>
      </c>
      <c r="C38" s="263">
        <f ca="1">ROUND(C34*F38,0)</f>
        <v>482</v>
      </c>
      <c r="D38" s="263"/>
      <c r="E38" s="263"/>
      <c r="F38" s="302">
        <f>'数据-取费表'!B36</f>
        <v>1.4999999999999999E-2</v>
      </c>
      <c r="G38" s="262" t="s">
        <v>2385</v>
      </c>
    </row>
    <row r="39" spans="1:7" s="257" customFormat="1" ht="13.5" customHeight="1">
      <c r="A39" s="298" t="s">
        <v>2391</v>
      </c>
      <c r="B39" s="253" t="s">
        <v>2392</v>
      </c>
      <c r="C39" s="275">
        <f ca="1">ROUND(C33*F20,0)</f>
        <v>716</v>
      </c>
      <c r="D39" s="275"/>
      <c r="E39" s="275"/>
      <c r="F39" s="276"/>
      <c r="G39" s="277" t="s">
        <v>2393</v>
      </c>
    </row>
    <row r="40" spans="1:7" s="257" customFormat="1" ht="13.5" customHeight="1">
      <c r="A40" s="298" t="s">
        <v>2394</v>
      </c>
      <c r="B40" s="253" t="s">
        <v>2395</v>
      </c>
      <c r="C40" s="1724">
        <f>F21</f>
        <v>0.02</v>
      </c>
      <c r="D40" s="279" t="s">
        <v>2396</v>
      </c>
      <c r="E40" s="275"/>
      <c r="F40" s="276"/>
      <c r="G40" s="277" t="s">
        <v>2397</v>
      </c>
    </row>
    <row r="41" spans="1:7" s="257" customFormat="1" ht="13.5" customHeight="1">
      <c r="A41" s="298" t="s">
        <v>2398</v>
      </c>
      <c r="B41" s="253" t="s">
        <v>2399</v>
      </c>
      <c r="C41" s="275">
        <f ca="1">ROUND(SUM(C42:C43),0)</f>
        <v>2631</v>
      </c>
      <c r="D41" s="278">
        <f ca="1">C44</f>
        <v>1.4E-3</v>
      </c>
      <c r="E41" s="279" t="s">
        <v>2396</v>
      </c>
      <c r="F41" s="280"/>
      <c r="G41" s="277" t="str">
        <f>IF('数据-取费表'!B22&lt;=1,"单利计息","复利计息")</f>
        <v>复利计息</v>
      </c>
    </row>
    <row r="42" spans="1:7" ht="13.5" customHeight="1">
      <c r="A42" s="947" t="s">
        <v>791</v>
      </c>
      <c r="B42" s="258" t="s">
        <v>2400</v>
      </c>
      <c r="C42" s="281">
        <f ca="1">ROUND(IF('数据-取费表'!B22&lt;=1,C33*F22*'数据-取费表'!B21/2,C33*(POWER((1+F22),'数据-取费表'!B21/2)-1)),0)</f>
        <v>2579</v>
      </c>
      <c r="D42" s="281"/>
      <c r="E42" s="281"/>
      <c r="F42" s="282"/>
      <c r="G42" s="3197" t="s">
        <v>2401</v>
      </c>
    </row>
    <row r="43" spans="1:7" ht="13.5" customHeight="1">
      <c r="A43" s="947" t="s">
        <v>792</v>
      </c>
      <c r="B43" s="258" t="s">
        <v>2402</v>
      </c>
      <c r="C43" s="281">
        <f ca="1">ROUND(IF('数据-取费表'!B22&lt;=1,C39*F22*'数据-取费表'!B21/2,C39*(POWER((1+F22),'数据-取费表'!B21/2)-1)),0)</f>
        <v>52</v>
      </c>
      <c r="D43" s="281"/>
      <c r="E43" s="281"/>
      <c r="F43" s="282"/>
      <c r="G43" s="3198"/>
    </row>
    <row r="44" spans="1:7" ht="13.5" customHeight="1">
      <c r="A44" s="947" t="s">
        <v>793</v>
      </c>
      <c r="B44" s="258" t="s">
        <v>2403</v>
      </c>
      <c r="C44" s="281">
        <f ca="1">ROUND(IF('数据-取费表'!B22&lt;=1,C40*F22*'数据-取费表'!B21/2,C40*(POWER((1+F22),'数据-取费表'!B21/2)-1)),4)</f>
        <v>1.4E-3</v>
      </c>
      <c r="D44" s="281"/>
      <c r="E44" s="281"/>
      <c r="F44" s="282"/>
      <c r="G44" s="3199"/>
    </row>
    <row r="45" spans="1:7" s="257" customFormat="1" ht="13.5" customHeight="1">
      <c r="A45" s="298" t="s">
        <v>2404</v>
      </c>
      <c r="B45" s="287" t="s">
        <v>2370</v>
      </c>
      <c r="C45" s="288">
        <f ca="1">C46</f>
        <v>7664</v>
      </c>
      <c r="D45" s="278">
        <f ca="1">C47</f>
        <v>4.1999999999999997E-3</v>
      </c>
      <c r="E45" s="279" t="s">
        <v>2396</v>
      </c>
      <c r="F45" s="289"/>
      <c r="G45" s="290" t="s">
        <v>2405</v>
      </c>
    </row>
    <row r="46" spans="1:7" s="257" customFormat="1" ht="13.5" customHeight="1">
      <c r="A46" s="947" t="s">
        <v>791</v>
      </c>
      <c r="B46" s="291" t="s">
        <v>2406</v>
      </c>
      <c r="C46" s="292">
        <f ca="1">ROUND((C33+C39)*F27,0)</f>
        <v>7664</v>
      </c>
      <c r="D46" s="306"/>
      <c r="E46" s="279"/>
      <c r="F46" s="289"/>
      <c r="G46" s="290"/>
    </row>
    <row r="47" spans="1:7" s="257" customFormat="1" ht="13.5" customHeight="1">
      <c r="A47" s="947" t="s">
        <v>792</v>
      </c>
      <c r="B47" s="291" t="s">
        <v>2407</v>
      </c>
      <c r="C47" s="281">
        <f ca="1">ROUND(C40*F27,4)</f>
        <v>4.1999999999999997E-3</v>
      </c>
      <c r="D47" s="306"/>
      <c r="E47" s="279"/>
      <c r="F47" s="289"/>
      <c r="G47" s="290"/>
    </row>
    <row r="48" spans="1:7" s="257" customFormat="1" ht="13.5" customHeight="1">
      <c r="A48" s="298" t="s">
        <v>2369</v>
      </c>
      <c r="B48" s="253" t="s">
        <v>2408</v>
      </c>
      <c r="C48" s="1724">
        <f>ROUND(F30/(1+'数据-取费表'!C42),4)</f>
        <v>5.33E-2</v>
      </c>
      <c r="D48" s="279" t="s">
        <v>2396</v>
      </c>
      <c r="E48" s="275"/>
      <c r="F48" s="280"/>
      <c r="G48" s="277" t="s">
        <v>2409</v>
      </c>
    </row>
    <row r="49" spans="1:7" ht="16.5" customHeight="1">
      <c r="A49" s="298" t="s">
        <v>2375</v>
      </c>
      <c r="B49" s="253" t="s">
        <v>2410</v>
      </c>
      <c r="C49" s="275">
        <f ca="1">ROUND((C33+C39+C41+C45)/(1-C40-D41-D45-C48),0)</f>
        <v>50798</v>
      </c>
      <c r="D49" s="275"/>
      <c r="E49" s="275"/>
      <c r="F49" s="307"/>
      <c r="G49" s="277" t="s">
        <v>2411</v>
      </c>
    </row>
    <row r="50" spans="1:7" s="301" customFormat="1" ht="24">
      <c r="A50" s="298" t="s">
        <v>2412</v>
      </c>
      <c r="B50" s="253" t="s">
        <v>2413</v>
      </c>
      <c r="C50" s="275"/>
      <c r="D50" s="275"/>
      <c r="E50" s="275"/>
      <c r="F50" s="307">
        <f>IF('数据-取费表'!B24=0,'数据-取费表'!N16,1)</f>
        <v>1</v>
      </c>
      <c r="G50" s="290" t="s">
        <v>2414</v>
      </c>
    </row>
    <row r="51" spans="1:7" ht="16.5" customHeight="1">
      <c r="A51" s="298" t="s">
        <v>2415</v>
      </c>
      <c r="B51" s="253" t="s">
        <v>2416</v>
      </c>
      <c r="C51" s="275">
        <f ca="1">ROUND(C49*F50,0)</f>
        <v>50798</v>
      </c>
      <c r="D51" s="275"/>
      <c r="E51" s="275"/>
      <c r="F51" s="307"/>
      <c r="G51" s="277" t="s">
        <v>2417</v>
      </c>
    </row>
    <row r="52" spans="1:7" s="251" customFormat="1" ht="16.5" thickBot="1">
      <c r="A52" s="308" t="s">
        <v>2418</v>
      </c>
      <c r="B52" s="309"/>
      <c r="C52" s="310">
        <f ca="1">C31+C51</f>
        <v>81749</v>
      </c>
      <c r="D52" s="309"/>
      <c r="E52" s="309"/>
      <c r="F52" s="309"/>
      <c r="G52" s="311"/>
    </row>
    <row r="55" spans="1:7" ht="15">
      <c r="B55" s="313" t="s">
        <v>2419</v>
      </c>
      <c r="C55" s="314"/>
    </row>
    <row r="56" spans="1:7">
      <c r="B56" s="316" t="s">
        <v>1513</v>
      </c>
      <c r="C56" s="318">
        <f ca="1">1-C57</f>
        <v>0.379</v>
      </c>
    </row>
    <row r="57" spans="1:7">
      <c r="B57" s="316" t="s">
        <v>1514</v>
      </c>
      <c r="C57" s="317">
        <f ca="1">ROUND(C51/C52,3)</f>
        <v>0.621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07" t="str">
        <f>项目基本情况!B1</f>
        <v>陕西省西安市曲江新区雁翔路以西，春林路以南“景恒彩虹谷”项目房地产抵押价值预评估</v>
      </c>
      <c r="C37" s="3007"/>
      <c r="D37" s="3007"/>
      <c r="E37" s="3007"/>
      <c r="F37" s="3007"/>
      <c r="G37" s="3007"/>
      <c r="H37" s="3007"/>
      <c r="I37" s="3007"/>
    </row>
    <row r="38" spans="1:9">
      <c r="A38" s="1012"/>
      <c r="B38" s="1012"/>
    </row>
    <row r="39" spans="1:9">
      <c r="A39" s="1010" t="s">
        <v>818</v>
      </c>
      <c r="B39" s="1010" t="s">
        <v>820</v>
      </c>
    </row>
    <row r="40" spans="1:9">
      <c r="A40" s="1010"/>
      <c r="B40" s="1938" t="str">
        <f>项目基本情况!B5</f>
        <v>西安景恒房地产开发有限公司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吴薇（注册号：1419970001)、刘梅（注册号：1120140022)</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3"/>
      <c r="C1" s="2546" t="s">
        <v>2420</v>
      </c>
      <c r="D1" s="241"/>
      <c r="E1" s="241"/>
      <c r="F1" s="241"/>
      <c r="G1" s="1375">
        <f>MATCH(B1,'数据-取费表'!A6:A16,0)+5</f>
        <v>12</v>
      </c>
      <c r="H1" s="1278" t="str">
        <f>IF(ISERROR(FIND("住宅",B1)),"非住宅","住宅")</f>
        <v>非住宅</v>
      </c>
    </row>
    <row r="2" spans="1:8" s="243" customFormat="1" ht="18" customHeight="1">
      <c r="A2" s="244" t="s">
        <v>2319</v>
      </c>
      <c r="B2" s="245">
        <f ca="1">ROUND(IF(D2="——",C52/10000,C52/10000-E2),0)</f>
        <v>58015</v>
      </c>
      <c r="C2" s="242" t="s">
        <v>2320</v>
      </c>
      <c r="D2" s="2540" t="s">
        <v>70</v>
      </c>
      <c r="E2" s="1436" t="e">
        <f ca="1">SUMIF(INDIRECT("'"&amp;G2&amp;"'"&amp;"!A:A"),"承租人权益价值",INDIRECT("'"&amp;G2&amp;"'"&amp;"!c:c"))</f>
        <v>#REF!</v>
      </c>
      <c r="F2" s="2541" t="s">
        <v>2320</v>
      </c>
      <c r="G2" s="2542"/>
    </row>
    <row r="3" spans="1:8" s="243" customFormat="1" ht="18" customHeight="1" thickBot="1">
      <c r="A3" s="246" t="s">
        <v>2321</v>
      </c>
      <c r="B3" s="247">
        <f ca="1">ROUND(B2*10000/(IF(B1="",'数据-汇总表'!E3,INDIRECT("'数据-取费表'!k"&amp;$G$1))),0)</f>
        <v>5196</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25678799</v>
      </c>
      <c r="D5" s="254" t="s">
        <v>2326</v>
      </c>
      <c r="E5" s="255" t="s">
        <v>2327</v>
      </c>
      <c r="F5" s="255" t="s">
        <v>2328</v>
      </c>
      <c r="G5" s="256"/>
    </row>
    <row r="6" spans="1:8" s="257" customFormat="1" ht="13.5" customHeight="1">
      <c r="A6" s="945" t="s">
        <v>2329</v>
      </c>
      <c r="B6" s="258" t="s">
        <v>2330</v>
      </c>
      <c r="C6" s="259"/>
      <c r="D6" s="260"/>
      <c r="E6" s="261"/>
      <c r="F6" s="261"/>
      <c r="G6" s="262"/>
    </row>
    <row r="7" spans="1:8" s="257" customFormat="1" ht="13.5" customHeight="1">
      <c r="A7" s="945" t="s">
        <v>2331</v>
      </c>
      <c r="B7" s="258" t="s">
        <v>2332</v>
      </c>
      <c r="C7" s="263">
        <f>ROUND(C6*F7,0)</f>
        <v>0</v>
      </c>
      <c r="D7" s="263"/>
      <c r="E7" s="261"/>
      <c r="F7" s="264">
        <f>'数据-取费表'!B48+'数据-取费表'!B49</f>
        <v>3.0499999999999999E-2</v>
      </c>
      <c r="G7" s="262"/>
    </row>
    <row r="8" spans="1:8" s="266" customFormat="1">
      <c r="A8" s="945" t="s">
        <v>2333</v>
      </c>
      <c r="B8" s="258" t="s">
        <v>2334</v>
      </c>
      <c r="C8" s="263">
        <f ca="1">IF(G8="已包含在土地购买价格中",0,C9+C10)</f>
        <v>25678799</v>
      </c>
      <c r="D8" s="265"/>
      <c r="E8" s="263"/>
      <c r="F8" s="264"/>
      <c r="G8" s="2543"/>
    </row>
    <row r="9" spans="1:8" s="257" customFormat="1" ht="13.5" customHeight="1">
      <c r="A9" s="946" t="s">
        <v>800</v>
      </c>
      <c r="B9" s="267" t="s">
        <v>2335</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2337</v>
      </c>
      <c r="C10" s="268">
        <f ca="1">ROUND(D10*E10,0)</f>
        <v>25678799</v>
      </c>
      <c r="D10" s="1028">
        <f ca="1">IF(B1="",'数据-汇总表'!E6,IF(INDIRECT("'数据-取费表'!c"&amp;$G$1)="住宅",INDIRECT("'数据-取费表'!s"&amp;$G$1),INDIRECT("'数据-取费表'!k"&amp;$G$1)+INDIRECT("'数据-取费表'!s"&amp;$G$1)))</f>
        <v>111646.95</v>
      </c>
      <c r="E10" s="268">
        <f>'数据-取费表'!B28</f>
        <v>230</v>
      </c>
      <c r="F10" s="264"/>
      <c r="G10" s="269"/>
    </row>
    <row r="11" spans="1:8" s="257" customFormat="1" ht="13.5" hidden="1" customHeight="1">
      <c r="A11" s="270" t="s">
        <v>7</v>
      </c>
      <c r="B11" s="258" t="s">
        <v>2338</v>
      </c>
      <c r="C11" s="254"/>
      <c r="D11" s="1030"/>
      <c r="E11" s="261"/>
      <c r="F11" s="261"/>
      <c r="G11" s="262"/>
    </row>
    <row r="12" spans="1:8" s="257" customFormat="1" ht="13.5" hidden="1" customHeight="1">
      <c r="A12" s="270" t="s">
        <v>8</v>
      </c>
      <c r="B12" s="258" t="s">
        <v>2421</v>
      </c>
      <c r="C12" s="254">
        <v>0</v>
      </c>
      <c r="D12" s="1030"/>
      <c r="E12" s="271"/>
      <c r="F12" s="264">
        <v>3.0499999999999999E-2</v>
      </c>
      <c r="G12" s="262"/>
    </row>
    <row r="13" spans="1:8" s="257" customFormat="1" ht="13.5" hidden="1" customHeight="1">
      <c r="A13" s="270" t="s">
        <v>9</v>
      </c>
      <c r="B13" s="258" t="s">
        <v>2422</v>
      </c>
      <c r="C13" s="254"/>
      <c r="D13" s="1030"/>
      <c r="E13" s="261"/>
      <c r="F13" s="261"/>
      <c r="G13" s="262"/>
    </row>
    <row r="14" spans="1:8" s="257" customFormat="1" ht="13.5" hidden="1" customHeight="1">
      <c r="A14" s="270" t="s">
        <v>10</v>
      </c>
      <c r="B14" s="258" t="s">
        <v>2334</v>
      </c>
      <c r="C14" s="254"/>
      <c r="D14" s="1030"/>
      <c r="E14" s="261"/>
      <c r="F14" s="261"/>
      <c r="G14" s="262" t="s">
        <v>2423</v>
      </c>
    </row>
    <row r="15" spans="1:8" s="257" customFormat="1" ht="13.5" hidden="1" customHeight="1">
      <c r="A15" s="270" t="s">
        <v>11</v>
      </c>
      <c r="B15" s="258" t="s">
        <v>2424</v>
      </c>
      <c r="C15" s="263"/>
      <c r="D15" s="1030"/>
      <c r="E15" s="261"/>
      <c r="F15" s="261"/>
      <c r="G15" s="262" t="s">
        <v>2425</v>
      </c>
    </row>
    <row r="16" spans="1:8" s="257" customFormat="1" ht="13.5" hidden="1" customHeight="1">
      <c r="A16" s="270" t="s">
        <v>12</v>
      </c>
      <c r="B16" s="258" t="s">
        <v>2334</v>
      </c>
      <c r="C16" s="263"/>
      <c r="D16" s="1030"/>
      <c r="E16" s="261"/>
      <c r="F16" s="261"/>
      <c r="G16" s="262"/>
    </row>
    <row r="17" spans="1:7" s="257" customFormat="1" ht="13.5" hidden="1" customHeight="1">
      <c r="A17" s="270" t="s">
        <v>13</v>
      </c>
      <c r="B17" s="258" t="s">
        <v>2426</v>
      </c>
      <c r="C17" s="272"/>
      <c r="D17" s="1031"/>
      <c r="E17" s="272"/>
      <c r="F17" s="272"/>
      <c r="G17" s="262" t="s">
        <v>2425</v>
      </c>
    </row>
    <row r="18" spans="1:7" s="257" customFormat="1" ht="13.5" hidden="1" customHeight="1">
      <c r="A18" s="270" t="s">
        <v>14</v>
      </c>
      <c r="B18" s="258" t="s">
        <v>2427</v>
      </c>
      <c r="C18" s="263">
        <v>0</v>
      </c>
      <c r="D18" s="1030"/>
      <c r="E18" s="261"/>
      <c r="F18" s="264">
        <v>3.0499999999999999E-2</v>
      </c>
      <c r="G18" s="262" t="s">
        <v>2428</v>
      </c>
    </row>
    <row r="19" spans="1:7" s="266" customFormat="1" ht="13.5" customHeight="1">
      <c r="A19" s="298" t="s">
        <v>2429</v>
      </c>
      <c r="B19" s="253" t="s">
        <v>2430</v>
      </c>
      <c r="C19" s="254">
        <f ca="1">IF(G19="已包含在土地取得成本中","0",ROUND(D19*E19,0))</f>
        <v>22329390</v>
      </c>
      <c r="D19" s="1032">
        <f ca="1">D9+D10</f>
        <v>111646.95</v>
      </c>
      <c r="E19" s="254">
        <f>'数据-取费表'!B31</f>
        <v>200</v>
      </c>
      <c r="F19" s="274"/>
      <c r="G19" s="2543"/>
    </row>
    <row r="20" spans="1:7" s="257" customFormat="1" ht="13.5" customHeight="1">
      <c r="A20" s="298" t="s">
        <v>2431</v>
      </c>
      <c r="B20" s="253" t="s">
        <v>2432</v>
      </c>
      <c r="C20" s="275">
        <f ca="1">ROUND((C5+C19)*F20,0)</f>
        <v>960164</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6">
        <f ca="1">ROUND(SUM(C23:C25),0)</f>
        <v>7240485</v>
      </c>
      <c r="D22" s="278">
        <f ca="1">C26</f>
        <v>1.4E-3</v>
      </c>
      <c r="E22" s="279" t="s">
        <v>2436</v>
      </c>
      <c r="F22" s="280">
        <f ca="1">'数据-取费表'!B40</f>
        <v>4.7500000000000001E-2</v>
      </c>
      <c r="G22" s="277" t="str">
        <f>IF('数据-取费表'!B22&lt;=1,"单利计息","复利计息")</f>
        <v>复利计息</v>
      </c>
    </row>
    <row r="23" spans="1:7" s="257" customFormat="1" ht="13.5" customHeight="1">
      <c r="A23" s="947" t="s">
        <v>2329</v>
      </c>
      <c r="B23" s="258" t="s">
        <v>2440</v>
      </c>
      <c r="C23" s="1377">
        <f ca="1">ROUND(IF('数据-取费表'!B22&lt;=1,C5*F22*'数据-取费表'!B22,C5*(POWER((1+F22),'数据-取费表'!B22)-1)),0)</f>
        <v>3835794</v>
      </c>
      <c r="D23" s="281"/>
      <c r="E23" s="281"/>
      <c r="F23" s="282"/>
      <c r="G23" s="283" t="s">
        <v>2441</v>
      </c>
    </row>
    <row r="24" spans="1:7" s="257" customFormat="1" ht="13.5" customHeight="1">
      <c r="A24" s="947" t="s">
        <v>2331</v>
      </c>
      <c r="B24" s="258" t="s">
        <v>2442</v>
      </c>
      <c r="C24" s="1377">
        <f ca="1">ROUND(IF('数据-取费表'!B22&lt;=1,C19*F22*('数据-取费表'!B19/2+'数据-取费表'!B20),C19*(POWER((1+F22),('数据-取费表'!B19/2+'数据-取费表'!B20))-1)),0)</f>
        <v>3335473</v>
      </c>
      <c r="D24" s="281"/>
      <c r="E24" s="281"/>
      <c r="F24" s="282"/>
      <c r="G24" s="283" t="s">
        <v>2443</v>
      </c>
    </row>
    <row r="25" spans="1:7" s="257" customFormat="1" ht="24">
      <c r="A25" s="947" t="s">
        <v>2333</v>
      </c>
      <c r="B25" s="258" t="s">
        <v>2444</v>
      </c>
      <c r="C25" s="1377">
        <f ca="1">ROUND(IF('数据-取费表'!B22&lt;=1,C20*F22*'数据-取费表'!B22/2,C20*(POWER((1+F22),'数据-取费表'!B22/2)-1)),0)</f>
        <v>69218</v>
      </c>
      <c r="D25" s="281"/>
      <c r="E25" s="284"/>
      <c r="F25" s="282"/>
      <c r="G25" s="285" t="s">
        <v>2445</v>
      </c>
    </row>
    <row r="26" spans="1:7" s="257" customFormat="1">
      <c r="A26" s="947" t="s">
        <v>795</v>
      </c>
      <c r="B26" s="258" t="s">
        <v>2368</v>
      </c>
      <c r="C26" s="281">
        <f ca="1">ROUND(IF('数据-取费表'!B22&lt;=1,F21*F22*'数据-取费表'!B22/2,F21*(POWER((1+F22),'数据-取费表'!B22/2)-1)),4)</f>
        <v>1.4E-3</v>
      </c>
      <c r="D26" s="281"/>
      <c r="E26" s="284"/>
      <c r="F26" s="282"/>
      <c r="G26" s="286"/>
    </row>
    <row r="27" spans="1:7" s="257" customFormat="1" ht="24.75">
      <c r="A27" s="298" t="s">
        <v>2369</v>
      </c>
      <c r="B27" s="287" t="s">
        <v>2370</v>
      </c>
      <c r="C27" s="288">
        <f ca="1">C28</f>
        <v>10283354</v>
      </c>
      <c r="D27" s="278">
        <f ca="1">C29</f>
        <v>4.1999999999999997E-3</v>
      </c>
      <c r="E27" s="279" t="s">
        <v>2371</v>
      </c>
      <c r="F27" s="289">
        <f ca="1">IF(B1="",'数据-取费表'!Q16,INDIRECT("'数据-取费表'!q"&amp;$G$1))</f>
        <v>0.21</v>
      </c>
      <c r="G27" s="290" t="s">
        <v>2372</v>
      </c>
    </row>
    <row r="28" spans="1:7" s="257" customFormat="1" ht="13.5" customHeight="1">
      <c r="A28" s="947" t="s">
        <v>791</v>
      </c>
      <c r="B28" s="291" t="s">
        <v>2373</v>
      </c>
      <c r="C28" s="292">
        <f ca="1">ROUND((C5+C19+C20)*F27,0)</f>
        <v>10283354</v>
      </c>
      <c r="D28" s="278"/>
      <c r="E28" s="279"/>
      <c r="F28" s="289"/>
      <c r="G28" s="290"/>
    </row>
    <row r="29" spans="1:7" s="257" customFormat="1" ht="13.5" customHeight="1">
      <c r="A29" s="947" t="s">
        <v>792</v>
      </c>
      <c r="B29" s="291" t="s">
        <v>2374</v>
      </c>
      <c r="C29" s="281">
        <f ca="1">ROUND(C21*F27,4)</f>
        <v>4.1999999999999997E-3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72187810</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357785350</v>
      </c>
      <c r="D33" s="275"/>
      <c r="E33" s="255"/>
      <c r="F33" s="284"/>
      <c r="G33" s="277"/>
    </row>
    <row r="34" spans="1:7" s="301" customFormat="1" ht="13.5" customHeight="1">
      <c r="A34" s="947" t="s">
        <v>791</v>
      </c>
      <c r="B34" s="258" t="s">
        <v>2382</v>
      </c>
      <c r="C34" s="263">
        <f ca="1">ROUND(IF(B1="",SUMPRODUCT('数据-取费表'!K6:K14,'数据-取费表'!L6:L14),INDIRECT("'数据-取费表'!l"&amp;$G$1)*INDIRECT("'数据-取费表'!k"&amp;$G$1)+'数据-取费表'!L14*INDIRECT("'数据-取费表'!S"&amp;$G$1)),0)</f>
        <v>321010488</v>
      </c>
      <c r="D34" s="260"/>
      <c r="E34" s="263"/>
      <c r="F34" s="300"/>
      <c r="G34" s="262"/>
    </row>
    <row r="35" spans="1:7" ht="13.5" customHeight="1">
      <c r="A35" s="947" t="s">
        <v>796</v>
      </c>
      <c r="B35" s="258" t="s">
        <v>2384</v>
      </c>
      <c r="C35" s="263">
        <f ca="1">ROUND(C34*F35,0)</f>
        <v>9630315</v>
      </c>
      <c r="D35" s="263"/>
      <c r="E35" s="263"/>
      <c r="F35" s="302">
        <f>'数据-取费表'!B33</f>
        <v>0.03</v>
      </c>
      <c r="G35" s="262" t="s">
        <v>2385</v>
      </c>
    </row>
    <row r="36" spans="1:7" ht="24">
      <c r="A36" s="947"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47" t="s">
        <v>798</v>
      </c>
      <c r="B37" s="258" t="s">
        <v>2388</v>
      </c>
      <c r="C37" s="292">
        <f ca="1">ROUND(E37*D37,0)</f>
        <v>22329390</v>
      </c>
      <c r="D37" s="260">
        <f ca="1">D19</f>
        <v>111646.95</v>
      </c>
      <c r="E37" s="292">
        <f>'数据-取费表'!B35</f>
        <v>200</v>
      </c>
      <c r="F37" s="302"/>
      <c r="G37" s="304"/>
    </row>
    <row r="38" spans="1:7" ht="13.5" customHeight="1">
      <c r="A38" s="947" t="s">
        <v>799</v>
      </c>
      <c r="B38" s="258" t="s">
        <v>2390</v>
      </c>
      <c r="C38" s="263">
        <f ca="1">ROUND(C34*F38,0)</f>
        <v>4815157</v>
      </c>
      <c r="D38" s="263"/>
      <c r="E38" s="263"/>
      <c r="F38" s="302">
        <f>'数据-取费表'!B36</f>
        <v>1.4999999999999999E-2</v>
      </c>
      <c r="G38" s="262" t="s">
        <v>2385</v>
      </c>
    </row>
    <row r="39" spans="1:7" s="257" customFormat="1" ht="13.5" customHeight="1">
      <c r="A39" s="298" t="s">
        <v>2391</v>
      </c>
      <c r="B39" s="253" t="s">
        <v>2392</v>
      </c>
      <c r="C39" s="275">
        <f ca="1">ROUND(C33*F20,0)</f>
        <v>7155707</v>
      </c>
      <c r="D39" s="275"/>
      <c r="E39" s="275"/>
      <c r="F39" s="276"/>
      <c r="G39" s="277" t="s">
        <v>2393</v>
      </c>
    </row>
    <row r="40" spans="1:7" s="257" customFormat="1" ht="13.5" customHeight="1">
      <c r="A40" s="298" t="s">
        <v>2394</v>
      </c>
      <c r="B40" s="253" t="s">
        <v>2395</v>
      </c>
      <c r="C40" s="1724">
        <f>F21</f>
        <v>0.02</v>
      </c>
      <c r="D40" s="279" t="s">
        <v>2396</v>
      </c>
      <c r="E40" s="275"/>
      <c r="F40" s="276"/>
      <c r="G40" s="277" t="s">
        <v>2397</v>
      </c>
    </row>
    <row r="41" spans="1:7" s="257" customFormat="1" ht="13.5" customHeight="1">
      <c r="A41" s="298" t="s">
        <v>2398</v>
      </c>
      <c r="B41" s="253" t="s">
        <v>2399</v>
      </c>
      <c r="C41" s="275">
        <f ca="1">ROUND(SUM(C42:C43),0)</f>
        <v>26308422</v>
      </c>
      <c r="D41" s="278">
        <f ca="1">C44</f>
        <v>1.4E-3</v>
      </c>
      <c r="E41" s="279" t="s">
        <v>2396</v>
      </c>
      <c r="F41" s="280"/>
      <c r="G41" s="277" t="str">
        <f>IF('数据-取费表'!B22&lt;=1,"单利计息","复利计息")</f>
        <v>复利计息</v>
      </c>
    </row>
    <row r="42" spans="1:7" ht="13.5" customHeight="1">
      <c r="A42" s="947" t="s">
        <v>791</v>
      </c>
      <c r="B42" s="258" t="s">
        <v>2400</v>
      </c>
      <c r="C42" s="281">
        <f ca="1">ROUND(IF('数据-取费表'!B22&lt;=1,C33*F22*'数据-取费表'!B20/2,C33*(POWER((1+F22),'数据-取费表'!B20/2)-1)),0)</f>
        <v>25792571</v>
      </c>
      <c r="D42" s="281"/>
      <c r="E42" s="281"/>
      <c r="F42" s="282"/>
      <c r="G42" s="3197" t="s">
        <v>2448</v>
      </c>
    </row>
    <row r="43" spans="1:7" ht="13.5" customHeight="1">
      <c r="A43" s="947" t="s">
        <v>792</v>
      </c>
      <c r="B43" s="258" t="s">
        <v>2402</v>
      </c>
      <c r="C43" s="281">
        <f ca="1">ROUND(IF('数据-取费表'!B22&lt;=1,C39*F22*'数据-取费表'!B20/2,C39*(POWER((1+F22),'数据-取费表'!B20/2)-1)),0)</f>
        <v>515851</v>
      </c>
      <c r="D43" s="281"/>
      <c r="E43" s="281"/>
      <c r="F43" s="282"/>
      <c r="G43" s="3198"/>
    </row>
    <row r="44" spans="1:7" ht="13.5" customHeight="1">
      <c r="A44" s="947" t="s">
        <v>793</v>
      </c>
      <c r="B44" s="258" t="s">
        <v>2403</v>
      </c>
      <c r="C44" s="281">
        <f ca="1">ROUND(IF('数据-取费表'!B22&lt;=1,C40*F22*'数据-取费表'!B20/2,C40*(POWER((1+F22),'数据-取费表'!B20/2)-1)),4)</f>
        <v>1.4E-3</v>
      </c>
      <c r="D44" s="281"/>
      <c r="E44" s="281"/>
      <c r="F44" s="282"/>
      <c r="G44" s="3199"/>
    </row>
    <row r="45" spans="1:7" s="257" customFormat="1" ht="13.5" customHeight="1">
      <c r="A45" s="298" t="s">
        <v>2404</v>
      </c>
      <c r="B45" s="287" t="s">
        <v>2370</v>
      </c>
      <c r="C45" s="288">
        <f ca="1">C46</f>
        <v>76637622</v>
      </c>
      <c r="D45" s="278">
        <f ca="1">C47</f>
        <v>4.1999999999999997E-3</v>
      </c>
      <c r="E45" s="279" t="s">
        <v>2396</v>
      </c>
      <c r="F45" s="289"/>
      <c r="G45" s="290" t="s">
        <v>2405</v>
      </c>
    </row>
    <row r="46" spans="1:7" s="257" customFormat="1" ht="13.5" customHeight="1">
      <c r="A46" s="947" t="s">
        <v>791</v>
      </c>
      <c r="B46" s="291" t="s">
        <v>2406</v>
      </c>
      <c r="C46" s="292">
        <f ca="1">ROUND((C33+C39)*F27,0)</f>
        <v>76637622</v>
      </c>
      <c r="D46" s="306"/>
      <c r="E46" s="279"/>
      <c r="F46" s="289"/>
      <c r="G46" s="290"/>
    </row>
    <row r="47" spans="1:7" s="257" customFormat="1" ht="13.5" customHeight="1">
      <c r="A47" s="947" t="s">
        <v>792</v>
      </c>
      <c r="B47" s="291" t="s">
        <v>2407</v>
      </c>
      <c r="C47" s="281">
        <f ca="1">ROUND(C40*F27,4)</f>
        <v>4.1999999999999997E-3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507965586</v>
      </c>
      <c r="D49" s="275"/>
      <c r="E49" s="275"/>
      <c r="F49" s="307"/>
      <c r="G49" s="277" t="s">
        <v>2411</v>
      </c>
    </row>
    <row r="50" spans="1:7" s="301" customFormat="1">
      <c r="A50" s="298" t="s">
        <v>2412</v>
      </c>
      <c r="B50" s="253" t="s">
        <v>2413</v>
      </c>
      <c r="C50" s="275"/>
      <c r="D50" s="275"/>
      <c r="E50" s="275"/>
      <c r="F50" s="307">
        <f>IF('数据-取费表'!B24=0,'数据-取费表'!N16,1)</f>
        <v>1</v>
      </c>
      <c r="G50" s="290"/>
    </row>
    <row r="51" spans="1:7" ht="16.5" customHeight="1">
      <c r="A51" s="298" t="s">
        <v>2415</v>
      </c>
      <c r="B51" s="253" t="s">
        <v>2450</v>
      </c>
      <c r="C51" s="275">
        <f ca="1">ROUND(C49*F50,0)</f>
        <v>507965586</v>
      </c>
      <c r="D51" s="275"/>
      <c r="E51" s="275"/>
      <c r="F51" s="307"/>
      <c r="G51" s="277" t="s">
        <v>2417</v>
      </c>
    </row>
    <row r="52" spans="1:7" s="251" customFormat="1" ht="16.5" thickBot="1">
      <c r="A52" s="308" t="s">
        <v>2418</v>
      </c>
      <c r="B52" s="309"/>
      <c r="C52" s="310">
        <f ca="1">C31+C51</f>
        <v>580153396</v>
      </c>
      <c r="D52" s="309"/>
      <c r="E52" s="309"/>
      <c r="F52" s="309"/>
      <c r="G52" s="311"/>
    </row>
    <row r="55" spans="1:7" ht="15">
      <c r="B55" s="313" t="s">
        <v>2419</v>
      </c>
      <c r="C55" s="314"/>
    </row>
    <row r="56" spans="1:7">
      <c r="B56" s="316" t="s">
        <v>1513</v>
      </c>
      <c r="C56" s="318">
        <f ca="1">1-C57</f>
        <v>0.124</v>
      </c>
    </row>
    <row r="57" spans="1:7">
      <c r="B57" s="316" t="s">
        <v>1514</v>
      </c>
      <c r="C57" s="317">
        <f ca="1">ROUND(C51/C52,3)</f>
        <v>0.876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L16" sqref="L1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2319</v>
      </c>
      <c r="B2" s="670">
        <f>F66</f>
        <v>17482</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2321</v>
      </c>
      <c r="B3" s="608">
        <f>ROUND(IF(D3="",B2*10000/'数据-汇总表'!E3,B2*10000/D3),0)</f>
        <v>1566</v>
      </c>
      <c r="C3" s="246" t="s">
        <v>2738</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2637</v>
      </c>
      <c r="B4" s="401"/>
      <c r="C4" s="3204" t="s">
        <v>2638</v>
      </c>
      <c r="D4" s="3217"/>
      <c r="E4" s="3218" t="s">
        <v>2639</v>
      </c>
      <c r="F4" s="3219"/>
      <c r="G4" s="3204" t="s">
        <v>2640</v>
      </c>
      <c r="H4" s="3217"/>
      <c r="I4" s="3204" t="s">
        <v>2641</v>
      </c>
      <c r="J4" s="3217"/>
      <c r="K4" s="609" t="s">
        <v>2642</v>
      </c>
      <c r="L4" s="1126"/>
      <c r="M4" s="1127"/>
      <c r="N4" s="1127"/>
      <c r="O4" s="1127"/>
      <c r="P4" s="3220" t="s">
        <v>2643</v>
      </c>
      <c r="Q4" s="3221"/>
      <c r="R4" s="3226" t="s">
        <v>2639</v>
      </c>
      <c r="S4" s="3227"/>
      <c r="T4" s="3226" t="s">
        <v>2640</v>
      </c>
      <c r="U4" s="3227"/>
      <c r="V4" s="3213" t="s">
        <v>2641</v>
      </c>
      <c r="W4" s="3213"/>
      <c r="X4" s="1809"/>
      <c r="Y4" s="3226" t="s">
        <v>2643</v>
      </c>
      <c r="Z4" s="3227"/>
      <c r="AA4" s="3214" t="s">
        <v>2639</v>
      </c>
      <c r="AB4" s="3215" t="s">
        <v>2640</v>
      </c>
      <c r="AC4" s="3214" t="s">
        <v>2641</v>
      </c>
    </row>
    <row r="5" spans="1:30" ht="15">
      <c r="A5" s="403"/>
      <c r="B5" s="404"/>
      <c r="C5" s="3239" t="s">
        <v>3237</v>
      </c>
      <c r="D5" s="3235"/>
      <c r="E5" s="3243" t="s">
        <v>3229</v>
      </c>
      <c r="F5" s="3244"/>
      <c r="G5" s="3234" t="s">
        <v>3230</v>
      </c>
      <c r="H5" s="3235"/>
      <c r="I5" s="3234" t="s">
        <v>3231</v>
      </c>
      <c r="J5" s="3235"/>
      <c r="K5" s="609"/>
      <c r="L5" s="1126"/>
      <c r="M5" s="1127"/>
      <c r="N5" s="1127"/>
      <c r="O5" s="1127"/>
      <c r="P5" s="3222"/>
      <c r="Q5" s="3223"/>
      <c r="R5" s="3228"/>
      <c r="S5" s="3229"/>
      <c r="T5" s="3228"/>
      <c r="U5" s="3229"/>
      <c r="V5" s="3213"/>
      <c r="W5" s="3213"/>
      <c r="X5" s="1809"/>
      <c r="Y5" s="3228"/>
      <c r="Z5" s="3229"/>
      <c r="AA5" s="3215"/>
      <c r="AB5" s="3215"/>
      <c r="AC5" s="3215"/>
    </row>
    <row r="6" spans="1:30" ht="57" customHeight="1" thickBot="1">
      <c r="A6" s="405"/>
      <c r="B6" s="406"/>
      <c r="C6" s="3240" t="s">
        <v>2538</v>
      </c>
      <c r="D6" s="3233"/>
      <c r="E6" s="3241" t="s">
        <v>3228</v>
      </c>
      <c r="F6" s="3242"/>
      <c r="G6" s="3232" t="s">
        <v>3232</v>
      </c>
      <c r="H6" s="3233"/>
      <c r="I6" s="3232" t="s">
        <v>3233</v>
      </c>
      <c r="J6" s="3233"/>
      <c r="K6" s="609" t="s">
        <v>2539</v>
      </c>
      <c r="L6" s="1126"/>
      <c r="M6" s="1127"/>
      <c r="N6" s="1127"/>
      <c r="O6" s="1127"/>
      <c r="P6" s="3224"/>
      <c r="Q6" s="3225"/>
      <c r="R6" s="3228"/>
      <c r="S6" s="3229"/>
      <c r="T6" s="3230"/>
      <c r="U6" s="3231"/>
      <c r="V6" s="3213"/>
      <c r="W6" s="3213"/>
      <c r="X6" s="1809"/>
      <c r="Y6" s="3230"/>
      <c r="Z6" s="3231"/>
      <c r="AA6" s="3216"/>
      <c r="AB6" s="3216"/>
      <c r="AC6" s="3216"/>
    </row>
    <row r="7" spans="1:30" s="116" customFormat="1" ht="15.75" thickBot="1">
      <c r="A7" s="407" t="s">
        <v>2540</v>
      </c>
      <c r="B7" s="408"/>
      <c r="C7" s="409">
        <f>'数据-取费表'!B2</f>
        <v>43265</v>
      </c>
      <c r="D7" s="410">
        <v>100</v>
      </c>
      <c r="E7" s="411">
        <v>42977</v>
      </c>
      <c r="F7" s="412">
        <f>SUMIF(70:70,YEAR(E7)&amp;"-"&amp;INT((MONTH(E7)+2)/3),71:71)</f>
        <v>97</v>
      </c>
      <c r="G7" s="2689">
        <v>42760</v>
      </c>
      <c r="H7" s="410">
        <f>SUMIF(70:70,YEAR(G7)&amp;"-"&amp;INT((MONTH(G7)+2)/3),71:71)</f>
        <v>95</v>
      </c>
      <c r="I7" s="2689">
        <v>42473</v>
      </c>
      <c r="J7" s="410">
        <f>SUMIF(70:70,YEAR(I7)&amp;"-"&amp;INT((MONTH(I7)+2)/3),71:71)</f>
        <v>92</v>
      </c>
      <c r="K7" s="610"/>
      <c r="L7" s="1128"/>
      <c r="M7" s="1129"/>
      <c r="N7" s="1129"/>
      <c r="O7" s="1129"/>
      <c r="P7" s="3236" t="s">
        <v>2541</v>
      </c>
      <c r="Q7" s="3238"/>
      <c r="R7" s="769" t="s">
        <v>17</v>
      </c>
      <c r="S7" s="770">
        <f t="shared" ref="S7:S15" si="0">F7</f>
        <v>97</v>
      </c>
      <c r="T7" s="769" t="s">
        <v>17</v>
      </c>
      <c r="U7" s="770">
        <f t="shared" ref="U7:U15" si="1">H7</f>
        <v>95</v>
      </c>
      <c r="V7" s="769" t="s">
        <v>17</v>
      </c>
      <c r="W7" s="770">
        <f t="shared" ref="W7:W15" si="2">J7</f>
        <v>92</v>
      </c>
      <c r="X7" s="771"/>
      <c r="Y7" s="3236" t="s">
        <v>2541</v>
      </c>
      <c r="Z7" s="3237"/>
      <c r="AA7" s="772">
        <f>D7/F7</f>
        <v>1.0309278350515463</v>
      </c>
      <c r="AB7" s="772">
        <f>D7/H7</f>
        <v>1.0526315789473684</v>
      </c>
      <c r="AC7" s="772">
        <f>D7/J7</f>
        <v>1.0869565217391304</v>
      </c>
    </row>
    <row r="8" spans="1:30" s="116" customFormat="1" ht="15.75" thickBot="1">
      <c r="A8" s="407" t="s">
        <v>2542</v>
      </c>
      <c r="B8" s="408"/>
      <c r="C8" s="413" t="s">
        <v>2543</v>
      </c>
      <c r="D8" s="410">
        <v>100</v>
      </c>
      <c r="E8" s="413" t="s">
        <v>2543</v>
      </c>
      <c r="F8" s="412">
        <f>SUMIF(73:73,E8,74:74)-SUMIF(73:73,C8,74:74)+100</f>
        <v>100</v>
      </c>
      <c r="G8" s="413" t="s">
        <v>2543</v>
      </c>
      <c r="H8" s="410">
        <f>SUMIF(73:73,G8,74:74)-SUMIF(73:73,C8,74:74)+100</f>
        <v>100</v>
      </c>
      <c r="I8" s="413" t="s">
        <v>2543</v>
      </c>
      <c r="J8" s="410">
        <f>SUMIF(73:73,I8,74:74)-SUMIF(73:73,C8,74:74)+100</f>
        <v>100</v>
      </c>
      <c r="K8" s="610"/>
      <c r="L8" s="1128"/>
      <c r="M8" s="1129"/>
      <c r="N8" s="1129"/>
      <c r="O8" s="1129"/>
      <c r="P8" s="3236" t="s">
        <v>2544</v>
      </c>
      <c r="Q8" s="3237"/>
      <c r="R8" s="769" t="s">
        <v>17</v>
      </c>
      <c r="S8" s="770">
        <f t="shared" si="0"/>
        <v>100</v>
      </c>
      <c r="T8" s="769" t="s">
        <v>17</v>
      </c>
      <c r="U8" s="770">
        <f t="shared" si="1"/>
        <v>100</v>
      </c>
      <c r="V8" s="769" t="s">
        <v>17</v>
      </c>
      <c r="W8" s="770">
        <f t="shared" si="2"/>
        <v>100</v>
      </c>
      <c r="X8" s="771"/>
      <c r="Y8" s="3236" t="s">
        <v>2544</v>
      </c>
      <c r="Z8" s="3237"/>
      <c r="AA8" s="772">
        <f t="shared" ref="AA8:AA45" si="3">D8/F8</f>
        <v>1</v>
      </c>
      <c r="AB8" s="772">
        <f t="shared" ref="AB8:AB45" si="4">D8/H8</f>
        <v>1</v>
      </c>
      <c r="AC8" s="772">
        <f t="shared" ref="AC8:AC45" si="5">D8/J8</f>
        <v>1</v>
      </c>
    </row>
    <row r="9" spans="1:30" s="116" customFormat="1">
      <c r="A9" s="414" t="s">
        <v>2545</v>
      </c>
      <c r="B9" s="70" t="s">
        <v>2546</v>
      </c>
      <c r="C9" s="2692"/>
      <c r="D9" s="134">
        <v>100</v>
      </c>
      <c r="E9" s="2692"/>
      <c r="F9" s="134">
        <f>SUMIF(75:75,E9,76:76)-SUMIF(75:75,C9,76:76)+100</f>
        <v>100</v>
      </c>
      <c r="G9" s="2692"/>
      <c r="H9" s="134">
        <f>SUMIF(75:75,G9,76:76)-SUMIF(75:75,C9,76:76)+100</f>
        <v>100</v>
      </c>
      <c r="I9" s="2692"/>
      <c r="J9" s="134">
        <f>SUMIF(75:75,I9,76:76)-SUMIF(75:75,C9,76:76)+100</f>
        <v>100</v>
      </c>
      <c r="K9" s="610"/>
      <c r="L9" s="1128"/>
      <c r="M9" s="1129"/>
      <c r="N9" s="1129"/>
      <c r="O9" s="1130"/>
      <c r="P9" s="3207" t="s">
        <v>2547</v>
      </c>
      <c r="Q9" s="1791" t="str">
        <f t="shared" ref="Q9:Q15" si="6">B9</f>
        <v>用途</v>
      </c>
      <c r="R9" s="769" t="s">
        <v>17</v>
      </c>
      <c r="S9" s="770">
        <f t="shared" si="0"/>
        <v>100</v>
      </c>
      <c r="T9" s="769" t="s">
        <v>17</v>
      </c>
      <c r="U9" s="770">
        <f t="shared" si="1"/>
        <v>100</v>
      </c>
      <c r="V9" s="769" t="s">
        <v>17</v>
      </c>
      <c r="W9" s="770">
        <f t="shared" si="2"/>
        <v>100</v>
      </c>
      <c r="X9" s="771"/>
      <c r="Y9" s="3051" t="s">
        <v>2548</v>
      </c>
      <c r="Z9" s="55" t="str">
        <f t="shared" ref="Z9:Z15" si="7">Q9</f>
        <v>用途</v>
      </c>
      <c r="AA9" s="772">
        <f t="shared" si="3"/>
        <v>1</v>
      </c>
      <c r="AB9" s="772">
        <f t="shared" si="4"/>
        <v>1</v>
      </c>
      <c r="AC9" s="772">
        <f t="shared" si="5"/>
        <v>1</v>
      </c>
    </row>
    <row r="10" spans="1:30" s="426" customFormat="1" ht="27">
      <c r="A10" s="420"/>
      <c r="B10" s="421" t="s">
        <v>2549</v>
      </c>
      <c r="C10" s="431">
        <f>项目基本情况!E15</f>
        <v>35.729999999999997</v>
      </c>
      <c r="D10" s="135">
        <v>100</v>
      </c>
      <c r="E10" s="464" t="s">
        <v>3234</v>
      </c>
      <c r="F10" s="135">
        <f>ROUND(100/'数据-取费表'!G16,0)</f>
        <v>104</v>
      </c>
      <c r="G10" s="464" t="s">
        <v>3234</v>
      </c>
      <c r="H10" s="135">
        <f>ROUND(100/'数据-取费表'!G16,0)</f>
        <v>104</v>
      </c>
      <c r="I10" s="464" t="s">
        <v>3234</v>
      </c>
      <c r="J10" s="135">
        <f>ROUND(100/'数据-取费表'!G16,0)</f>
        <v>104</v>
      </c>
      <c r="K10" s="671"/>
      <c r="L10" s="1131"/>
      <c r="M10" s="1132"/>
      <c r="N10" s="1132"/>
      <c r="O10" s="1133"/>
      <c r="P10" s="3207"/>
      <c r="Q10" s="1791" t="str">
        <f t="shared" si="6"/>
        <v>土地使用年限（年）</v>
      </c>
      <c r="R10" s="769" t="s">
        <v>17</v>
      </c>
      <c r="S10" s="770">
        <f t="shared" si="0"/>
        <v>104</v>
      </c>
      <c r="T10" s="769" t="s">
        <v>17</v>
      </c>
      <c r="U10" s="770">
        <f t="shared" si="1"/>
        <v>104</v>
      </c>
      <c r="V10" s="769" t="s">
        <v>17</v>
      </c>
      <c r="W10" s="770">
        <f t="shared" si="2"/>
        <v>104</v>
      </c>
      <c r="X10" s="771"/>
      <c r="Y10" s="3051"/>
      <c r="Z10" s="55" t="str">
        <f t="shared" si="7"/>
        <v>土地使用年限（年）</v>
      </c>
      <c r="AA10" s="772">
        <f t="shared" si="3"/>
        <v>0.96153846153846156</v>
      </c>
      <c r="AB10" s="772">
        <f t="shared" si="4"/>
        <v>0.96153846153846156</v>
      </c>
      <c r="AC10" s="772">
        <f t="shared" si="5"/>
        <v>0.96153846153846156</v>
      </c>
    </row>
    <row r="11" spans="1:30" ht="15.75" thickBot="1">
      <c r="A11" s="427"/>
      <c r="B11" s="421" t="s">
        <v>2550</v>
      </c>
      <c r="C11" s="428">
        <v>2.5</v>
      </c>
      <c r="D11" s="135">
        <v>100</v>
      </c>
      <c r="E11" s="428">
        <v>2</v>
      </c>
      <c r="F11" s="135">
        <f>LOOKUP(E11,80:80,81:81)-LOOKUP(C11,80:80,81:81)+100</f>
        <v>100</v>
      </c>
      <c r="G11" s="429">
        <v>2.5</v>
      </c>
      <c r="H11" s="135">
        <f>LOOKUP(G11,80:80,81:81)-LOOKUP(C11,80:80,81:81)+100</f>
        <v>100</v>
      </c>
      <c r="I11" s="428">
        <v>1.21</v>
      </c>
      <c r="J11" s="135">
        <f>LOOKUP(I11,80:80,81:81)-LOOKUP(C11,80:80,81:81)+100</f>
        <v>98</v>
      </c>
      <c r="K11" s="672">
        <v>2</v>
      </c>
      <c r="L11" s="1134"/>
      <c r="M11" s="1127"/>
      <c r="N11" s="1127"/>
      <c r="O11" s="1135"/>
      <c r="P11" s="3207"/>
      <c r="Q11" s="1791" t="str">
        <f t="shared" si="6"/>
        <v>容积率</v>
      </c>
      <c r="R11" s="769" t="s">
        <v>17</v>
      </c>
      <c r="S11" s="770">
        <f t="shared" si="0"/>
        <v>100</v>
      </c>
      <c r="T11" s="769" t="s">
        <v>17</v>
      </c>
      <c r="U11" s="770">
        <f t="shared" si="1"/>
        <v>100</v>
      </c>
      <c r="V11" s="769" t="s">
        <v>17</v>
      </c>
      <c r="W11" s="770">
        <f t="shared" si="2"/>
        <v>98</v>
      </c>
      <c r="X11" s="771"/>
      <c r="Y11" s="3051"/>
      <c r="Z11" s="55" t="str">
        <f t="shared" si="7"/>
        <v>容积率</v>
      </c>
      <c r="AA11" s="772">
        <f t="shared" si="3"/>
        <v>1</v>
      </c>
      <c r="AB11" s="772">
        <f t="shared" si="4"/>
        <v>1</v>
      </c>
      <c r="AC11" s="772">
        <f t="shared" si="5"/>
        <v>1.0204081632653061</v>
      </c>
    </row>
    <row r="12" spans="1:30" s="116" customFormat="1" ht="15" hidden="1">
      <c r="A12" s="430"/>
      <c r="B12" s="2593" t="s">
        <v>2739</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07"/>
      <c r="Q12" s="1791" t="str">
        <f t="shared" si="6"/>
        <v>配建</v>
      </c>
      <c r="R12" s="769" t="s">
        <v>17</v>
      </c>
      <c r="S12" s="770">
        <f t="shared" si="0"/>
        <v>100</v>
      </c>
      <c r="T12" s="769" t="s">
        <v>17</v>
      </c>
      <c r="U12" s="770">
        <f t="shared" si="1"/>
        <v>100</v>
      </c>
      <c r="V12" s="769" t="s">
        <v>17</v>
      </c>
      <c r="W12" s="770">
        <f t="shared" si="2"/>
        <v>100</v>
      </c>
      <c r="X12" s="771"/>
      <c r="Y12" s="3051"/>
      <c r="Z12" s="55" t="str">
        <f t="shared" si="7"/>
        <v>配建</v>
      </c>
      <c r="AA12" s="772">
        <f>D12/F12</f>
        <v>1</v>
      </c>
      <c r="AB12" s="772">
        <f>D12/H12</f>
        <v>1</v>
      </c>
      <c r="AC12" s="772">
        <f>D12/J12</f>
        <v>1</v>
      </c>
    </row>
    <row r="13" spans="1:30" ht="15" hidden="1">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07"/>
      <c r="Q13" s="1791">
        <f t="shared" si="6"/>
        <v>111</v>
      </c>
      <c r="R13" s="769" t="s">
        <v>17</v>
      </c>
      <c r="S13" s="770">
        <f t="shared" si="0"/>
        <v>100</v>
      </c>
      <c r="T13" s="769" t="s">
        <v>17</v>
      </c>
      <c r="U13" s="770">
        <f t="shared" si="1"/>
        <v>100</v>
      </c>
      <c r="V13" s="769" t="s">
        <v>17</v>
      </c>
      <c r="W13" s="770">
        <f t="shared" si="2"/>
        <v>100</v>
      </c>
      <c r="X13" s="771"/>
      <c r="Y13" s="3051"/>
      <c r="Z13" s="55">
        <f t="shared" si="7"/>
        <v>111</v>
      </c>
      <c r="AA13" s="772">
        <f>D13/F13</f>
        <v>1</v>
      </c>
      <c r="AB13" s="772">
        <f>D13/H13</f>
        <v>1</v>
      </c>
      <c r="AC13" s="772">
        <f>D13/J13</f>
        <v>1</v>
      </c>
    </row>
    <row r="14" spans="1:30" ht="15.75" hidden="1"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07"/>
      <c r="Q14" s="1791">
        <f t="shared" si="6"/>
        <v>111</v>
      </c>
      <c r="R14" s="769" t="s">
        <v>17</v>
      </c>
      <c r="S14" s="770">
        <f t="shared" si="0"/>
        <v>100</v>
      </c>
      <c r="T14" s="769" t="s">
        <v>17</v>
      </c>
      <c r="U14" s="770">
        <f t="shared" si="1"/>
        <v>100</v>
      </c>
      <c r="V14" s="769" t="s">
        <v>17</v>
      </c>
      <c r="W14" s="770">
        <f t="shared" si="2"/>
        <v>100</v>
      </c>
      <c r="X14" s="771"/>
      <c r="Y14" s="3051"/>
      <c r="Z14" s="55">
        <f t="shared" si="7"/>
        <v>111</v>
      </c>
      <c r="AA14" s="772">
        <f>D14/F14</f>
        <v>1</v>
      </c>
      <c r="AB14" s="772">
        <f>D14/H14</f>
        <v>1</v>
      </c>
      <c r="AC14" s="772">
        <f>D14/J14</f>
        <v>1</v>
      </c>
    </row>
    <row r="15" spans="1:30" ht="17.25" customHeight="1">
      <c r="A15" s="439" t="s">
        <v>2551</v>
      </c>
      <c r="B15" s="68" t="s">
        <v>2080</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209" t="s">
        <v>2552</v>
      </c>
      <c r="Q15" s="1806" t="str">
        <f t="shared" si="6"/>
        <v>居住社区成熟度</v>
      </c>
      <c r="R15" s="773" t="s">
        <v>17</v>
      </c>
      <c r="S15" s="774">
        <f t="shared" si="0"/>
        <v>100</v>
      </c>
      <c r="T15" s="773" t="s">
        <v>17</v>
      </c>
      <c r="U15" s="774">
        <f t="shared" si="1"/>
        <v>100</v>
      </c>
      <c r="V15" s="773" t="s">
        <v>17</v>
      </c>
      <c r="W15" s="774">
        <f t="shared" si="2"/>
        <v>100</v>
      </c>
      <c r="X15" s="1809"/>
      <c r="Y15" s="3209" t="s">
        <v>2552</v>
      </c>
      <c r="Z15" s="1810" t="str">
        <f t="shared" si="7"/>
        <v>居住社区成熟度</v>
      </c>
      <c r="AA15" s="1807">
        <f t="shared" si="3"/>
        <v>1</v>
      </c>
      <c r="AB15" s="1807">
        <f t="shared" si="4"/>
        <v>1</v>
      </c>
      <c r="AC15" s="1807">
        <f t="shared" si="5"/>
        <v>1</v>
      </c>
    </row>
    <row r="16" spans="1:30" ht="15">
      <c r="A16" s="427"/>
      <c r="B16" s="445"/>
      <c r="C16" s="446"/>
      <c r="D16" s="447"/>
      <c r="E16" s="2598"/>
      <c r="F16" s="447"/>
      <c r="G16" s="2598"/>
      <c r="H16" s="449"/>
      <c r="I16" s="2597"/>
      <c r="J16" s="447"/>
      <c r="K16" s="671"/>
      <c r="L16" s="1136"/>
      <c r="M16" s="1127"/>
      <c r="N16" s="1127"/>
      <c r="O16" s="1135"/>
      <c r="P16" s="3210"/>
      <c r="Q16" s="1806"/>
      <c r="R16" s="773"/>
      <c r="S16" s="774"/>
      <c r="T16" s="773"/>
      <c r="U16" s="774"/>
      <c r="V16" s="773"/>
      <c r="W16" s="774"/>
      <c r="X16" s="1809"/>
      <c r="Y16" s="3210"/>
      <c r="Z16" s="1810"/>
      <c r="AA16" s="1807">
        <v>1</v>
      </c>
      <c r="AB16" s="1807">
        <v>1</v>
      </c>
      <c r="AC16" s="1807">
        <v>1</v>
      </c>
    </row>
    <row r="17" spans="1:29" ht="85.5">
      <c r="A17" s="427"/>
      <c r="B17" s="450" t="s">
        <v>2645</v>
      </c>
      <c r="C17" s="2657" t="str">
        <f>估价对象房地状况!C16</f>
        <v>估价对象位于曲江新区，周边商业氛围较不成熟，人流量一般，商业繁华度一般。</v>
      </c>
      <c r="D17" s="449">
        <v>100</v>
      </c>
      <c r="E17" s="2960" t="s">
        <v>3257</v>
      </c>
      <c r="F17" s="449">
        <f>SUMIF(90:90,E18,91:91)-SUMIF(90:90,C18,91:91)+100</f>
        <v>100</v>
      </c>
      <c r="G17" s="2960" t="s">
        <v>3257</v>
      </c>
      <c r="H17" s="454">
        <f>SUMIF(90:90,G18,91:91)-SUMIF(90:90,C18,91:91)+100</f>
        <v>100</v>
      </c>
      <c r="I17" s="2956" t="s">
        <v>3257</v>
      </c>
      <c r="J17" s="454">
        <f>SUMIF(90:90,I18,91:91)-SUMIF(90:90,C18,91:91)+100</f>
        <v>100</v>
      </c>
      <c r="K17" s="672"/>
      <c r="L17" s="1136"/>
      <c r="M17" s="1127"/>
      <c r="N17" s="1127"/>
      <c r="O17" s="1135"/>
      <c r="P17" s="3210"/>
      <c r="Q17" s="1806" t="str">
        <f>B17</f>
        <v>商业繁华度</v>
      </c>
      <c r="R17" s="773" t="s">
        <v>17</v>
      </c>
      <c r="S17" s="774">
        <f>F17</f>
        <v>100</v>
      </c>
      <c r="T17" s="773" t="s">
        <v>17</v>
      </c>
      <c r="U17" s="774">
        <f>H17</f>
        <v>100</v>
      </c>
      <c r="V17" s="773" t="s">
        <v>17</v>
      </c>
      <c r="W17" s="774">
        <f>J17</f>
        <v>100</v>
      </c>
      <c r="X17" s="1809"/>
      <c r="Y17" s="3210"/>
      <c r="Z17" s="1810" t="str">
        <f>Q17</f>
        <v>商业繁华度</v>
      </c>
      <c r="AA17" s="1807">
        <f t="shared" si="3"/>
        <v>1</v>
      </c>
      <c r="AB17" s="1807">
        <f t="shared" si="4"/>
        <v>1</v>
      </c>
      <c r="AC17" s="1807">
        <f t="shared" si="5"/>
        <v>1</v>
      </c>
    </row>
    <row r="18" spans="1:29" ht="15">
      <c r="A18" s="427"/>
      <c r="B18" s="455"/>
      <c r="C18" s="2601" t="s">
        <v>3247</v>
      </c>
      <c r="D18" s="449"/>
      <c r="E18" s="2601" t="s">
        <v>3247</v>
      </c>
      <c r="F18" s="449"/>
      <c r="G18" s="2601" t="s">
        <v>3247</v>
      </c>
      <c r="H18" s="447"/>
      <c r="I18" s="2601" t="s">
        <v>3247</v>
      </c>
      <c r="J18" s="447"/>
      <c r="K18" s="671"/>
      <c r="L18" s="1136"/>
      <c r="M18" s="1127"/>
      <c r="N18" s="1127"/>
      <c r="O18" s="1135"/>
      <c r="P18" s="3210"/>
      <c r="Q18" s="1806"/>
      <c r="R18" s="773"/>
      <c r="S18" s="774"/>
      <c r="T18" s="773"/>
      <c r="U18" s="774"/>
      <c r="V18" s="773"/>
      <c r="W18" s="774"/>
      <c r="X18" s="1809"/>
      <c r="Y18" s="3210"/>
      <c r="Z18" s="1810"/>
      <c r="AA18" s="1807">
        <v>1</v>
      </c>
      <c r="AB18" s="1807">
        <v>1</v>
      </c>
      <c r="AC18" s="1807">
        <v>1</v>
      </c>
    </row>
    <row r="19" spans="1:29" ht="85.5">
      <c r="A19" s="427"/>
      <c r="B19" s="450" t="s">
        <v>2679</v>
      </c>
      <c r="C19" s="2657" t="str">
        <f>估价对象房地状况!C17</f>
        <v>估价对象位于曲江新区，周边办公楼项目数量一般，入驻率一般，办公集聚程度一般。</v>
      </c>
      <c r="D19" s="454">
        <v>100</v>
      </c>
      <c r="E19" s="2961" t="s">
        <v>3348</v>
      </c>
      <c r="F19" s="454">
        <f>SUMIF(92:92,E20,93:93)-SUMIF(92:92,C20,93:93)+100</f>
        <v>102</v>
      </c>
      <c r="G19" s="2961" t="s">
        <v>3258</v>
      </c>
      <c r="H19" s="449">
        <f>SUMIF(92:92,G20,93:93)-SUMIF(92:92,C20,93:93)+100</f>
        <v>100</v>
      </c>
      <c r="I19" s="2961" t="s">
        <v>3348</v>
      </c>
      <c r="J19" s="449">
        <f>SUMIF(92:92,I20,93:93)-SUMIF(92:92,C20,93:93)+100</f>
        <v>102</v>
      </c>
      <c r="K19" s="672">
        <v>2</v>
      </c>
      <c r="L19" s="1136"/>
      <c r="M19" s="1127"/>
      <c r="N19" s="1127"/>
      <c r="O19" s="1135"/>
      <c r="P19" s="3210"/>
      <c r="Q19" s="1806" t="str">
        <f>B19</f>
        <v>办公集聚程度</v>
      </c>
      <c r="R19" s="773" t="s">
        <v>17</v>
      </c>
      <c r="S19" s="774">
        <f>F19</f>
        <v>102</v>
      </c>
      <c r="T19" s="773" t="s">
        <v>17</v>
      </c>
      <c r="U19" s="774">
        <f>H19</f>
        <v>100</v>
      </c>
      <c r="V19" s="773" t="s">
        <v>17</v>
      </c>
      <c r="W19" s="774">
        <f>J19</f>
        <v>102</v>
      </c>
      <c r="X19" s="1809"/>
      <c r="Y19" s="3210"/>
      <c r="Z19" s="1810" t="str">
        <f>Q19</f>
        <v>办公集聚程度</v>
      </c>
      <c r="AA19" s="1807">
        <f t="shared" si="3"/>
        <v>0.98039215686274506</v>
      </c>
      <c r="AB19" s="1807">
        <f t="shared" si="4"/>
        <v>1</v>
      </c>
      <c r="AC19" s="1807">
        <f t="shared" si="5"/>
        <v>0.98039215686274506</v>
      </c>
    </row>
    <row r="20" spans="1:29" ht="15">
      <c r="A20" s="427"/>
      <c r="B20" s="455"/>
      <c r="C20" s="446" t="s">
        <v>3247</v>
      </c>
      <c r="D20" s="447"/>
      <c r="E20" s="446" t="s">
        <v>3259</v>
      </c>
      <c r="F20" s="447"/>
      <c r="G20" s="446" t="s">
        <v>3247</v>
      </c>
      <c r="H20" s="447"/>
      <c r="I20" s="446" t="s">
        <v>3259</v>
      </c>
      <c r="J20" s="447"/>
      <c r="K20" s="671"/>
      <c r="L20" s="1136"/>
      <c r="M20" s="1127"/>
      <c r="N20" s="1127"/>
      <c r="O20" s="1135"/>
      <c r="P20" s="3210"/>
      <c r="Q20" s="1806"/>
      <c r="R20" s="773"/>
      <c r="S20" s="774"/>
      <c r="T20" s="773"/>
      <c r="U20" s="774"/>
      <c r="V20" s="773"/>
      <c r="W20" s="774"/>
      <c r="X20" s="1809"/>
      <c r="Y20" s="3210"/>
      <c r="Z20" s="1810"/>
      <c r="AA20" s="1807">
        <v>1</v>
      </c>
      <c r="AB20" s="1807">
        <v>1</v>
      </c>
      <c r="AC20" s="1807">
        <v>1</v>
      </c>
    </row>
    <row r="21" spans="1:29" ht="99.75">
      <c r="A21" s="427"/>
      <c r="B21" s="450" t="s">
        <v>2701</v>
      </c>
      <c r="C21" s="2600" t="str">
        <f>估价对象房地状况!C18</f>
        <v>估价对象周边道路通达状况一般、公共交通通达情况一般、停车便捷程度一般，综合评价交通便捷度一般。</v>
      </c>
      <c r="D21" s="449">
        <v>100</v>
      </c>
      <c r="E21" s="2960" t="s">
        <v>3346</v>
      </c>
      <c r="F21" s="454">
        <f>SUMIF(94:94,E22,95:95)-SUMIF(94:94,C22,95:95)+100</f>
        <v>102</v>
      </c>
      <c r="G21" s="2960" t="s">
        <v>3260</v>
      </c>
      <c r="H21" s="449">
        <f>SUMIF(94:94,G22,95:95)-SUMIF(94:94,C22,95:95)+100</f>
        <v>102</v>
      </c>
      <c r="I21" s="2956" t="s">
        <v>3260</v>
      </c>
      <c r="J21" s="449">
        <f>SUMIF(94:94,I22,95:95)-SUMIF(94:94,C22,95:95)+100</f>
        <v>102</v>
      </c>
      <c r="K21" s="672">
        <v>2</v>
      </c>
      <c r="L21" s="1136"/>
      <c r="M21" s="1127"/>
      <c r="N21" s="1127"/>
      <c r="O21" s="1135"/>
      <c r="P21" s="3210"/>
      <c r="Q21" s="1806" t="str">
        <f>B21</f>
        <v>交通便捷度</v>
      </c>
      <c r="R21" s="773" t="s">
        <v>17</v>
      </c>
      <c r="S21" s="774">
        <f>F21</f>
        <v>102</v>
      </c>
      <c r="T21" s="773" t="s">
        <v>17</v>
      </c>
      <c r="U21" s="774">
        <f>H21</f>
        <v>102</v>
      </c>
      <c r="V21" s="773" t="s">
        <v>17</v>
      </c>
      <c r="W21" s="774">
        <f>J21</f>
        <v>102</v>
      </c>
      <c r="X21" s="1809"/>
      <c r="Y21" s="3210"/>
      <c r="Z21" s="1810" t="str">
        <f>Q21</f>
        <v>交通便捷度</v>
      </c>
      <c r="AA21" s="1807">
        <f t="shared" si="3"/>
        <v>0.98039215686274506</v>
      </c>
      <c r="AB21" s="1807">
        <f t="shared" si="4"/>
        <v>0.98039215686274506</v>
      </c>
      <c r="AC21" s="1807">
        <f t="shared" si="5"/>
        <v>0.98039215686274506</v>
      </c>
    </row>
    <row r="22" spans="1:29" ht="15">
      <c r="A22" s="427"/>
      <c r="B22" s="1380"/>
      <c r="C22" s="446" t="s">
        <v>3247</v>
      </c>
      <c r="D22" s="449"/>
      <c r="E22" s="446" t="s">
        <v>3259</v>
      </c>
      <c r="F22" s="447"/>
      <c r="G22" s="446" t="s">
        <v>3259</v>
      </c>
      <c r="H22" s="447"/>
      <c r="I22" s="446" t="s">
        <v>3259</v>
      </c>
      <c r="J22" s="447"/>
      <c r="K22" s="671"/>
      <c r="L22" s="1136"/>
      <c r="M22" s="1127"/>
      <c r="N22" s="1127"/>
      <c r="O22" s="1135"/>
      <c r="P22" s="3210"/>
      <c r="Q22" s="1806"/>
      <c r="R22" s="773"/>
      <c r="S22" s="774"/>
      <c r="T22" s="773"/>
      <c r="U22" s="774"/>
      <c r="V22" s="773"/>
      <c r="W22" s="774"/>
      <c r="X22" s="1809"/>
      <c r="Y22" s="3210"/>
      <c r="Z22" s="1810"/>
      <c r="AA22" s="1807">
        <v>1</v>
      </c>
      <c r="AB22" s="1807">
        <v>1</v>
      </c>
      <c r="AC22" s="1807">
        <v>1</v>
      </c>
    </row>
    <row r="23" spans="1:29" ht="15">
      <c r="A23" s="403"/>
      <c r="B23" s="450" t="s">
        <v>2740</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210"/>
      <c r="Q23" s="1806" t="str">
        <f t="shared" ref="Q23:Q37" si="8">B23</f>
        <v>区域土地利用方向</v>
      </c>
      <c r="R23" s="773" t="s">
        <v>17</v>
      </c>
      <c r="S23" s="774">
        <f>F23</f>
        <v>100</v>
      </c>
      <c r="T23" s="773" t="s">
        <v>17</v>
      </c>
      <c r="U23" s="774">
        <f>H23</f>
        <v>100</v>
      </c>
      <c r="V23" s="773" t="s">
        <v>17</v>
      </c>
      <c r="W23" s="774">
        <f>J23</f>
        <v>100</v>
      </c>
      <c r="X23" s="1809"/>
      <c r="Y23" s="3210"/>
      <c r="Z23" s="1810" t="str">
        <f>Q23</f>
        <v>区域土地利用方向</v>
      </c>
      <c r="AA23" s="1807">
        <f t="shared" si="3"/>
        <v>1</v>
      </c>
      <c r="AB23" s="1807">
        <f t="shared" si="4"/>
        <v>1</v>
      </c>
      <c r="AC23" s="1807">
        <f t="shared" si="5"/>
        <v>1</v>
      </c>
    </row>
    <row r="24" spans="1:29" ht="15">
      <c r="A24" s="403"/>
      <c r="B24" s="455"/>
      <c r="C24" s="615" t="s">
        <v>3247</v>
      </c>
      <c r="D24" s="447"/>
      <c r="E24" s="615" t="s">
        <v>3247</v>
      </c>
      <c r="F24" s="447"/>
      <c r="G24" s="615" t="s">
        <v>3247</v>
      </c>
      <c r="H24" s="447"/>
      <c r="I24" s="615" t="s">
        <v>3247</v>
      </c>
      <c r="J24" s="447"/>
      <c r="K24" s="805"/>
      <c r="L24" s="1136"/>
      <c r="M24" s="1127"/>
      <c r="N24" s="1127"/>
      <c r="O24" s="1135"/>
      <c r="P24" s="3210"/>
      <c r="Q24" s="1806"/>
      <c r="R24" s="773"/>
      <c r="S24" s="774"/>
      <c r="T24" s="773"/>
      <c r="U24" s="774"/>
      <c r="V24" s="773"/>
      <c r="W24" s="774"/>
      <c r="X24" s="1809"/>
      <c r="Y24" s="3210"/>
      <c r="Z24" s="1810"/>
      <c r="AA24" s="1807"/>
      <c r="AB24" s="1807"/>
      <c r="AC24" s="1807"/>
    </row>
    <row r="25" spans="1:29" ht="85.5">
      <c r="A25" s="403"/>
      <c r="B25" s="1380" t="s">
        <v>2741</v>
      </c>
      <c r="C25" s="2657" t="str">
        <f>估价对象房地状况!C20</f>
        <v>区域自然环境：杜陵遗址生态公园；人文环境：厦门华侨博物馆；综合评价环境状况较好。</v>
      </c>
      <c r="D25" s="449">
        <v>100</v>
      </c>
      <c r="E25" s="2960" t="s">
        <v>3261</v>
      </c>
      <c r="F25" s="449">
        <f>SUMIF(98:98,E26,99:99)-SUMIF(98:98,C26,99:99)+100</f>
        <v>100</v>
      </c>
      <c r="G25" s="2960" t="s">
        <v>3262</v>
      </c>
      <c r="H25" s="449">
        <f>SUMIF(98:98,G26,99:99)-SUMIF(98:98,C26,99:99)+100</f>
        <v>100</v>
      </c>
      <c r="I25" s="2960" t="s">
        <v>3261</v>
      </c>
      <c r="J25" s="449">
        <f>SUMIF(98:98,I26,99:99)-SUMIF(98:98,C26,99:99)+100</f>
        <v>100</v>
      </c>
      <c r="K25" s="672"/>
      <c r="L25" s="1136"/>
      <c r="M25" s="1127"/>
      <c r="N25" s="1127"/>
      <c r="O25" s="1135"/>
      <c r="P25" s="3210"/>
      <c r="Q25" s="1806" t="str">
        <f t="shared" si="8"/>
        <v>自然及人文环境状况</v>
      </c>
      <c r="R25" s="773" t="s">
        <v>17</v>
      </c>
      <c r="S25" s="774">
        <f>F25</f>
        <v>100</v>
      </c>
      <c r="T25" s="773" t="s">
        <v>17</v>
      </c>
      <c r="U25" s="774">
        <f>H25</f>
        <v>100</v>
      </c>
      <c r="V25" s="773" t="s">
        <v>17</v>
      </c>
      <c r="W25" s="774">
        <f>J25</f>
        <v>100</v>
      </c>
      <c r="X25" s="1809"/>
      <c r="Y25" s="3210"/>
      <c r="Z25" s="1810" t="str">
        <f>Q25</f>
        <v>自然及人文环境状况</v>
      </c>
      <c r="AA25" s="1807">
        <f t="shared" si="3"/>
        <v>1</v>
      </c>
      <c r="AB25" s="1807">
        <f t="shared" si="4"/>
        <v>1</v>
      </c>
      <c r="AC25" s="1807">
        <f t="shared" si="5"/>
        <v>1</v>
      </c>
    </row>
    <row r="26" spans="1:29" ht="15">
      <c r="A26" s="403"/>
      <c r="B26" s="455"/>
      <c r="C26" s="446" t="s">
        <v>3259</v>
      </c>
      <c r="D26" s="447"/>
      <c r="E26" s="2604" t="s">
        <v>3259</v>
      </c>
      <c r="F26" s="447"/>
      <c r="G26" s="2604" t="s">
        <v>3259</v>
      </c>
      <c r="H26" s="447"/>
      <c r="I26" s="2604" t="s">
        <v>3259</v>
      </c>
      <c r="J26" s="447"/>
      <c r="K26" s="671"/>
      <c r="L26" s="1136"/>
      <c r="M26" s="1127"/>
      <c r="N26" s="1127"/>
      <c r="O26" s="1135"/>
      <c r="P26" s="3210"/>
      <c r="Q26" s="1806"/>
      <c r="R26" s="773"/>
      <c r="S26" s="774"/>
      <c r="T26" s="773"/>
      <c r="U26" s="774"/>
      <c r="V26" s="773"/>
      <c r="W26" s="774"/>
      <c r="X26" s="1809"/>
      <c r="Y26" s="3210"/>
      <c r="Z26" s="1810"/>
      <c r="AA26" s="1807">
        <v>1</v>
      </c>
      <c r="AB26" s="1807">
        <v>1</v>
      </c>
      <c r="AC26" s="1807">
        <v>1</v>
      </c>
    </row>
    <row r="27" spans="1:29" s="116" customFormat="1" ht="199.5">
      <c r="A27" s="648"/>
      <c r="B27" s="1380" t="s">
        <v>2646</v>
      </c>
      <c r="C27" s="2600" t="str">
        <f>估价对象房地状况!C21</f>
        <v>估价对象所在区域2公里范围内有：银行（恒丰银行、中国建设银行），商场（佳乐购物中心、西安安瑞桥超市），医院（西北妇女儿童医院），学校（三兆小学、曲江第二幼儿园）等，公共配套设施齐备情况较好。</v>
      </c>
      <c r="D27" s="449">
        <v>100</v>
      </c>
      <c r="E27" s="451" t="s">
        <v>3264</v>
      </c>
      <c r="F27" s="449">
        <f>SUMIF(100:100,E28,101:101)-SUMIF(100:100,C28,101:101)+100</f>
        <v>100</v>
      </c>
      <c r="G27" s="2960" t="s">
        <v>3263</v>
      </c>
      <c r="H27" s="449">
        <f>SUMIF(100:100,G28,101:101)-SUMIF(100:100,C28,101:101)+100</f>
        <v>100</v>
      </c>
      <c r="I27" s="451" t="s">
        <v>3264</v>
      </c>
      <c r="J27" s="449">
        <f>SUMIF(100:100,I28,101:101)-SUMIF(100:100,C28,101:101)+100</f>
        <v>100</v>
      </c>
      <c r="K27" s="672"/>
      <c r="L27" s="1128"/>
      <c r="M27" s="1129"/>
      <c r="N27" s="1129"/>
      <c r="O27" s="1130"/>
      <c r="P27" s="3210"/>
      <c r="Q27" s="1791" t="str">
        <f t="shared" si="8"/>
        <v>公共配套设施</v>
      </c>
      <c r="R27" s="769" t="s">
        <v>17</v>
      </c>
      <c r="S27" s="770">
        <f>F27</f>
        <v>100</v>
      </c>
      <c r="T27" s="769" t="s">
        <v>17</v>
      </c>
      <c r="U27" s="770">
        <f>H27</f>
        <v>100</v>
      </c>
      <c r="V27" s="769" t="s">
        <v>17</v>
      </c>
      <c r="W27" s="770">
        <f>J27</f>
        <v>100</v>
      </c>
      <c r="X27" s="771"/>
      <c r="Y27" s="3210"/>
      <c r="Z27" s="55" t="str">
        <f>Q27</f>
        <v>公共配套设施</v>
      </c>
      <c r="AA27" s="1807">
        <f>D27/F27</f>
        <v>1</v>
      </c>
      <c r="AB27" s="1807">
        <f>D27/H27</f>
        <v>1</v>
      </c>
      <c r="AC27" s="1807">
        <f>D27/J27</f>
        <v>1</v>
      </c>
    </row>
    <row r="28" spans="1:29" s="116" customFormat="1" ht="15">
      <c r="A28" s="648"/>
      <c r="B28" s="455"/>
      <c r="C28" s="2693" t="s">
        <v>3259</v>
      </c>
      <c r="D28" s="447"/>
      <c r="E28" s="2604" t="s">
        <v>3259</v>
      </c>
      <c r="F28" s="447"/>
      <c r="G28" s="2604" t="s">
        <v>3259</v>
      </c>
      <c r="H28" s="447"/>
      <c r="I28" s="2604" t="s">
        <v>3259</v>
      </c>
      <c r="J28" s="447"/>
      <c r="K28" s="671"/>
      <c r="L28" s="1128"/>
      <c r="M28" s="1129"/>
      <c r="N28" s="1129"/>
      <c r="O28" s="1130"/>
      <c r="P28" s="3210"/>
      <c r="Q28" s="1791"/>
      <c r="R28" s="769"/>
      <c r="S28" s="770"/>
      <c r="T28" s="769"/>
      <c r="U28" s="770"/>
      <c r="V28" s="769"/>
      <c r="W28" s="770"/>
      <c r="X28" s="771"/>
      <c r="Y28" s="3210"/>
      <c r="Z28" s="55"/>
      <c r="AA28" s="1807">
        <v>1</v>
      </c>
      <c r="AB28" s="1807">
        <v>1</v>
      </c>
      <c r="AC28" s="1807">
        <v>1</v>
      </c>
    </row>
    <row r="29" spans="1:29" s="116" customFormat="1" ht="42.75">
      <c r="A29" s="648"/>
      <c r="B29" s="1380" t="s">
        <v>2647</v>
      </c>
      <c r="C29" s="2600" t="str">
        <f>估价对象房地状况!C22</f>
        <v>估价对象所在区域基础设施水平达到“七通”。</v>
      </c>
      <c r="D29" s="449">
        <v>100</v>
      </c>
      <c r="E29" s="451" t="s">
        <v>3251</v>
      </c>
      <c r="F29" s="449">
        <f>SUMIF(102:102,E30,103:103)-SUMIF(102:102,C30,103:103)+100</f>
        <v>100</v>
      </c>
      <c r="G29" s="451" t="s">
        <v>3251</v>
      </c>
      <c r="H29" s="449">
        <f>SUMIF(102:102,G30,103:103)-SUMIF(102:102,C30,103:103)+100</f>
        <v>100</v>
      </c>
      <c r="I29" s="453" t="s">
        <v>3251</v>
      </c>
      <c r="J29" s="449">
        <f>SUMIF(102:102,I30,103:103)-SUMIF(102:102,C30,103:103)+100</f>
        <v>100</v>
      </c>
      <c r="K29" s="672"/>
      <c r="L29" s="1128"/>
      <c r="M29" s="1129"/>
      <c r="N29" s="1129"/>
      <c r="O29" s="1130"/>
      <c r="P29" s="3210"/>
      <c r="Q29" s="1791" t="str">
        <f t="shared" ref="Q29" si="9">B29</f>
        <v>基础设施水平</v>
      </c>
      <c r="R29" s="769" t="s">
        <v>17</v>
      </c>
      <c r="S29" s="770">
        <f>F29</f>
        <v>100</v>
      </c>
      <c r="T29" s="769" t="s">
        <v>17</v>
      </c>
      <c r="U29" s="770">
        <f>H29</f>
        <v>100</v>
      </c>
      <c r="V29" s="769" t="s">
        <v>17</v>
      </c>
      <c r="W29" s="770">
        <f>J29</f>
        <v>100</v>
      </c>
      <c r="X29" s="771"/>
      <c r="Y29" s="3210"/>
      <c r="Z29" s="55" t="str">
        <f>Q29</f>
        <v>基础设施水平</v>
      </c>
      <c r="AA29" s="1807">
        <f>D29/F29</f>
        <v>1</v>
      </c>
      <c r="AB29" s="1807">
        <f>D29/H29</f>
        <v>1</v>
      </c>
      <c r="AC29" s="1807">
        <f>D29/J29</f>
        <v>1</v>
      </c>
    </row>
    <row r="30" spans="1:29" s="116" customFormat="1" ht="15">
      <c r="A30" s="648"/>
      <c r="B30" s="455"/>
      <c r="C30" s="2693" t="s">
        <v>3243</v>
      </c>
      <c r="D30" s="447"/>
      <c r="E30" s="2693" t="s">
        <v>3243</v>
      </c>
      <c r="F30" s="447"/>
      <c r="G30" s="2693" t="s">
        <v>3243</v>
      </c>
      <c r="H30" s="447"/>
      <c r="I30" s="2693" t="s">
        <v>3243</v>
      </c>
      <c r="J30" s="447"/>
      <c r="K30" s="671"/>
      <c r="L30" s="1128"/>
      <c r="M30" s="1129"/>
      <c r="N30" s="1129"/>
      <c r="O30" s="1130"/>
      <c r="P30" s="3210"/>
      <c r="Q30" s="1791"/>
      <c r="R30" s="769"/>
      <c r="S30" s="770"/>
      <c r="T30" s="769"/>
      <c r="U30" s="770"/>
      <c r="V30" s="769"/>
      <c r="W30" s="770"/>
      <c r="X30" s="771"/>
      <c r="Y30" s="3210"/>
      <c r="Z30" s="55"/>
      <c r="AA30" s="1807">
        <v>1</v>
      </c>
      <c r="AB30" s="1807">
        <v>1</v>
      </c>
      <c r="AC30" s="1807">
        <v>1</v>
      </c>
    </row>
    <row r="31" spans="1:29" ht="15">
      <c r="A31" s="427"/>
      <c r="B31" s="455" t="s">
        <v>2648</v>
      </c>
      <c r="C31" s="615" t="s">
        <v>3244</v>
      </c>
      <c r="D31" s="434">
        <v>100</v>
      </c>
      <c r="E31" s="633" t="s">
        <v>3248</v>
      </c>
      <c r="F31" s="434">
        <f>SUMIF(104:104,E31,105:105)-SUMIF(104:104,C31,105:105)+100</f>
        <v>98</v>
      </c>
      <c r="G31" s="633" t="s">
        <v>3248</v>
      </c>
      <c r="H31" s="434">
        <f>SUMIF(104:104,G31,105:105)-SUMIF(104:104,C31,105:105)+100</f>
        <v>98</v>
      </c>
      <c r="I31" s="633" t="s">
        <v>3248</v>
      </c>
      <c r="J31" s="434">
        <f>SUMIF(104:104,I31,105:105)-SUMIF(104:104,C31,105:105)+100</f>
        <v>98</v>
      </c>
      <c r="K31" s="672">
        <v>2</v>
      </c>
      <c r="L31" s="1136"/>
      <c r="M31" s="1127"/>
      <c r="N31" s="1127"/>
      <c r="O31" s="1135"/>
      <c r="P31" s="3210"/>
      <c r="Q31" s="1806" t="str">
        <f t="shared" si="8"/>
        <v>临街状况</v>
      </c>
      <c r="R31" s="773" t="s">
        <v>17</v>
      </c>
      <c r="S31" s="774">
        <f t="shared" ref="S31:S45" si="10">F31</f>
        <v>98</v>
      </c>
      <c r="T31" s="773" t="s">
        <v>17</v>
      </c>
      <c r="U31" s="774">
        <f t="shared" ref="U31:U45" si="11">H31</f>
        <v>98</v>
      </c>
      <c r="V31" s="773" t="s">
        <v>17</v>
      </c>
      <c r="W31" s="774">
        <f t="shared" ref="W31:W45" si="12">J31</f>
        <v>98</v>
      </c>
      <c r="X31" s="1809"/>
      <c r="Y31" s="3210"/>
      <c r="Z31" s="1810" t="str">
        <f t="shared" ref="Z31:Z45" si="13">Q31</f>
        <v>临街状况</v>
      </c>
      <c r="AA31" s="1807">
        <f t="shared" si="3"/>
        <v>1.0204081632653061</v>
      </c>
      <c r="AB31" s="1807">
        <f t="shared" si="4"/>
        <v>1.0204081632653061</v>
      </c>
      <c r="AC31" s="1807">
        <f t="shared" si="5"/>
        <v>1.0204081632653061</v>
      </c>
    </row>
    <row r="32" spans="1:29" ht="27">
      <c r="A32" s="427"/>
      <c r="B32" s="1380" t="s">
        <v>2683</v>
      </c>
      <c r="C32" s="2956" t="s">
        <v>3245</v>
      </c>
      <c r="D32" s="449">
        <v>100</v>
      </c>
      <c r="E32" s="2956" t="s">
        <v>3249</v>
      </c>
      <c r="F32" s="449">
        <f>SUMIF(106:106,E33,107:107)-SUMIF(106:106,C33,107:107)+100</f>
        <v>100</v>
      </c>
      <c r="G32" s="2956" t="s">
        <v>3245</v>
      </c>
      <c r="H32" s="449">
        <f>SUMIF(106:106,G33,107:107)-SUMIF(106:106,C33,107:107)+100</f>
        <v>100</v>
      </c>
      <c r="I32" s="2956" t="s">
        <v>3249</v>
      </c>
      <c r="J32" s="449">
        <f>SUMIF(106:106,I33,107:107)-SUMIF(106:106,C33,107:107)+100</f>
        <v>100</v>
      </c>
      <c r="K32" s="672"/>
      <c r="L32" s="1136"/>
      <c r="M32" s="1127"/>
      <c r="N32" s="1127"/>
      <c r="O32" s="1135"/>
      <c r="P32" s="3210"/>
      <c r="Q32" s="1806" t="str">
        <f t="shared" si="8"/>
        <v>毗邻道路的类型与等级</v>
      </c>
      <c r="R32" s="773" t="s">
        <v>17</v>
      </c>
      <c r="S32" s="774">
        <f t="shared" si="10"/>
        <v>100</v>
      </c>
      <c r="T32" s="773" t="s">
        <v>17</v>
      </c>
      <c r="U32" s="774">
        <f t="shared" si="11"/>
        <v>100</v>
      </c>
      <c r="V32" s="773" t="s">
        <v>17</v>
      </c>
      <c r="W32" s="774">
        <f t="shared" si="12"/>
        <v>100</v>
      </c>
      <c r="X32" s="1809"/>
      <c r="Y32" s="3210"/>
      <c r="Z32" s="1810" t="str">
        <f t="shared" si="13"/>
        <v>毗邻道路的类型与等级</v>
      </c>
      <c r="AA32" s="1807">
        <f t="shared" si="3"/>
        <v>1</v>
      </c>
      <c r="AB32" s="1807">
        <f t="shared" si="4"/>
        <v>1</v>
      </c>
      <c r="AC32" s="1807">
        <f t="shared" si="5"/>
        <v>1</v>
      </c>
    </row>
    <row r="33" spans="1:29" ht="15">
      <c r="A33" s="427"/>
      <c r="B33" s="455"/>
      <c r="C33" s="446"/>
      <c r="D33" s="447"/>
      <c r="E33" s="2604"/>
      <c r="F33" s="447"/>
      <c r="G33" s="2604"/>
      <c r="H33" s="447"/>
      <c r="I33" s="446"/>
      <c r="J33" s="447"/>
      <c r="K33" s="612"/>
      <c r="L33" s="1136"/>
      <c r="M33" s="1127"/>
      <c r="N33" s="1127"/>
      <c r="O33" s="1135"/>
      <c r="P33" s="3210"/>
      <c r="Q33" s="1806"/>
      <c r="R33" s="773"/>
      <c r="S33" s="774"/>
      <c r="T33" s="773"/>
      <c r="U33" s="774"/>
      <c r="V33" s="773"/>
      <c r="W33" s="774"/>
      <c r="X33" s="1809"/>
      <c r="Y33" s="3210"/>
      <c r="Z33" s="1810"/>
      <c r="AA33" s="1807">
        <v>1</v>
      </c>
      <c r="AB33" s="1807">
        <v>1</v>
      </c>
      <c r="AC33" s="1807">
        <v>1</v>
      </c>
    </row>
    <row r="34" spans="1:29" ht="15.75" thickBot="1">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t="s">
        <v>3246</v>
      </c>
      <c r="O34" s="1135"/>
      <c r="P34" s="3210"/>
      <c r="Q34" s="1806" t="str">
        <f t="shared" si="8"/>
        <v>土地级别</v>
      </c>
      <c r="R34" s="773" t="s">
        <v>17</v>
      </c>
      <c r="S34" s="774">
        <f t="shared" si="10"/>
        <v>100</v>
      </c>
      <c r="T34" s="773" t="s">
        <v>17</v>
      </c>
      <c r="U34" s="774">
        <f t="shared" si="11"/>
        <v>100</v>
      </c>
      <c r="V34" s="773" t="s">
        <v>17</v>
      </c>
      <c r="W34" s="774">
        <f t="shared" si="12"/>
        <v>100</v>
      </c>
      <c r="X34" s="1809"/>
      <c r="Y34" s="3210"/>
      <c r="Z34" s="1810" t="str">
        <f t="shared" si="13"/>
        <v>土地级别</v>
      </c>
      <c r="AA34" s="1807">
        <f t="shared" si="3"/>
        <v>1</v>
      </c>
      <c r="AB34" s="1807">
        <f t="shared" si="4"/>
        <v>1</v>
      </c>
      <c r="AC34" s="1807">
        <f t="shared" si="5"/>
        <v>1</v>
      </c>
    </row>
    <row r="35" spans="1:29" ht="15" hidden="1">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10"/>
      <c r="Q35" s="1806">
        <f t="shared" si="8"/>
        <v>111</v>
      </c>
      <c r="R35" s="773" t="s">
        <v>17</v>
      </c>
      <c r="S35" s="774">
        <f t="shared" si="10"/>
        <v>100</v>
      </c>
      <c r="T35" s="773" t="s">
        <v>17</v>
      </c>
      <c r="U35" s="774">
        <f t="shared" si="11"/>
        <v>100</v>
      </c>
      <c r="V35" s="773" t="s">
        <v>17</v>
      </c>
      <c r="W35" s="774">
        <f t="shared" si="12"/>
        <v>100</v>
      </c>
      <c r="X35" s="1809"/>
      <c r="Y35" s="3210"/>
      <c r="Z35" s="1810">
        <f t="shared" si="13"/>
        <v>111</v>
      </c>
      <c r="AA35" s="1807">
        <f t="shared" si="3"/>
        <v>1</v>
      </c>
      <c r="AB35" s="1807">
        <f t="shared" si="4"/>
        <v>1</v>
      </c>
      <c r="AC35" s="1807">
        <f t="shared" si="5"/>
        <v>1</v>
      </c>
    </row>
    <row r="36" spans="1:29" ht="15" hidden="1">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211" t="s">
        <v>2557</v>
      </c>
      <c r="Q36" s="1806">
        <f t="shared" si="8"/>
        <v>111</v>
      </c>
      <c r="R36" s="773" t="s">
        <v>17</v>
      </c>
      <c r="S36" s="774">
        <f t="shared" si="10"/>
        <v>100</v>
      </c>
      <c r="T36" s="773" t="s">
        <v>17</v>
      </c>
      <c r="U36" s="774">
        <f t="shared" si="11"/>
        <v>100</v>
      </c>
      <c r="V36" s="773" t="s">
        <v>17</v>
      </c>
      <c r="W36" s="774">
        <f t="shared" si="12"/>
        <v>100</v>
      </c>
      <c r="X36" s="1809"/>
      <c r="Y36" s="3212" t="s">
        <v>2557</v>
      </c>
      <c r="Z36" s="1810">
        <f t="shared" si="13"/>
        <v>111</v>
      </c>
      <c r="AA36" s="1807">
        <f t="shared" si="3"/>
        <v>1</v>
      </c>
      <c r="AB36" s="1807">
        <f t="shared" si="4"/>
        <v>1</v>
      </c>
      <c r="AC36" s="1807">
        <f t="shared" si="5"/>
        <v>1</v>
      </c>
    </row>
    <row r="37" spans="1:29" s="470" customFormat="1" ht="15.75" hidden="1"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12"/>
      <c r="Q37" s="1806">
        <f t="shared" si="8"/>
        <v>111</v>
      </c>
      <c r="R37" s="776" t="s">
        <v>17</v>
      </c>
      <c r="S37" s="777">
        <f t="shared" si="10"/>
        <v>100</v>
      </c>
      <c r="T37" s="776" t="s">
        <v>17</v>
      </c>
      <c r="U37" s="777">
        <f t="shared" si="11"/>
        <v>100</v>
      </c>
      <c r="V37" s="776" t="s">
        <v>17</v>
      </c>
      <c r="W37" s="777">
        <f t="shared" si="12"/>
        <v>100</v>
      </c>
      <c r="X37" s="778"/>
      <c r="Y37" s="3212"/>
      <c r="Z37" s="779">
        <f t="shared" si="13"/>
        <v>111</v>
      </c>
      <c r="AA37" s="1807">
        <f t="shared" si="3"/>
        <v>1</v>
      </c>
      <c r="AB37" s="1807">
        <f t="shared" si="4"/>
        <v>1</v>
      </c>
      <c r="AC37" s="1807">
        <f t="shared" si="5"/>
        <v>1</v>
      </c>
    </row>
    <row r="38" spans="1:29" ht="15">
      <c r="A38" s="471" t="s">
        <v>2555</v>
      </c>
      <c r="B38" s="455" t="s">
        <v>2743</v>
      </c>
      <c r="C38" s="678">
        <v>30421.84</v>
      </c>
      <c r="D38" s="466">
        <v>100</v>
      </c>
      <c r="E38" s="678">
        <v>147028.6</v>
      </c>
      <c r="F38" s="466">
        <f>LOOKUP(E38,117:117,118:118)-LOOKUP(C38,117:117,118:118)+100</f>
        <v>104</v>
      </c>
      <c r="G38" s="678">
        <v>68362.710000000006</v>
      </c>
      <c r="H38" s="466">
        <f>LOOKUP(G38,117:117,118:118)-LOOKUP(C38,117:117,118:118)+100</f>
        <v>102</v>
      </c>
      <c r="I38" s="529">
        <v>1131.6400000000001</v>
      </c>
      <c r="J38" s="466">
        <f>LOOKUP(I38,117:117,118:118)-LOOKUP(C38,117:117,118:118)+100</f>
        <v>100</v>
      </c>
      <c r="K38" s="612"/>
      <c r="L38" s="1136"/>
      <c r="M38" s="1127"/>
      <c r="N38" s="1127"/>
      <c r="O38" s="1135"/>
      <c r="P38" s="3212"/>
      <c r="Q38" s="1806" t="str">
        <f>B38</f>
        <v>宗地面积</v>
      </c>
      <c r="R38" s="773" t="s">
        <v>17</v>
      </c>
      <c r="S38" s="774">
        <f t="shared" si="10"/>
        <v>104</v>
      </c>
      <c r="T38" s="773" t="s">
        <v>17</v>
      </c>
      <c r="U38" s="774">
        <f t="shared" si="11"/>
        <v>102</v>
      </c>
      <c r="V38" s="773" t="s">
        <v>17</v>
      </c>
      <c r="W38" s="774">
        <f t="shared" si="12"/>
        <v>100</v>
      </c>
      <c r="X38" s="1809"/>
      <c r="Y38" s="3212"/>
      <c r="Z38" s="1810" t="str">
        <f t="shared" si="13"/>
        <v>宗地面积</v>
      </c>
      <c r="AA38" s="1807">
        <f t="shared" si="3"/>
        <v>0.96153846153846156</v>
      </c>
      <c r="AB38" s="1807">
        <f t="shared" si="4"/>
        <v>0.98039215686274506</v>
      </c>
      <c r="AC38" s="1807">
        <f t="shared" si="5"/>
        <v>1</v>
      </c>
    </row>
    <row r="39" spans="1:29" ht="15">
      <c r="A39" s="471"/>
      <c r="B39" s="421" t="s">
        <v>2744</v>
      </c>
      <c r="C39" s="3005" t="s">
        <v>3239</v>
      </c>
      <c r="D39" s="434">
        <v>100</v>
      </c>
      <c r="E39" s="2606" t="s">
        <v>3239</v>
      </c>
      <c r="F39" s="434">
        <f>SUMIF(119:119,E39,120:120)-SUMIF(119:119,C39,120:120)+100</f>
        <v>100</v>
      </c>
      <c r="G39" s="2606" t="s">
        <v>3239</v>
      </c>
      <c r="H39" s="434">
        <f>SUMIF(119:119,G39,120:120)-SUMIF(119:119,C39,120:120)+100</f>
        <v>100</v>
      </c>
      <c r="I39" s="2606" t="s">
        <v>3239</v>
      </c>
      <c r="J39" s="434">
        <f>SUMIF(119:119,I39,120:120)-SUMIF(119:119,C39,120:120)+100</f>
        <v>100</v>
      </c>
      <c r="K39" s="611"/>
      <c r="L39" s="1136"/>
      <c r="M39" s="1127"/>
      <c r="N39" s="1127"/>
      <c r="O39" s="1135"/>
      <c r="P39" s="3212"/>
      <c r="Q39" s="1806" t="str">
        <f t="shared" ref="Q39:Q45" si="14">B39</f>
        <v>宗地形状</v>
      </c>
      <c r="R39" s="773" t="s">
        <v>17</v>
      </c>
      <c r="S39" s="774">
        <f t="shared" si="10"/>
        <v>100</v>
      </c>
      <c r="T39" s="773" t="s">
        <v>17</v>
      </c>
      <c r="U39" s="774">
        <f t="shared" si="11"/>
        <v>100</v>
      </c>
      <c r="V39" s="773" t="s">
        <v>17</v>
      </c>
      <c r="W39" s="774">
        <f t="shared" si="12"/>
        <v>100</v>
      </c>
      <c r="X39" s="1809"/>
      <c r="Y39" s="3212"/>
      <c r="Z39" s="1810" t="str">
        <f t="shared" si="13"/>
        <v>宗地形状</v>
      </c>
      <c r="AA39" s="1807">
        <f t="shared" si="3"/>
        <v>1</v>
      </c>
      <c r="AB39" s="1807">
        <f t="shared" si="4"/>
        <v>1</v>
      </c>
      <c r="AC39" s="1807">
        <f t="shared" si="5"/>
        <v>1</v>
      </c>
    </row>
    <row r="40" spans="1:29" ht="15">
      <c r="A40" s="471"/>
      <c r="B40" s="421" t="s">
        <v>2745</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6"/>
      <c r="M40" s="1127"/>
      <c r="N40" s="1127"/>
      <c r="O40" s="1135"/>
      <c r="P40" s="3212"/>
      <c r="Q40" s="1806" t="str">
        <f t="shared" si="14"/>
        <v>临街宽度及深度</v>
      </c>
      <c r="R40" s="773" t="s">
        <v>17</v>
      </c>
      <c r="S40" s="774">
        <f t="shared" si="10"/>
        <v>100</v>
      </c>
      <c r="T40" s="773" t="s">
        <v>17</v>
      </c>
      <c r="U40" s="774">
        <f t="shared" si="11"/>
        <v>100</v>
      </c>
      <c r="V40" s="773" t="s">
        <v>17</v>
      </c>
      <c r="W40" s="774">
        <f t="shared" si="12"/>
        <v>100</v>
      </c>
      <c r="X40" s="1809"/>
      <c r="Y40" s="3212"/>
      <c r="Z40" s="1810" t="str">
        <f t="shared" si="13"/>
        <v>临街宽度及深度</v>
      </c>
      <c r="AA40" s="1807">
        <f t="shared" si="3"/>
        <v>1</v>
      </c>
      <c r="AB40" s="1807">
        <f t="shared" si="4"/>
        <v>1</v>
      </c>
      <c r="AC40" s="1807">
        <f t="shared" si="5"/>
        <v>1</v>
      </c>
    </row>
    <row r="41" spans="1:29" s="116" customFormat="1" ht="15">
      <c r="A41" s="472"/>
      <c r="B41" s="2976" t="s">
        <v>2746</v>
      </c>
      <c r="C41" s="2695" t="s">
        <v>3243</v>
      </c>
      <c r="D41" s="135">
        <v>100</v>
      </c>
      <c r="E41" s="2695" t="s">
        <v>3344</v>
      </c>
      <c r="F41" s="434">
        <f>SUMIF(123:123,E41,124:124)-SUMIF(123:123,C41,124:124)+100</f>
        <v>98</v>
      </c>
      <c r="G41" s="2695" t="s">
        <v>3344</v>
      </c>
      <c r="H41" s="434">
        <f>SUMIF(123:123,G41,124:124)-SUMIF(123:123,C41,124:124)+100</f>
        <v>98</v>
      </c>
      <c r="I41" s="2695" t="s">
        <v>3344</v>
      </c>
      <c r="J41" s="434">
        <f>SUMIF(123:123,I41,124:124)-SUMIF(123:123,C41,124:124)+100</f>
        <v>98</v>
      </c>
      <c r="K41" s="611">
        <v>0.5</v>
      </c>
      <c r="L41" s="1128"/>
      <c r="M41" s="1129"/>
      <c r="N41" s="1129"/>
      <c r="O41" s="1130"/>
      <c r="P41" s="3212"/>
      <c r="Q41" s="1806" t="str">
        <f t="shared" si="14"/>
        <v>宗地开发程度</v>
      </c>
      <c r="R41" s="769" t="s">
        <v>17</v>
      </c>
      <c r="S41" s="770">
        <f t="shared" si="10"/>
        <v>98</v>
      </c>
      <c r="T41" s="769" t="s">
        <v>17</v>
      </c>
      <c r="U41" s="770">
        <f t="shared" si="11"/>
        <v>98</v>
      </c>
      <c r="V41" s="769" t="s">
        <v>17</v>
      </c>
      <c r="W41" s="770">
        <f t="shared" si="12"/>
        <v>98</v>
      </c>
      <c r="X41" s="771"/>
      <c r="Y41" s="3212"/>
      <c r="Z41" s="55" t="str">
        <f t="shared" si="13"/>
        <v>宗地开发程度</v>
      </c>
      <c r="AA41" s="772">
        <f t="shared" si="3"/>
        <v>1.0204081632653061</v>
      </c>
      <c r="AB41" s="772">
        <f t="shared" si="4"/>
        <v>1.0204081632653061</v>
      </c>
      <c r="AC41" s="772">
        <f t="shared" si="5"/>
        <v>1.0204081632653061</v>
      </c>
    </row>
    <row r="42" spans="1:29" ht="15.75" thickBot="1">
      <c r="A42" s="471"/>
      <c r="B42" s="421" t="s">
        <v>2747</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6"/>
      <c r="M42" s="1127"/>
      <c r="N42" s="1127"/>
      <c r="O42" s="1135"/>
      <c r="P42" s="3212" t="s">
        <v>2557</v>
      </c>
      <c r="Q42" s="1806" t="str">
        <f t="shared" si="14"/>
        <v>工程地质条件</v>
      </c>
      <c r="R42" s="773" t="s">
        <v>17</v>
      </c>
      <c r="S42" s="774">
        <f t="shared" si="10"/>
        <v>100</v>
      </c>
      <c r="T42" s="773" t="s">
        <v>17</v>
      </c>
      <c r="U42" s="774">
        <f t="shared" si="11"/>
        <v>100</v>
      </c>
      <c r="V42" s="773" t="s">
        <v>17</v>
      </c>
      <c r="W42" s="774">
        <f t="shared" si="12"/>
        <v>100</v>
      </c>
      <c r="X42" s="1809"/>
      <c r="Y42" s="3212" t="s">
        <v>2557</v>
      </c>
      <c r="Z42" s="1810" t="str">
        <f t="shared" si="13"/>
        <v>工程地质条件</v>
      </c>
      <c r="AA42" s="1807">
        <f t="shared" si="3"/>
        <v>1</v>
      </c>
      <c r="AB42" s="1807">
        <f t="shared" si="4"/>
        <v>1</v>
      </c>
      <c r="AC42" s="1807">
        <f t="shared" si="5"/>
        <v>1</v>
      </c>
    </row>
    <row r="43" spans="1:29" ht="15" hidden="1">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12"/>
      <c r="Q43" s="1806">
        <f t="shared" si="14"/>
        <v>111</v>
      </c>
      <c r="R43" s="773" t="s">
        <v>17</v>
      </c>
      <c r="S43" s="774">
        <f t="shared" si="10"/>
        <v>100</v>
      </c>
      <c r="T43" s="773" t="s">
        <v>17</v>
      </c>
      <c r="U43" s="774">
        <f t="shared" si="11"/>
        <v>100</v>
      </c>
      <c r="V43" s="773" t="s">
        <v>17</v>
      </c>
      <c r="W43" s="774">
        <f t="shared" si="12"/>
        <v>100</v>
      </c>
      <c r="X43" s="1809"/>
      <c r="Y43" s="3212"/>
      <c r="Z43" s="1810">
        <f t="shared" si="13"/>
        <v>111</v>
      </c>
      <c r="AA43" s="1807">
        <f t="shared" si="3"/>
        <v>1</v>
      </c>
      <c r="AB43" s="1807">
        <f t="shared" si="4"/>
        <v>1</v>
      </c>
      <c r="AC43" s="1807">
        <f t="shared" si="5"/>
        <v>1</v>
      </c>
    </row>
    <row r="44" spans="1:29" ht="15" hidden="1">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12"/>
      <c r="Q44" s="1806">
        <f t="shared" si="14"/>
        <v>111</v>
      </c>
      <c r="R44" s="773" t="s">
        <v>17</v>
      </c>
      <c r="S44" s="774">
        <f t="shared" si="10"/>
        <v>100</v>
      </c>
      <c r="T44" s="773" t="s">
        <v>17</v>
      </c>
      <c r="U44" s="774">
        <f t="shared" si="11"/>
        <v>100</v>
      </c>
      <c r="V44" s="773" t="s">
        <v>17</v>
      </c>
      <c r="W44" s="774">
        <f t="shared" si="12"/>
        <v>100</v>
      </c>
      <c r="X44" s="1809"/>
      <c r="Y44" s="3212"/>
      <c r="Z44" s="1810">
        <f t="shared" si="13"/>
        <v>111</v>
      </c>
      <c r="AA44" s="1807">
        <f t="shared" si="3"/>
        <v>1</v>
      </c>
      <c r="AB44" s="1807">
        <f t="shared" si="4"/>
        <v>1</v>
      </c>
      <c r="AC44" s="1807">
        <f t="shared" si="5"/>
        <v>1</v>
      </c>
    </row>
    <row r="45" spans="1:29" s="470" customFormat="1" ht="15.75" hidden="1" thickBot="1">
      <c r="A45" s="467"/>
      <c r="B45" s="1383">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12"/>
      <c r="Q45" s="1806">
        <f t="shared" si="14"/>
        <v>111</v>
      </c>
      <c r="R45" s="776" t="s">
        <v>17</v>
      </c>
      <c r="S45" s="777">
        <f t="shared" si="10"/>
        <v>100</v>
      </c>
      <c r="T45" s="776" t="s">
        <v>17</v>
      </c>
      <c r="U45" s="777">
        <f t="shared" si="11"/>
        <v>100</v>
      </c>
      <c r="V45" s="776" t="s">
        <v>17</v>
      </c>
      <c r="W45" s="777">
        <f t="shared" si="12"/>
        <v>100</v>
      </c>
      <c r="X45" s="778"/>
      <c r="Y45" s="3212"/>
      <c r="Z45" s="779">
        <f t="shared" si="13"/>
        <v>111</v>
      </c>
      <c r="AA45" s="1807">
        <f t="shared" si="3"/>
        <v>1</v>
      </c>
      <c r="AB45" s="1807">
        <f t="shared" si="4"/>
        <v>1</v>
      </c>
      <c r="AC45" s="1807">
        <f t="shared" si="5"/>
        <v>1</v>
      </c>
    </row>
    <row r="46" spans="1:29" ht="15">
      <c r="A46" s="478" t="s">
        <v>2712</v>
      </c>
      <c r="B46" s="3004" t="s">
        <v>3188</v>
      </c>
      <c r="C46" s="681" t="s">
        <v>1</v>
      </c>
      <c r="D46" s="480"/>
      <c r="E46" s="481">
        <v>6890</v>
      </c>
      <c r="F46" s="482"/>
      <c r="G46" s="483">
        <v>6550</v>
      </c>
      <c r="H46" s="484"/>
      <c r="I46" s="481">
        <v>5435</v>
      </c>
      <c r="J46" s="484"/>
      <c r="K46" s="782"/>
      <c r="L46" s="1139"/>
      <c r="M46" s="1140"/>
      <c r="N46" s="1127"/>
      <c r="O46" s="1140"/>
      <c r="P46" s="3207" t="str">
        <f>A46</f>
        <v>成交单价</v>
      </c>
      <c r="Q46" s="3207"/>
      <c r="R46" s="3213">
        <f>E46</f>
        <v>6890</v>
      </c>
      <c r="S46" s="3213"/>
      <c r="T46" s="3213">
        <f>G46</f>
        <v>6550</v>
      </c>
      <c r="U46" s="3213"/>
      <c r="V46" s="3213">
        <f>I46</f>
        <v>5435</v>
      </c>
      <c r="W46" s="3213"/>
      <c r="X46" s="758"/>
      <c r="Y46" s="780"/>
      <c r="Z46" s="758"/>
      <c r="AA46" s="758"/>
      <c r="AB46" s="758"/>
      <c r="AC46" s="758"/>
    </row>
    <row r="47" spans="1:29" ht="15.75" thickBot="1">
      <c r="A47" s="485" t="s">
        <v>2661</v>
      </c>
      <c r="B47" s="682"/>
      <c r="C47" s="489">
        <f>R48</f>
        <v>6336</v>
      </c>
      <c r="D47" s="488"/>
      <c r="E47" s="489">
        <f>R47</f>
        <v>6572</v>
      </c>
      <c r="F47" s="490"/>
      <c r="G47" s="487">
        <f>T47</f>
        <v>6635</v>
      </c>
      <c r="H47" s="488"/>
      <c r="I47" s="489">
        <f>V47</f>
        <v>5801</v>
      </c>
      <c r="J47" s="488"/>
      <c r="K47" s="783"/>
      <c r="L47" s="1139"/>
      <c r="M47" s="1140"/>
      <c r="N47" s="1140"/>
      <c r="O47" s="1140"/>
      <c r="P47" s="3207" t="str">
        <f>A47</f>
        <v>比较价值（元/平方米）</v>
      </c>
      <c r="Q47" s="3207"/>
      <c r="R47" s="3200">
        <f>ROUND(PRODUCT(R46,AA7:AA45),0)</f>
        <v>6572</v>
      </c>
      <c r="S47" s="3200"/>
      <c r="T47" s="3200">
        <f>ROUND(PRODUCT(T46,AB7:AB45),0)</f>
        <v>6635</v>
      </c>
      <c r="U47" s="3200"/>
      <c r="V47" s="3200">
        <f>ROUND(PRODUCT(V46,AC7:AC45),0)</f>
        <v>5801</v>
      </c>
      <c r="W47" s="3200"/>
      <c r="X47" s="758"/>
      <c r="Y47" s="758"/>
      <c r="Z47" s="758"/>
      <c r="AA47" s="758"/>
      <c r="AB47" s="758"/>
      <c r="AC47" s="758"/>
    </row>
    <row r="48" spans="1:29" ht="15.75" thickBot="1">
      <c r="A48" s="491" t="s">
        <v>2748</v>
      </c>
      <c r="B48" s="492"/>
      <c r="C48" s="493">
        <f>R48</f>
        <v>6336</v>
      </c>
      <c r="D48" s="493"/>
      <c r="E48" s="493"/>
      <c r="F48" s="493"/>
      <c r="G48" s="493"/>
      <c r="H48" s="493"/>
      <c r="I48" s="493"/>
      <c r="J48" s="493"/>
      <c r="K48" s="784"/>
      <c r="L48" s="1139"/>
      <c r="M48" s="1140"/>
      <c r="N48" s="1140"/>
      <c r="O48" s="1140"/>
      <c r="P48" s="3201" t="str">
        <f>A48</f>
        <v>估价对象XX用房的比较价值（楼面单价，元/平方米）</v>
      </c>
      <c r="Q48" s="3202"/>
      <c r="R48" s="3203">
        <f>ROUND(AVERAGE(R47:V47),0)</f>
        <v>6336</v>
      </c>
      <c r="S48" s="3203"/>
      <c r="T48" s="3203"/>
      <c r="U48" s="3203"/>
      <c r="V48" s="3203"/>
      <c r="W48" s="3203"/>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2663</v>
      </c>
      <c r="D51" s="497"/>
      <c r="E51" s="498">
        <f>IF(E46&lt;E47,E47/E46-1,E46/E47-1)</f>
        <v>4.8387096774193505E-2</v>
      </c>
      <c r="F51" s="499" t="str">
        <f>IF(OR(E51&gt;=0.3,E51&lt;=-0.3),"超过30%","")</f>
        <v/>
      </c>
      <c r="G51" s="498">
        <f>IF(G46&lt;G47,G47/G46-1,G46/G47-1)</f>
        <v>1.2977099236641143E-2</v>
      </c>
      <c r="H51" s="499" t="str">
        <f>IF(OR(G51&gt;=0.3,G51&lt;=-0.3),"超过30%","")</f>
        <v/>
      </c>
      <c r="I51" s="498">
        <f>IF(I46&lt;I47,I47/I46-1,I46/I47-1)</f>
        <v>6.7341306347746155E-2</v>
      </c>
      <c r="J51" s="499" t="str">
        <f>IF(OR(I51&gt;=0.3,I51&lt;=-0.3),"超过30%","")</f>
        <v/>
      </c>
      <c r="K51" s="1101"/>
      <c r="L51" s="1102"/>
      <c r="M51" s="1140"/>
      <c r="N51" s="1140"/>
      <c r="O51" s="1140"/>
    </row>
    <row r="52" spans="1:15" ht="13.5" customHeight="1">
      <c r="A52" s="1140"/>
      <c r="B52" s="1140"/>
      <c r="C52" s="496" t="s">
        <v>2664</v>
      </c>
      <c r="D52" s="500"/>
      <c r="E52" s="498">
        <f>IF(E47&lt;G47,G47/E47-1,E47/G47-1)</f>
        <v>9.5861229458307218E-3</v>
      </c>
      <c r="F52" s="499" t="str">
        <f>IF(OR(E52&gt;=0.2,E52&lt;=-0.2),"超过20%","")</f>
        <v/>
      </c>
      <c r="G52" s="498">
        <f>IF(G47&lt;I47,I47/G47-1,G47/I47-1)</f>
        <v>0.14376831580761928</v>
      </c>
      <c r="H52" s="499" t="str">
        <f>IF(OR(G52&gt;=0.2,G52&lt;=-0.2),"超过20%","")</f>
        <v/>
      </c>
      <c r="I52" s="498">
        <f>IF(I47&lt;E47,E47/I47-1,I47/E47-1)</f>
        <v>0.13290811928977764</v>
      </c>
      <c r="J52" s="499" t="str">
        <f>IF(OR(I52&gt;=0.2,I52&lt;=-0.2),"超过20%","")</f>
        <v/>
      </c>
      <c r="K52" s="1101"/>
      <c r="L52" s="1102"/>
      <c r="M52" s="1140"/>
      <c r="N52" s="1140"/>
      <c r="O52" s="1140"/>
    </row>
    <row r="53" spans="1:15" s="501" customFormat="1" ht="13.5" customHeight="1">
      <c r="A53" s="1141"/>
      <c r="B53" s="1141"/>
      <c r="C53" s="496" t="s">
        <v>2665</v>
      </c>
      <c r="D53" s="500"/>
      <c r="E53" s="498">
        <f>IF(E46&lt;G46,G46/E46-1,E46/G46-1)</f>
        <v>5.1908396946564794E-2</v>
      </c>
      <c r="F53" s="499" t="str">
        <f>IF(OR(E53&gt;=0.3,E53&lt;=-0.3),"超过30%","")</f>
        <v/>
      </c>
      <c r="G53" s="498">
        <f>IF(G46&lt;I46,I46/G46-1,G46/I46-1)</f>
        <v>0.20515179392824279</v>
      </c>
      <c r="H53" s="499" t="str">
        <f>IF(OR(G53&gt;=0.3,G53&lt;=-0.3),"超过30%","")</f>
        <v/>
      </c>
      <c r="I53" s="498">
        <f>IF(I46&lt;E46,E46/I46-1,I46/E46-1)</f>
        <v>0.26770929162833479</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2749</v>
      </c>
      <c r="B55" s="684" t="s">
        <v>2750</v>
      </c>
      <c r="C55" s="2698" t="s">
        <v>2751</v>
      </c>
      <c r="D55" s="2699" t="s">
        <v>2752</v>
      </c>
      <c r="E55" s="685" t="s">
        <v>2753</v>
      </c>
      <c r="F55" s="1103" t="s">
        <v>2754</v>
      </c>
      <c r="G55" s="3204" t="s">
        <v>2755</v>
      </c>
      <c r="H55" s="3205"/>
      <c r="I55" s="143" t="s">
        <v>2756</v>
      </c>
      <c r="J55" s="2700" t="str">
        <f>项目基本情况!F35</f>
        <v>陕西省西安市</v>
      </c>
      <c r="K55" s="2701" t="s">
        <v>2757</v>
      </c>
      <c r="L55" s="1102"/>
      <c r="M55" s="1140"/>
      <c r="N55" s="1140"/>
      <c r="O55" s="1140"/>
    </row>
    <row r="56" spans="1:15" s="691" customFormat="1">
      <c r="A56" s="687" t="s">
        <v>2758</v>
      </c>
      <c r="B56" s="688">
        <f>C48</f>
        <v>6336</v>
      </c>
      <c r="C56" s="689">
        <v>1</v>
      </c>
      <c r="D56" s="1159">
        <v>1</v>
      </c>
      <c r="E56" s="689">
        <f>'数据-汇总表'!E8+'数据-汇总表'!E9</f>
        <v>64979.24</v>
      </c>
      <c r="F56" s="1099">
        <f t="shared" ref="F56:F65" si="15">ROUND(B56*E56/10000,0)</f>
        <v>41171</v>
      </c>
      <c r="G56" s="3206"/>
      <c r="H56" s="3207"/>
      <c r="I56" s="1104">
        <v>1</v>
      </c>
      <c r="J56" s="1107">
        <v>1</v>
      </c>
      <c r="K56" s="1141"/>
      <c r="L56" s="937"/>
      <c r="M56" s="937"/>
      <c r="N56" s="937"/>
      <c r="O56" s="937"/>
    </row>
    <row r="57" spans="1:15" s="691" customFormat="1">
      <c r="A57" s="692" t="s">
        <v>2759</v>
      </c>
      <c r="B57" s="261">
        <f>ROUND($C$48*C57*D57,0)</f>
        <v>0</v>
      </c>
      <c r="C57" s="199">
        <f t="shared" ref="C57:C65" si="16">IF($C$55="北京市系数",I57,J57)</f>
        <v>0</v>
      </c>
      <c r="D57" s="1160">
        <v>0.25</v>
      </c>
      <c r="E57" s="693"/>
      <c r="F57" s="1099">
        <f t="shared" si="15"/>
        <v>0</v>
      </c>
      <c r="G57" s="3208" t="s">
        <v>2760</v>
      </c>
      <c r="H57" s="1100">
        <f>项目基本情况!B37</f>
        <v>0</v>
      </c>
      <c r="I57" s="1104">
        <f>SUMIF(修正!A45:A56,H57,修正!B45:B56)</f>
        <v>0</v>
      </c>
      <c r="J57" s="1108"/>
      <c r="K57" s="1140"/>
      <c r="L57" s="937"/>
      <c r="M57" s="937"/>
      <c r="N57" s="937"/>
      <c r="O57" s="937"/>
    </row>
    <row r="58" spans="1:15" s="691" customFormat="1">
      <c r="A58" s="692" t="s">
        <v>2761</v>
      </c>
      <c r="B58" s="261">
        <f t="shared" ref="B58:B65" si="17">ROUND($C$48*C58*D58,0)</f>
        <v>0</v>
      </c>
      <c r="C58" s="199">
        <f t="shared" si="16"/>
        <v>0</v>
      </c>
      <c r="D58" s="1160">
        <v>0.25</v>
      </c>
      <c r="E58" s="693"/>
      <c r="F58" s="1099">
        <f t="shared" si="15"/>
        <v>0</v>
      </c>
      <c r="G58" s="3208"/>
      <c r="H58" s="1100">
        <f>项目基本情况!B37</f>
        <v>0</v>
      </c>
      <c r="I58" s="1104">
        <f>SUMIF(修正!A45:A56,H58,修正!C45:C56)</f>
        <v>0</v>
      </c>
      <c r="J58" s="1108"/>
      <c r="K58" s="1141"/>
      <c r="L58" s="937"/>
      <c r="M58" s="937"/>
      <c r="N58" s="937"/>
      <c r="O58" s="937"/>
    </row>
    <row r="59" spans="1:15" s="691" customFormat="1">
      <c r="A59" s="692" t="s">
        <v>2762</v>
      </c>
      <c r="B59" s="261">
        <f t="shared" si="17"/>
        <v>0</v>
      </c>
      <c r="C59" s="199">
        <f t="shared" si="16"/>
        <v>0</v>
      </c>
      <c r="D59" s="1160">
        <v>0.25</v>
      </c>
      <c r="E59" s="693"/>
      <c r="F59" s="1099">
        <f t="shared" si="15"/>
        <v>0</v>
      </c>
      <c r="G59" s="3208"/>
      <c r="H59" s="1100">
        <f>项目基本情况!B37</f>
        <v>0</v>
      </c>
      <c r="I59" s="1104">
        <f>SUMIF(修正!A45:A56,H59,修正!D45:D56)</f>
        <v>0</v>
      </c>
      <c r="J59" s="1108"/>
      <c r="K59" s="1140"/>
      <c r="L59" s="937"/>
      <c r="M59" s="937"/>
      <c r="N59" s="937"/>
      <c r="O59" s="937"/>
    </row>
    <row r="60" spans="1:15" s="691" customFormat="1">
      <c r="A60" s="692" t="s">
        <v>2763</v>
      </c>
      <c r="B60" s="261">
        <f t="shared" si="17"/>
        <v>0</v>
      </c>
      <c r="C60" s="199">
        <f t="shared" si="16"/>
        <v>0</v>
      </c>
      <c r="D60" s="1160">
        <v>0.25</v>
      </c>
      <c r="E60" s="693"/>
      <c r="F60" s="1099">
        <f t="shared" si="15"/>
        <v>0</v>
      </c>
      <c r="G60" s="3208"/>
      <c r="H60" s="1100">
        <f>项目基本情况!B37</f>
        <v>0</v>
      </c>
      <c r="I60" s="1104">
        <f>SUMIF(修正!A45:A56,H60,修正!E45:E56)</f>
        <v>0</v>
      </c>
      <c r="J60" s="1108"/>
      <c r="K60" s="1141"/>
      <c r="L60" s="937"/>
      <c r="M60" s="937"/>
      <c r="N60" s="937"/>
      <c r="O60" s="937"/>
    </row>
    <row r="61" spans="1:15" s="691" customFormat="1">
      <c r="A61" s="692" t="s">
        <v>2764</v>
      </c>
      <c r="B61" s="261">
        <f t="shared" si="17"/>
        <v>0</v>
      </c>
      <c r="C61" s="199">
        <f t="shared" si="16"/>
        <v>0</v>
      </c>
      <c r="D61" s="1160">
        <v>0.25</v>
      </c>
      <c r="E61" s="260">
        <f>'数据-汇总表'!E11</f>
        <v>0</v>
      </c>
      <c r="F61" s="1099">
        <f t="shared" si="15"/>
        <v>0</v>
      </c>
      <c r="G61" s="2702" t="s">
        <v>2765</v>
      </c>
      <c r="H61" s="1100">
        <f>项目基本情况!C37</f>
        <v>0</v>
      </c>
      <c r="I61" s="1104">
        <f>SUMIF(修正!A45:A56,H61,修正!F45:F56)</f>
        <v>0</v>
      </c>
      <c r="J61" s="1108"/>
      <c r="K61" s="1140"/>
      <c r="L61" s="937"/>
      <c r="M61" s="937"/>
      <c r="N61" s="937"/>
      <c r="O61" s="937"/>
    </row>
    <row r="62" spans="1:15" s="691" customFormat="1">
      <c r="A62" s="692" t="s">
        <v>2766</v>
      </c>
      <c r="B62" s="261">
        <f t="shared" si="17"/>
        <v>0</v>
      </c>
      <c r="C62" s="199">
        <f t="shared" si="16"/>
        <v>0</v>
      </c>
      <c r="D62" s="1160">
        <v>0.25</v>
      </c>
      <c r="E62" s="260">
        <f>'数据-汇总表'!E12</f>
        <v>0</v>
      </c>
      <c r="F62" s="1099">
        <f t="shared" si="15"/>
        <v>0</v>
      </c>
      <c r="G62" s="1105" t="s">
        <v>2767</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2768</v>
      </c>
      <c r="B63" s="261">
        <f t="shared" si="17"/>
        <v>0</v>
      </c>
      <c r="C63" s="199">
        <f t="shared" si="16"/>
        <v>0</v>
      </c>
      <c r="D63" s="1160">
        <v>0.25</v>
      </c>
      <c r="E63" s="260">
        <f>'数据-汇总表'!E13</f>
        <v>0</v>
      </c>
      <c r="F63" s="1099">
        <f t="shared" si="15"/>
        <v>0</v>
      </c>
      <c r="G63" s="1105" t="s">
        <v>2769</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2770</v>
      </c>
      <c r="B64" s="261">
        <f t="shared" si="17"/>
        <v>0</v>
      </c>
      <c r="C64" s="199">
        <f t="shared" si="16"/>
        <v>0</v>
      </c>
      <c r="D64" s="1160">
        <v>0.25</v>
      </c>
      <c r="E64" s="260">
        <f>'数据-汇总表'!E14</f>
        <v>0</v>
      </c>
      <c r="F64" s="1099">
        <f t="shared" si="15"/>
        <v>0</v>
      </c>
      <c r="G64" s="2702" t="s">
        <v>2760</v>
      </c>
      <c r="H64" s="1100">
        <f>项目基本情况!B37</f>
        <v>0</v>
      </c>
      <c r="I64" s="1104">
        <f>SUMIF(修正!A45:A56,H64,修正!H45:H56)</f>
        <v>0</v>
      </c>
      <c r="J64" s="1108"/>
      <c r="K64" s="1141"/>
      <c r="L64" s="937"/>
      <c r="M64" s="937"/>
      <c r="N64" s="937"/>
      <c r="O64" s="937"/>
    </row>
    <row r="65" spans="1:17" s="691" customFormat="1" ht="15" thickBot="1">
      <c r="A65" s="692" t="s">
        <v>2771</v>
      </c>
      <c r="B65" s="261">
        <f t="shared" si="17"/>
        <v>0</v>
      </c>
      <c r="C65" s="199">
        <f t="shared" si="16"/>
        <v>0</v>
      </c>
      <c r="D65" s="1160">
        <v>0.25</v>
      </c>
      <c r="E65" s="260">
        <f>'数据-汇总表'!E15</f>
        <v>0</v>
      </c>
      <c r="F65" s="1099">
        <f t="shared" si="15"/>
        <v>0</v>
      </c>
      <c r="G65" s="2703" t="s">
        <v>2765</v>
      </c>
      <c r="H65" s="1110">
        <f>项目基本情况!C37</f>
        <v>0</v>
      </c>
      <c r="I65" s="1106">
        <f>SUMIF(修正!A45:A56,H65,修正!H45:H56)</f>
        <v>0</v>
      </c>
      <c r="J65" s="1109"/>
      <c r="K65" s="1140"/>
      <c r="L65" s="937"/>
      <c r="M65" s="937"/>
      <c r="N65" s="937"/>
      <c r="O65" s="937"/>
    </row>
    <row r="66" spans="1:17" s="691" customFormat="1" ht="13.5" thickBot="1">
      <c r="A66" s="694" t="s">
        <v>2772</v>
      </c>
      <c r="B66" s="695" t="s">
        <v>28</v>
      </c>
      <c r="C66" s="695" t="s">
        <v>29</v>
      </c>
      <c r="D66" s="695" t="s">
        <v>1029</v>
      </c>
      <c r="E66" s="695">
        <f>IF(B46="楼面地价",SUM(E56:E65),'数据-汇总表'!D3)</f>
        <v>27591.5</v>
      </c>
      <c r="F66" s="696">
        <f>IF(B46="楼面地价",SUM(F56:F65),ROUND(C48*E66/10000,0))</f>
        <v>17482</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2666</v>
      </c>
      <c r="B69" s="758"/>
      <c r="C69" s="763"/>
      <c r="D69" s="763"/>
      <c r="E69" s="763"/>
      <c r="F69" s="764"/>
      <c r="G69" s="764"/>
      <c r="H69" s="763"/>
      <c r="I69" s="763"/>
      <c r="J69" s="1155"/>
      <c r="K69" s="1156"/>
      <c r="L69" s="1157"/>
      <c r="M69" s="1155"/>
      <c r="N69" s="1155"/>
      <c r="O69" s="1155"/>
      <c r="P69" s="502"/>
      <c r="Q69" s="503"/>
    </row>
    <row r="70" spans="1:17" s="507" customFormat="1" ht="15">
      <c r="A70" s="2704" t="s">
        <v>2773</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6"/>
    </row>
    <row r="71" spans="1:17" s="116" customFormat="1" ht="30" customHeight="1">
      <c r="A71" s="2705" t="s">
        <v>1377</v>
      </c>
      <c r="B71" s="331" t="str">
        <f>"北京市平均增长率"&amp;TEXT(SUMIF(基准地价修正!N21:N25,A71,基准地价修正!P21:P25),"0.00%")</f>
        <v>北京市平均增长率1.57%</v>
      </c>
      <c r="C71" s="602">
        <v>100</v>
      </c>
      <c r="D71" s="594">
        <v>99</v>
      </c>
      <c r="E71" s="594">
        <v>98</v>
      </c>
      <c r="F71" s="594">
        <v>97</v>
      </c>
      <c r="G71" s="594">
        <v>96</v>
      </c>
      <c r="H71" s="594">
        <v>95</v>
      </c>
      <c r="I71" s="594">
        <v>94</v>
      </c>
      <c r="J71" s="594">
        <v>93</v>
      </c>
      <c r="K71" s="594">
        <v>92</v>
      </c>
      <c r="L71" s="594">
        <v>91</v>
      </c>
      <c r="M71" s="1563">
        <v>90</v>
      </c>
      <c r="N71" s="594">
        <v>89</v>
      </c>
      <c r="O71" s="1564">
        <v>88</v>
      </c>
      <c r="P71" s="503"/>
    </row>
    <row r="72" spans="1:17" s="116" customFormat="1" ht="15.75" thickBot="1">
      <c r="A72" s="514" t="s">
        <v>2577</v>
      </c>
      <c r="B72" s="515"/>
      <c r="C72" s="516"/>
      <c r="D72" s="517"/>
      <c r="E72" s="517"/>
      <c r="F72" s="517"/>
      <c r="G72" s="517"/>
      <c r="H72" s="517"/>
      <c r="I72" s="517"/>
      <c r="J72" s="517"/>
      <c r="K72" s="517"/>
      <c r="L72" s="517"/>
      <c r="M72" s="518"/>
      <c r="N72" s="517"/>
      <c r="O72" s="1158"/>
      <c r="P72" s="503"/>
      <c r="Q72" s="503"/>
    </row>
    <row r="73" spans="1:17" s="116" customFormat="1" ht="15">
      <c r="A73" s="520" t="s">
        <v>2542</v>
      </c>
      <c r="B73" s="509"/>
      <c r="C73" s="521" t="s">
        <v>2644</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2580</v>
      </c>
      <c r="B75" s="527" t="s">
        <v>2546</v>
      </c>
      <c r="C75" s="529"/>
      <c r="D75" s="529"/>
      <c r="E75" s="529"/>
      <c r="F75" s="529"/>
      <c r="G75" s="529"/>
      <c r="H75" s="529"/>
      <c r="I75" s="529"/>
      <c r="J75" s="529"/>
      <c r="K75" s="530"/>
      <c r="L75" s="531"/>
      <c r="M75" s="532"/>
      <c r="N75" s="1148"/>
      <c r="O75" s="1148"/>
      <c r="P75" s="45"/>
      <c r="Q75" s="503"/>
    </row>
    <row r="76" spans="1:17" ht="15.75" thickBot="1">
      <c r="A76" s="533"/>
      <c r="B76" s="534"/>
      <c r="C76" s="535"/>
      <c r="D76" s="535"/>
      <c r="E76" s="535"/>
      <c r="F76" s="535"/>
      <c r="G76" s="535"/>
      <c r="H76" s="535"/>
      <c r="I76" s="535"/>
      <c r="J76" s="535"/>
      <c r="K76" s="535"/>
      <c r="L76" s="535"/>
      <c r="M76" s="536"/>
      <c r="N76" s="1149"/>
      <c r="O76" s="1149"/>
      <c r="P76" s="45"/>
      <c r="Q76" s="503"/>
    </row>
    <row r="77" spans="1:17" ht="27.75" thickTop="1">
      <c r="A77" s="533"/>
      <c r="B77" s="537" t="s">
        <v>2549</v>
      </c>
      <c r="C77" s="538"/>
      <c r="D77" s="538"/>
      <c r="E77" s="538"/>
      <c r="F77" s="538"/>
      <c r="G77" s="538"/>
      <c r="H77" s="538"/>
      <c r="I77" s="538"/>
      <c r="J77" s="538"/>
      <c r="K77" s="539"/>
      <c r="L77" s="540"/>
      <c r="M77" s="541"/>
      <c r="N77" s="1148"/>
      <c r="O77" s="1148"/>
      <c r="P77" s="45"/>
      <c r="Q77" s="503"/>
    </row>
    <row r="78" spans="1:17" ht="15.75" thickBot="1">
      <c r="A78" s="533"/>
      <c r="B78" s="542"/>
      <c r="C78" s="543"/>
      <c r="D78" s="543"/>
      <c r="E78" s="543"/>
      <c r="F78" s="543"/>
      <c r="G78" s="543"/>
      <c r="H78" s="543"/>
      <c r="I78" s="543"/>
      <c r="J78" s="543"/>
      <c r="K78" s="543"/>
      <c r="L78" s="543"/>
      <c r="M78" s="544"/>
      <c r="N78" s="1149"/>
      <c r="O78" s="1149"/>
      <c r="P78" s="45"/>
      <c r="Q78" s="503"/>
    </row>
    <row r="79" spans="1:17" ht="15.75" thickTop="1">
      <c r="A79" s="533"/>
      <c r="B79" s="545" t="s">
        <v>2550</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9（含）-10</v>
      </c>
      <c r="M79" s="447" t="str">
        <f>M80&amp;"（含）"&amp;"-"&amp;P80</f>
        <v>10（含）-</v>
      </c>
      <c r="N79" s="1149"/>
      <c r="O79" s="1149"/>
      <c r="P79" s="45"/>
      <c r="Q79" s="503"/>
    </row>
    <row r="80" spans="1:17" ht="15">
      <c r="A80" s="533"/>
      <c r="B80" s="547"/>
      <c r="C80" s="548">
        <v>0</v>
      </c>
      <c r="D80" s="548">
        <v>1</v>
      </c>
      <c r="E80" s="548">
        <v>2</v>
      </c>
      <c r="F80" s="548">
        <v>3</v>
      </c>
      <c r="G80" s="548">
        <v>4</v>
      </c>
      <c r="H80" s="548">
        <v>5</v>
      </c>
      <c r="I80" s="548">
        <v>6</v>
      </c>
      <c r="J80" s="548">
        <v>7</v>
      </c>
      <c r="K80" s="549">
        <v>8</v>
      </c>
      <c r="L80" s="549">
        <v>9</v>
      </c>
      <c r="M80" s="551">
        <v>10</v>
      </c>
      <c r="N80" s="1148"/>
      <c r="O80" s="1148"/>
      <c r="P80" s="45"/>
      <c r="Q80" s="503"/>
    </row>
    <row r="81" spans="1:17" ht="15.75" thickBot="1">
      <c r="A81" s="533"/>
      <c r="B81" s="534"/>
      <c r="C81" s="543">
        <v>100</v>
      </c>
      <c r="D81" s="543">
        <f t="shared" ref="D81:M81" si="21">IF($B$46="单位面积地价",C81+$K11,C81-$K11)</f>
        <v>102</v>
      </c>
      <c r="E81" s="543">
        <f t="shared" si="21"/>
        <v>104</v>
      </c>
      <c r="F81" s="543">
        <f t="shared" si="21"/>
        <v>106</v>
      </c>
      <c r="G81" s="543">
        <f t="shared" si="21"/>
        <v>108</v>
      </c>
      <c r="H81" s="543">
        <f t="shared" si="21"/>
        <v>110</v>
      </c>
      <c r="I81" s="543">
        <f t="shared" si="21"/>
        <v>112</v>
      </c>
      <c r="J81" s="543">
        <f t="shared" si="21"/>
        <v>114</v>
      </c>
      <c r="K81" s="543">
        <f t="shared" si="21"/>
        <v>116</v>
      </c>
      <c r="L81" s="543">
        <f t="shared" si="21"/>
        <v>118</v>
      </c>
      <c r="M81" s="543">
        <f t="shared" si="21"/>
        <v>120</v>
      </c>
      <c r="N81" s="1149"/>
      <c r="O81" s="1149"/>
      <c r="P81" s="45"/>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75" thickTop="1">
      <c r="A90" s="533"/>
      <c r="B90" s="537" t="s">
        <v>2774</v>
      </c>
      <c r="C90" s="577" t="s">
        <v>2589</v>
      </c>
      <c r="D90" s="577" t="s">
        <v>2590</v>
      </c>
      <c r="E90" s="577" t="s">
        <v>2591</v>
      </c>
      <c r="F90" s="577" t="s">
        <v>2592</v>
      </c>
      <c r="G90" s="577" t="s">
        <v>2593</v>
      </c>
      <c r="H90" s="538"/>
      <c r="I90" s="538"/>
      <c r="J90" s="538"/>
      <c r="K90" s="539"/>
      <c r="L90" s="540"/>
      <c r="M90" s="541"/>
      <c r="N90" s="1148"/>
      <c r="O90" s="1148"/>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48"/>
      <c r="O92" s="1148"/>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48"/>
      <c r="O94" s="1148"/>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5"/>
      <c r="Q95" s="503"/>
    </row>
    <row r="96" spans="1:17" s="116" customFormat="1" ht="15.75" thickTop="1">
      <c r="A96" s="578"/>
      <c r="B96" s="537" t="s">
        <v>2775</v>
      </c>
      <c r="C96" s="577" t="s">
        <v>2589</v>
      </c>
      <c r="D96" s="577" t="s">
        <v>2590</v>
      </c>
      <c r="E96" s="577" t="s">
        <v>2591</v>
      </c>
      <c r="F96" s="577" t="s">
        <v>2592</v>
      </c>
      <c r="G96" s="577" t="s">
        <v>2593</v>
      </c>
      <c r="H96" s="577"/>
      <c r="I96" s="577"/>
      <c r="J96" s="577"/>
      <c r="K96" s="577"/>
      <c r="L96" s="697"/>
      <c r="M96" s="621"/>
      <c r="N96" s="1147"/>
      <c r="O96" s="1147"/>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5"/>
      <c r="Q97" s="503"/>
    </row>
    <row r="98" spans="1:17" s="116" customFormat="1" ht="27.75" thickTop="1">
      <c r="A98" s="578"/>
      <c r="B98" s="537" t="s">
        <v>2776</v>
      </c>
      <c r="C98" s="572" t="s">
        <v>2589</v>
      </c>
      <c r="D98" s="572" t="s">
        <v>2590</v>
      </c>
      <c r="E98" s="572" t="s">
        <v>2591</v>
      </c>
      <c r="F98" s="572" t="s">
        <v>2592</v>
      </c>
      <c r="G98" s="572" t="s">
        <v>2593</v>
      </c>
      <c r="H98" s="577"/>
      <c r="I98" s="577"/>
      <c r="J98" s="577"/>
      <c r="K98" s="577"/>
      <c r="L98" s="577"/>
      <c r="M98" s="621"/>
      <c r="N98" s="1147"/>
      <c r="O98" s="1147"/>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2777</v>
      </c>
      <c r="D104" s="538" t="s">
        <v>2778</v>
      </c>
      <c r="E104" s="538" t="s">
        <v>2779</v>
      </c>
      <c r="F104" s="538" t="s">
        <v>2780</v>
      </c>
      <c r="G104" s="538"/>
      <c r="H104" s="538"/>
      <c r="I104" s="538"/>
      <c r="J104" s="538"/>
      <c r="K104" s="539"/>
      <c r="L104" s="540"/>
      <c r="M104" s="541"/>
      <c r="N104" s="1148"/>
      <c r="O104" s="1148"/>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49"/>
      <c r="O105" s="1149"/>
      <c r="P105" s="45"/>
      <c r="Q105" s="503"/>
    </row>
    <row r="106" spans="1:17" ht="27.75" thickTop="1">
      <c r="A106" s="533"/>
      <c r="B106" s="537" t="s">
        <v>2683</v>
      </c>
      <c r="C106" s="553"/>
      <c r="D106" s="553"/>
      <c r="E106" s="553"/>
      <c r="F106" s="553"/>
      <c r="G106" s="553"/>
      <c r="H106" s="582"/>
      <c r="I106" s="582"/>
      <c r="J106" s="582"/>
      <c r="K106" s="583"/>
      <c r="L106" s="584"/>
      <c r="M106" s="585"/>
      <c r="N106" s="1148"/>
      <c r="O106" s="1148"/>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5"/>
      <c r="Q107" s="503"/>
    </row>
    <row r="108" spans="1:17" ht="15.75" thickTop="1">
      <c r="A108" s="533"/>
      <c r="B108" s="537" t="s">
        <v>2742</v>
      </c>
      <c r="C108" s="582"/>
      <c r="D108" s="582"/>
      <c r="E108" s="582"/>
      <c r="F108" s="582"/>
      <c r="G108" s="582"/>
      <c r="H108" s="582"/>
      <c r="I108" s="582"/>
      <c r="J108" s="582"/>
      <c r="K108" s="583"/>
      <c r="L108" s="584"/>
      <c r="M108" s="585"/>
      <c r="N108" s="1148"/>
      <c r="O108" s="1148"/>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5"/>
      <c r="Q109" s="503"/>
    </row>
    <row r="110" spans="1:17" ht="15.75" thickTop="1">
      <c r="A110" s="533"/>
      <c r="B110" s="545">
        <f>B35</f>
        <v>111</v>
      </c>
      <c r="C110" s="553"/>
      <c r="D110" s="553"/>
      <c r="E110" s="553"/>
      <c r="F110" s="553"/>
      <c r="G110" s="586"/>
      <c r="H110" s="586"/>
      <c r="I110" s="586"/>
      <c r="J110" s="586"/>
      <c r="K110" s="587"/>
      <c r="L110" s="588"/>
      <c r="M110" s="589"/>
      <c r="N110" s="1148"/>
      <c r="O110" s="1148"/>
      <c r="P110" s="45"/>
      <c r="Q110" s="503"/>
    </row>
    <row r="111" spans="1:17" ht="15.75" thickBot="1">
      <c r="A111" s="533"/>
      <c r="B111" s="568"/>
      <c r="C111" s="559"/>
      <c r="D111" s="559"/>
      <c r="E111" s="559"/>
      <c r="F111" s="559"/>
      <c r="G111" s="590"/>
      <c r="H111" s="590"/>
      <c r="I111" s="590"/>
      <c r="J111" s="590"/>
      <c r="K111" s="590"/>
      <c r="L111" s="590"/>
      <c r="M111" s="591"/>
      <c r="N111" s="1149"/>
      <c r="O111" s="1149"/>
      <c r="P111" s="45"/>
      <c r="Q111" s="503"/>
    </row>
    <row r="112" spans="1:17" ht="15" thickTop="1">
      <c r="A112" s="674"/>
      <c r="B112" s="537">
        <f>B36</f>
        <v>111</v>
      </c>
      <c r="C112" s="522"/>
      <c r="D112" s="522"/>
      <c r="E112" s="522"/>
      <c r="F112" s="522"/>
      <c r="G112" s="582"/>
      <c r="H112" s="582"/>
      <c r="I112" s="582"/>
      <c r="J112" s="582"/>
      <c r="K112" s="583"/>
      <c r="L112" s="584"/>
      <c r="M112" s="585"/>
      <c r="N112" s="1148"/>
      <c r="O112" s="1148"/>
      <c r="P112" s="45"/>
      <c r="Q112" s="503"/>
    </row>
    <row r="113" spans="1:17" ht="15.75" thickBot="1">
      <c r="A113" s="533"/>
      <c r="B113" s="542"/>
      <c r="C113" s="569"/>
      <c r="D113" s="569"/>
      <c r="E113" s="569"/>
      <c r="F113" s="569"/>
      <c r="G113" s="535"/>
      <c r="H113" s="535"/>
      <c r="I113" s="535"/>
      <c r="J113" s="535"/>
      <c r="K113" s="535"/>
      <c r="L113" s="535"/>
      <c r="M113" s="536"/>
      <c r="N113" s="1149"/>
      <c r="O113" s="1149"/>
      <c r="P113" s="45"/>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2555</v>
      </c>
      <c r="B116" s="527" t="s">
        <v>2781</v>
      </c>
      <c r="C116" s="528" t="str">
        <f>C117&amp;"(含)"&amp;"-"&amp;D117</f>
        <v>0(含)-50000</v>
      </c>
      <c r="D116" s="528" t="str">
        <f t="shared" ref="D116:M116" si="25">D117&amp;"(含)"&amp;"-"&amp;E117</f>
        <v>50000(含)-100000</v>
      </c>
      <c r="E116" s="528" t="str">
        <f t="shared" si="25"/>
        <v>100000(含)-150000</v>
      </c>
      <c r="F116" s="528" t="str">
        <f t="shared" si="25"/>
        <v>150000(含)-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5"/>
      <c r="Q116" s="503"/>
    </row>
    <row r="117" spans="1:17" ht="15">
      <c r="A117" s="533"/>
      <c r="B117" s="545"/>
      <c r="C117" s="594">
        <v>0</v>
      </c>
      <c r="D117" s="594">
        <v>50000</v>
      </c>
      <c r="E117" s="594">
        <v>100000</v>
      </c>
      <c r="F117" s="594">
        <v>150000</v>
      </c>
      <c r="G117" s="594"/>
      <c r="H117" s="594"/>
      <c r="I117" s="594"/>
      <c r="J117" s="595"/>
      <c r="K117" s="595"/>
      <c r="L117" s="596"/>
      <c r="M117" s="597"/>
      <c r="N117" s="1148"/>
      <c r="O117" s="1148"/>
      <c r="P117" s="45"/>
      <c r="Q117" s="503"/>
    </row>
    <row r="118" spans="1:17" ht="15.75" thickBot="1">
      <c r="A118" s="533"/>
      <c r="B118" s="542"/>
      <c r="C118" s="569">
        <v>100</v>
      </c>
      <c r="D118" s="590">
        <v>102</v>
      </c>
      <c r="E118" s="590">
        <v>104</v>
      </c>
      <c r="F118" s="590">
        <v>106</v>
      </c>
      <c r="G118" s="590"/>
      <c r="H118" s="590"/>
      <c r="I118" s="590"/>
      <c r="J118" s="590"/>
      <c r="K118" s="590"/>
      <c r="L118" s="590"/>
      <c r="M118" s="591"/>
      <c r="N118" s="1149"/>
      <c r="O118" s="1149"/>
      <c r="P118" s="45"/>
      <c r="Q118" s="503"/>
    </row>
    <row r="119" spans="1:17" ht="15" thickTop="1">
      <c r="A119" s="598"/>
      <c r="B119" s="537" t="s">
        <v>2782</v>
      </c>
      <c r="C119" s="2955" t="s">
        <v>3238</v>
      </c>
      <c r="D119" s="2955" t="s">
        <v>3240</v>
      </c>
      <c r="E119" s="2955" t="s">
        <v>3241</v>
      </c>
      <c r="F119" s="2955" t="s">
        <v>3242</v>
      </c>
      <c r="G119" s="582"/>
      <c r="H119" s="582"/>
      <c r="I119" s="582"/>
      <c r="J119" s="582"/>
      <c r="K119" s="583"/>
      <c r="L119" s="584"/>
      <c r="M119" s="585"/>
      <c r="N119" s="1148"/>
      <c r="O119" s="1148"/>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5"/>
      <c r="Q120" s="503"/>
    </row>
    <row r="121" spans="1:17" ht="15" thickTop="1">
      <c r="A121" s="598"/>
      <c r="B121" s="537" t="s">
        <v>2783</v>
      </c>
      <c r="C121" s="553"/>
      <c r="D121" s="553"/>
      <c r="E121" s="553"/>
      <c r="F121" s="582"/>
      <c r="G121" s="582"/>
      <c r="H121" s="582"/>
      <c r="I121" s="582"/>
      <c r="J121" s="582"/>
      <c r="K121" s="583"/>
      <c r="L121" s="584"/>
      <c r="M121" s="585"/>
      <c r="N121" s="1148"/>
      <c r="O121" s="1148"/>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5"/>
      <c r="Q122" s="503"/>
    </row>
    <row r="123" spans="1:17" s="470" customFormat="1" ht="15" thickTop="1">
      <c r="A123" s="592"/>
      <c r="B123" s="537" t="s">
        <v>2784</v>
      </c>
      <c r="C123" s="3006" t="s">
        <v>3340</v>
      </c>
      <c r="D123" s="3006" t="s">
        <v>3341</v>
      </c>
      <c r="E123" s="3006" t="s">
        <v>3342</v>
      </c>
      <c r="F123" s="3006" t="s">
        <v>3343</v>
      </c>
      <c r="G123" s="3006" t="s">
        <v>3345</v>
      </c>
      <c r="H123" s="582"/>
      <c r="I123" s="582"/>
      <c r="J123" s="582"/>
      <c r="K123" s="583"/>
      <c r="L123" s="584"/>
      <c r="M123" s="585"/>
      <c r="N123" s="1150"/>
      <c r="O123" s="1150"/>
      <c r="P123" s="557"/>
      <c r="Q123" s="558"/>
    </row>
    <row r="124" spans="1:17" s="470" customFormat="1" ht="15.75" thickBot="1">
      <c r="A124" s="552"/>
      <c r="B124" s="542"/>
      <c r="C124" s="543">
        <v>100</v>
      </c>
      <c r="D124" s="543">
        <f>C124-$K41</f>
        <v>99.5</v>
      </c>
      <c r="E124" s="543">
        <f t="shared" ref="E124:M124" si="28">D124-$K41</f>
        <v>99</v>
      </c>
      <c r="F124" s="543">
        <f t="shared" si="28"/>
        <v>98.5</v>
      </c>
      <c r="G124" s="543">
        <f t="shared" si="28"/>
        <v>98</v>
      </c>
      <c r="H124" s="543">
        <f t="shared" si="28"/>
        <v>97.5</v>
      </c>
      <c r="I124" s="543">
        <f t="shared" si="28"/>
        <v>97</v>
      </c>
      <c r="J124" s="543">
        <f t="shared" si="28"/>
        <v>96.5</v>
      </c>
      <c r="K124" s="543">
        <f t="shared" si="28"/>
        <v>96</v>
      </c>
      <c r="L124" s="543">
        <f t="shared" si="28"/>
        <v>95.5</v>
      </c>
      <c r="M124" s="544">
        <f t="shared" si="28"/>
        <v>95</v>
      </c>
      <c r="N124" s="1150"/>
      <c r="O124" s="1150"/>
      <c r="P124" s="557"/>
      <c r="Q124" s="558"/>
    </row>
    <row r="125" spans="1:17" ht="15" thickTop="1">
      <c r="A125" s="598"/>
      <c r="B125" s="537" t="s">
        <v>2785</v>
      </c>
      <c r="C125" s="553"/>
      <c r="D125" s="553"/>
      <c r="E125" s="582"/>
      <c r="F125" s="582"/>
      <c r="G125" s="582"/>
      <c r="H125" s="582"/>
      <c r="I125" s="582"/>
      <c r="J125" s="582"/>
      <c r="K125" s="583"/>
      <c r="L125" s="584"/>
      <c r="M125" s="585"/>
      <c r="N125" s="1148"/>
      <c r="O125" s="1148"/>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5"/>
      <c r="Q126" s="503"/>
    </row>
    <row r="127" spans="1:17" ht="15" thickTop="1">
      <c r="A127" s="598"/>
      <c r="B127" s="537">
        <f>B43</f>
        <v>111</v>
      </c>
      <c r="C127" s="553"/>
      <c r="D127" s="553"/>
      <c r="E127" s="553"/>
      <c r="F127" s="553"/>
      <c r="G127" s="553"/>
      <c r="H127" s="582"/>
      <c r="I127" s="582"/>
      <c r="J127" s="582"/>
      <c r="K127" s="583"/>
      <c r="L127" s="584"/>
      <c r="M127" s="585"/>
      <c r="N127" s="1148"/>
      <c r="O127" s="1148"/>
      <c r="P127" s="45"/>
      <c r="Q127" s="503"/>
    </row>
    <row r="128" spans="1:17" ht="15.75" thickBot="1">
      <c r="A128" s="533"/>
      <c r="B128" s="542"/>
      <c r="C128" s="559"/>
      <c r="D128" s="559"/>
      <c r="E128" s="559"/>
      <c r="F128" s="559"/>
      <c r="G128" s="535"/>
      <c r="H128" s="535"/>
      <c r="I128" s="535"/>
      <c r="J128" s="535"/>
      <c r="K128" s="535"/>
      <c r="L128" s="535"/>
      <c r="M128" s="536"/>
      <c r="N128" s="1149"/>
      <c r="O128" s="1149"/>
      <c r="P128" s="45"/>
      <c r="Q128" s="503"/>
    </row>
    <row r="129" spans="1:17" ht="15" thickTop="1">
      <c r="A129" s="598"/>
      <c r="B129" s="537">
        <f>B44</f>
        <v>111</v>
      </c>
      <c r="C129" s="522"/>
      <c r="D129" s="522"/>
      <c r="E129" s="522"/>
      <c r="F129" s="522"/>
      <c r="G129" s="582"/>
      <c r="H129" s="582"/>
      <c r="I129" s="582"/>
      <c r="J129" s="582"/>
      <c r="K129" s="583"/>
      <c r="L129" s="584"/>
      <c r="M129" s="585"/>
      <c r="N129" s="1148"/>
      <c r="O129" s="1148"/>
      <c r="P129" s="45"/>
      <c r="Q129" s="503"/>
    </row>
    <row r="130" spans="1:17" ht="15.75" thickBot="1">
      <c r="A130" s="533"/>
      <c r="B130" s="542"/>
      <c r="C130" s="569"/>
      <c r="D130" s="569"/>
      <c r="E130" s="569"/>
      <c r="F130" s="569"/>
      <c r="G130" s="535"/>
      <c r="H130" s="535"/>
      <c r="I130" s="535"/>
      <c r="J130" s="535"/>
      <c r="K130" s="535"/>
      <c r="L130" s="535"/>
      <c r="M130" s="536"/>
      <c r="N130" s="1149"/>
      <c r="O130" s="1149"/>
      <c r="P130" s="45"/>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57" priority="14" stopIfTrue="1" operator="containsText" text="超过">
      <formula>NOT(ISERROR(SEARCH("超过",F51)))</formula>
    </cfRule>
  </conditionalFormatting>
  <conditionalFormatting sqref="J53">
    <cfRule type="containsText" dxfId="156" priority="13" stopIfTrue="1" operator="containsText" text="超过">
      <formula>NOT(ISERROR(SEARCH("超过",J53)))</formula>
    </cfRule>
  </conditionalFormatting>
  <conditionalFormatting sqref="H53">
    <cfRule type="containsText" dxfId="155" priority="12" stopIfTrue="1" operator="containsText" text="超过">
      <formula>NOT(ISERROR(SEARCH("超过",H53)))</formula>
    </cfRule>
  </conditionalFormatting>
  <conditionalFormatting sqref="F53">
    <cfRule type="containsText" dxfId="154" priority="11" stopIfTrue="1" operator="containsText" text="超过">
      <formula>NOT(ISERROR(SEARCH("超过",F53)))</formula>
    </cfRule>
  </conditionalFormatting>
  <conditionalFormatting sqref="F52 H52 J52">
    <cfRule type="containsText" dxfId="153" priority="10" stopIfTrue="1" operator="containsText" text="超过">
      <formula>NOT(ISERROR(SEARCH("超过",F52)))</formula>
    </cfRule>
  </conditionalFormatting>
  <conditionalFormatting sqref="E51">
    <cfRule type="expression" dxfId="152" priority="9" stopIfTrue="1">
      <formula>$F$51="超过30%"</formula>
    </cfRule>
  </conditionalFormatting>
  <conditionalFormatting sqref="G53">
    <cfRule type="expression" dxfId="151" priority="8" stopIfTrue="1">
      <formula>$H$53="超过30%"</formula>
    </cfRule>
  </conditionalFormatting>
  <conditionalFormatting sqref="E52">
    <cfRule type="expression" dxfId="150" priority="7" stopIfTrue="1">
      <formula>$F$52="超过20%"</formula>
    </cfRule>
  </conditionalFormatting>
  <conditionalFormatting sqref="E53">
    <cfRule type="expression" dxfId="149" priority="6" stopIfTrue="1">
      <formula>$F$53="超过30%"</formula>
    </cfRule>
  </conditionalFormatting>
  <conditionalFormatting sqref="G51">
    <cfRule type="expression" dxfId="148" priority="5" stopIfTrue="1">
      <formula>$H$53+$H$51="超过30%"</formula>
    </cfRule>
  </conditionalFormatting>
  <conditionalFormatting sqref="G52">
    <cfRule type="expression" dxfId="147" priority="4" stopIfTrue="1">
      <formula>$H$52="超过20%"</formula>
    </cfRule>
  </conditionalFormatting>
  <conditionalFormatting sqref="I51">
    <cfRule type="expression" dxfId="146" priority="3" stopIfTrue="1">
      <formula>$J$51="超过30%"</formula>
    </cfRule>
  </conditionalFormatting>
  <conditionalFormatting sqref="I52">
    <cfRule type="expression" dxfId="145" priority="2" stopIfTrue="1">
      <formula>$J$52="超过20%"</formula>
    </cfRule>
  </conditionalFormatting>
  <conditionalFormatting sqref="I53">
    <cfRule type="expression" dxfId="1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2451</v>
      </c>
      <c r="B1" s="1577"/>
      <c r="C1" s="1578"/>
      <c r="D1" s="1576"/>
      <c r="E1" s="319"/>
      <c r="F1" s="319"/>
      <c r="G1" s="1577"/>
      <c r="H1" s="319"/>
      <c r="I1" s="319"/>
      <c r="J1" s="319"/>
      <c r="K1" s="319">
        <f>MATCH(C1,'数据-取费表'!A6:A16,0)+5</f>
        <v>12</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2" customFormat="1" ht="16.5" customHeight="1">
      <c r="A4" s="949" t="s">
        <v>2454</v>
      </c>
      <c r="B4" s="950"/>
      <c r="C4" s="992">
        <f>SUM(C8:K8)</f>
        <v>0</v>
      </c>
      <c r="D4" s="950"/>
      <c r="E4" s="950"/>
      <c r="F4" s="950"/>
      <c r="G4" s="950"/>
      <c r="H4" s="950"/>
      <c r="I4" s="950"/>
      <c r="J4" s="950"/>
      <c r="K4" s="951"/>
    </row>
    <row r="5" spans="1:33" s="956" customFormat="1" ht="24.75">
      <c r="A5" s="953" t="s">
        <v>2455</v>
      </c>
      <c r="B5" s="954" t="s">
        <v>2456</v>
      </c>
      <c r="C5" s="2547" t="s">
        <v>2457</v>
      </c>
      <c r="D5" s="2547" t="s">
        <v>2458</v>
      </c>
      <c r="E5" s="2547" t="s">
        <v>2459</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2460</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27986.240000000002</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2463</v>
      </c>
      <c r="B8" s="176" t="s">
        <v>2464</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2465</v>
      </c>
      <c r="B9" s="950"/>
      <c r="C9" s="950"/>
      <c r="D9" s="950"/>
      <c r="E9" s="950"/>
      <c r="F9" s="950"/>
      <c r="G9" s="950"/>
      <c r="H9" s="950"/>
      <c r="I9" s="950"/>
      <c r="J9" s="950"/>
      <c r="K9" s="951"/>
    </row>
    <row r="10" spans="1:33" s="966" customFormat="1" ht="13.5" customHeight="1">
      <c r="A10" s="953" t="s">
        <v>2466</v>
      </c>
      <c r="B10" s="8" t="s">
        <v>2467</v>
      </c>
      <c r="C10" s="962" t="s">
        <v>2468</v>
      </c>
      <c r="D10" s="963" t="s">
        <v>2469</v>
      </c>
      <c r="E10" s="963" t="s">
        <v>2470</v>
      </c>
      <c r="F10" s="963" t="s">
        <v>2471</v>
      </c>
      <c r="G10" s="8"/>
      <c r="H10" s="964"/>
      <c r="I10" s="964"/>
      <c r="J10" s="964"/>
      <c r="K10" s="965"/>
    </row>
    <row r="11" spans="1:33" s="971" customFormat="1" ht="13.5" customHeight="1">
      <c r="A11" s="967" t="s">
        <v>1334</v>
      </c>
      <c r="B11" s="968" t="s">
        <v>2472</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2473</v>
      </c>
      <c r="C12" s="24">
        <f ca="1">ROUND(C11*F12,0)</f>
        <v>0</v>
      </c>
      <c r="D12" s="969"/>
      <c r="E12" s="374"/>
      <c r="F12" s="972">
        <f>'数据-取费表'!B33</f>
        <v>0.03</v>
      </c>
      <c r="G12" s="8" t="s">
        <v>2474</v>
      </c>
      <c r="H12" s="964"/>
      <c r="I12" s="964"/>
      <c r="J12" s="964"/>
      <c r="K12" s="965"/>
    </row>
    <row r="13" spans="1:33" s="971" customFormat="1" ht="13.5" customHeight="1">
      <c r="A13" s="967" t="s">
        <v>1336</v>
      </c>
      <c r="B13" s="968" t="s">
        <v>2475</v>
      </c>
      <c r="C13" s="24">
        <f ca="1">ROUND(IF(C1="",SUMIF('数据-取费表'!C:C,"住宅",'数据-取费表'!P:P)*F13,IF(INDIRECT("'数据-取费表'!c"&amp;$K$1)="住宅",INDIRECT("'数据-取费表'!P"&amp;$K$1)*F13,0)),0)</f>
        <v>0</v>
      </c>
      <c r="D13" s="1029"/>
      <c r="E13" s="374"/>
      <c r="F13" s="972">
        <f>'数据-取费表'!B34</f>
        <v>0</v>
      </c>
      <c r="G13" s="8" t="s">
        <v>2476</v>
      </c>
      <c r="H13" s="964"/>
      <c r="I13" s="964"/>
      <c r="J13" s="964"/>
      <c r="K13" s="965"/>
    </row>
    <row r="14" spans="1:33" s="973" customFormat="1" ht="13.5" customHeight="1">
      <c r="A14" s="967" t="s">
        <v>1337</v>
      </c>
      <c r="B14" s="968" t="s">
        <v>2477</v>
      </c>
      <c r="C14" s="24">
        <f ca="1">ROUND(D14*E14*F11/10000,0)</f>
        <v>0</v>
      </c>
      <c r="D14" s="1029">
        <f ca="1">IF(C1="",'数据-汇总表'!E3,INDIRECT("'数据-取费表'!K"&amp;$K$1)+INDIRECT("'数据-取费表'!S"&amp;$K$1))</f>
        <v>111646.95</v>
      </c>
      <c r="E14" s="24">
        <f>'数据-取费表'!B35</f>
        <v>200</v>
      </c>
      <c r="F14" s="972"/>
      <c r="G14" s="8" t="s">
        <v>2478</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2479</v>
      </c>
      <c r="C15" s="979">
        <f ca="1">ROUND(C11*F15,0)</f>
        <v>0</v>
      </c>
      <c r="D15" s="974"/>
      <c r="E15" s="979"/>
      <c r="F15" s="980">
        <f>'数据-取费表'!B36</f>
        <v>1.4999999999999999E-2</v>
      </c>
      <c r="G15" s="139" t="s">
        <v>2480</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2481</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2482</v>
      </c>
      <c r="C17" s="24">
        <f ca="1">ROUND(D17*E17/10000,0)</f>
        <v>0</v>
      </c>
      <c r="D17" s="1029">
        <f ca="1">D14</f>
        <v>111646.95</v>
      </c>
      <c r="E17" s="24">
        <f>'数据-取费表'!B32</f>
        <v>0</v>
      </c>
      <c r="F17" s="974"/>
      <c r="G17" s="139" t="s">
        <v>2483</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2484</v>
      </c>
      <c r="C18" s="24">
        <f ca="1">C19+C20-IF(C1="",'数据-取费表'!B29,IF(G18="已全部缴纳",C19+C20,H18))</f>
        <v>0</v>
      </c>
      <c r="D18" s="1029"/>
      <c r="E18" s="24"/>
      <c r="F18" s="972"/>
      <c r="G18" s="2549"/>
      <c r="H18" s="1573"/>
      <c r="I18" s="2550" t="s">
        <v>2485</v>
      </c>
      <c r="J18" s="975"/>
      <c r="K18" s="976"/>
    </row>
    <row r="19" spans="1:33" s="971" customFormat="1" ht="13.5" customHeight="1">
      <c r="A19" s="967" t="s">
        <v>805</v>
      </c>
      <c r="B19" s="968" t="s">
        <v>2486</v>
      </c>
      <c r="C19" s="24">
        <f ca="1">ROUND(D19*E19/10000,0)</f>
        <v>0</v>
      </c>
      <c r="D19" s="1029">
        <f ca="1">IF(C1="",'数据-汇总表'!E5,IF(INDIRECT("'数据-取费表'!c"&amp;$K$1)="住宅",INDIRECT("'数据-取费表'!k"&amp;$K$1),0))</f>
        <v>0</v>
      </c>
      <c r="E19" s="24">
        <f>'数据-取费表'!B27</f>
        <v>0</v>
      </c>
      <c r="F19" s="972"/>
      <c r="G19" s="15"/>
      <c r="H19" s="1575"/>
      <c r="I19" s="977"/>
      <c r="J19" s="977"/>
      <c r="K19" s="978"/>
    </row>
    <row r="20" spans="1:33" s="971" customFormat="1" ht="13.5" customHeight="1">
      <c r="A20" s="967" t="s">
        <v>806</v>
      </c>
      <c r="B20" s="968" t="s">
        <v>2487</v>
      </c>
      <c r="C20" s="24">
        <f ca="1">ROUND(D20*E20/10000,0)</f>
        <v>2568</v>
      </c>
      <c r="D20" s="1029">
        <f ca="1">IF(C1="",'数据-汇总表'!E6,IF(INDIRECT("'数据-取费表'!c"&amp;$K$1)="住宅",INDIRECT("'数据-取费表'!s"&amp;$K$1),INDIRECT("'数据-取费表'!k"&amp;$K$1)+INDIRECT("'数据-取费表'!s"&amp;$K$1)))</f>
        <v>111646.95</v>
      </c>
      <c r="E20" s="24">
        <f>'数据-取费表'!B28</f>
        <v>230</v>
      </c>
      <c r="F20" s="972"/>
      <c r="G20" s="15"/>
      <c r="H20" s="977"/>
      <c r="I20" s="977"/>
      <c r="J20" s="977"/>
      <c r="K20" s="978"/>
    </row>
    <row r="21" spans="1:33" s="971" customFormat="1" ht="13.5" customHeight="1">
      <c r="A21" s="957" t="s">
        <v>802</v>
      </c>
      <c r="B21" s="981" t="s">
        <v>2488</v>
      </c>
      <c r="C21" s="982">
        <f ca="1">C16+C17+C18</f>
        <v>0</v>
      </c>
      <c r="D21" s="983"/>
      <c r="E21" s="324"/>
      <c r="F21" s="324"/>
      <c r="G21" s="139" t="s">
        <v>2489</v>
      </c>
      <c r="H21" s="975"/>
      <c r="I21" s="975"/>
      <c r="J21" s="975"/>
      <c r="K21" s="976"/>
    </row>
    <row r="22" spans="1:33" s="971" customFormat="1" ht="13.5" customHeight="1">
      <c r="A22" s="957" t="s">
        <v>2461</v>
      </c>
      <c r="B22" s="981" t="s">
        <v>2490</v>
      </c>
      <c r="C22" s="982">
        <f ca="1">ROUND(C21*F22,0)</f>
        <v>0</v>
      </c>
      <c r="D22" s="324"/>
      <c r="E22" s="324"/>
      <c r="F22" s="984">
        <f>'数据-取费表'!B37</f>
        <v>0.02</v>
      </c>
      <c r="G22" s="8" t="s">
        <v>2491</v>
      </c>
      <c r="H22" s="964"/>
      <c r="I22" s="964"/>
      <c r="J22" s="964"/>
      <c r="K22" s="965"/>
    </row>
    <row r="23" spans="1:33" s="971" customFormat="1" ht="13.5" customHeight="1">
      <c r="A23" s="957" t="s">
        <v>2463</v>
      </c>
      <c r="B23" s="981" t="s">
        <v>2492</v>
      </c>
      <c r="C23" s="982">
        <f ca="1">ROUND(C4*F23*F11,0)</f>
        <v>0</v>
      </c>
      <c r="D23" s="324"/>
      <c r="E23" s="324"/>
      <c r="F23" s="984">
        <f>'数据-取费表'!B38</f>
        <v>0.02</v>
      </c>
      <c r="G23" s="8" t="s">
        <v>2493</v>
      </c>
      <c r="H23" s="964"/>
      <c r="I23" s="964"/>
      <c r="J23" s="964"/>
      <c r="K23" s="965"/>
    </row>
    <row r="24" spans="1:33" s="971" customFormat="1" ht="13.5" customHeight="1">
      <c r="A24" s="957" t="s">
        <v>2494</v>
      </c>
      <c r="B24" s="981" t="s">
        <v>2495</v>
      </c>
      <c r="C24" s="323">
        <f>ROUND(F24/(1+'数据-取费表'!C42),4)</f>
        <v>2.9000000000000001E-2</v>
      </c>
      <c r="D24" s="324" t="s">
        <v>15</v>
      </c>
      <c r="E24" s="324"/>
      <c r="F24" s="984">
        <f>'数据-取费表'!B48+'数据-取费表'!B49</f>
        <v>3.0499999999999999E-2</v>
      </c>
      <c r="G24" s="8" t="s">
        <v>2496</v>
      </c>
      <c r="H24" s="986"/>
      <c r="I24" s="986"/>
      <c r="J24" s="986"/>
      <c r="K24" s="987"/>
    </row>
    <row r="25" spans="1:33" s="971" customFormat="1" ht="13.5" customHeight="1">
      <c r="A25" s="957" t="s">
        <v>2497</v>
      </c>
      <c r="B25" s="983" t="s">
        <v>2498</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2499</v>
      </c>
      <c r="C26" s="1353">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2500</v>
      </c>
      <c r="C27" s="1354">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2501</v>
      </c>
      <c r="B28" s="2552" t="s">
        <v>2502</v>
      </c>
      <c r="C28" s="330">
        <f ca="1">C30</f>
        <v>0</v>
      </c>
      <c r="D28" s="323">
        <f ca="1">C29</f>
        <v>0</v>
      </c>
      <c r="E28" s="325" t="s">
        <v>15</v>
      </c>
      <c r="F28" s="331">
        <f ca="1">IF(C1="",'数据-取费表'!Q16,INDIRECT("'数据-取费表'!q"&amp;$K$1))</f>
        <v>0.21</v>
      </c>
      <c r="G28" s="985"/>
      <c r="H28" s="986"/>
      <c r="I28" s="986"/>
      <c r="J28" s="986"/>
      <c r="K28" s="987"/>
    </row>
    <row r="29" spans="1:33" s="334" customFormat="1" ht="13.5" customHeight="1">
      <c r="A29" s="967" t="s">
        <v>803</v>
      </c>
      <c r="B29" s="990" t="s">
        <v>2503</v>
      </c>
      <c r="C29" s="327">
        <f ca="1">ROUND((1+C24)*F28*'数据-取费表'!B24/'数据-取费表'!B20,4)</f>
        <v>0</v>
      </c>
      <c r="D29" s="327"/>
      <c r="E29" s="328"/>
      <c r="F29" s="333"/>
      <c r="G29" s="139" t="s">
        <v>2504</v>
      </c>
      <c r="H29" s="975"/>
      <c r="I29" s="975"/>
      <c r="J29" s="975"/>
      <c r="K29" s="976"/>
    </row>
    <row r="30" spans="1:33" s="334" customFormat="1" ht="13.5" customHeight="1">
      <c r="A30" s="967" t="s">
        <v>804</v>
      </c>
      <c r="B30" s="990" t="s">
        <v>2505</v>
      </c>
      <c r="C30" s="335">
        <f ca="1">ROUND((C21+C22+C23)*F28,0)</f>
        <v>0</v>
      </c>
      <c r="D30" s="327"/>
      <c r="E30" s="328"/>
      <c r="F30" s="333"/>
      <c r="G30" s="139"/>
      <c r="H30" s="975"/>
      <c r="I30" s="975"/>
      <c r="J30" s="975"/>
      <c r="K30" s="976"/>
    </row>
    <row r="31" spans="1:33" s="971" customFormat="1" ht="13.5" customHeight="1" thickBot="1">
      <c r="A31" s="2553" t="s">
        <v>2506</v>
      </c>
      <c r="B31" s="1001" t="s">
        <v>2507</v>
      </c>
      <c r="C31" s="1002">
        <f>ROUND(C4*F31/(1+'数据-取费表'!C42),0)</f>
        <v>0</v>
      </c>
      <c r="D31" s="1003"/>
      <c r="E31" s="1004"/>
      <c r="F31" s="1005">
        <f>'数据-取费表'!B41</f>
        <v>5.6000000000000001E-2</v>
      </c>
      <c r="G31" s="1006" t="s">
        <v>2508</v>
      </c>
      <c r="H31" s="1007"/>
      <c r="I31" s="1007"/>
      <c r="J31" s="1007"/>
      <c r="K31" s="1008"/>
    </row>
    <row r="32" spans="1:33" s="966" customFormat="1" ht="13.5" customHeight="1" thickBot="1">
      <c r="A32" s="996" t="s">
        <v>2509</v>
      </c>
      <c r="B32" s="997"/>
      <c r="C32" s="998">
        <f ca="1">ROUND((C4-C21-C22-C23-C25-C28-C31)/(1+C24+D25+D28),0)</f>
        <v>0</v>
      </c>
      <c r="D32" s="997"/>
      <c r="E32" s="997"/>
      <c r="F32" s="997"/>
      <c r="G32" s="999" t="s">
        <v>2510</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7" sqref="B17"/>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4" t="s">
        <v>2518</v>
      </c>
      <c r="B1" s="2555"/>
      <c r="C1" s="2555"/>
      <c r="D1" s="2555"/>
      <c r="E1" s="2556"/>
    </row>
    <row r="2" spans="1:6" ht="15.75">
      <c r="A2" s="2557" t="s">
        <v>2319</v>
      </c>
      <c r="B2" s="2558">
        <f ca="1">SUMIF(B6:B13,"&lt;&gt;#ref!",B6:B13)</f>
        <v>132244</v>
      </c>
      <c r="C2" s="2559" t="s">
        <v>2511</v>
      </c>
      <c r="D2" s="2560" t="s">
        <v>2512</v>
      </c>
      <c r="E2" s="2561">
        <f>SUM(E6:E13)</f>
        <v>111646.94</v>
      </c>
    </row>
    <row r="3" spans="1:6" ht="15.75">
      <c r="A3" s="2557" t="s">
        <v>1395</v>
      </c>
      <c r="B3" s="2558">
        <f ca="1">ROUND(B2*10000/E2,0)</f>
        <v>11845</v>
      </c>
      <c r="C3" s="2559" t="s">
        <v>2519</v>
      </c>
      <c r="D3" s="2562"/>
      <c r="E3" s="2563"/>
    </row>
    <row r="4" spans="1:6" ht="15.75">
      <c r="A4" s="2564"/>
      <c r="B4" s="2562"/>
      <c r="C4" s="2562"/>
      <c r="D4" s="2562"/>
      <c r="E4" s="2563"/>
    </row>
    <row r="5" spans="1:6" ht="15">
      <c r="A5" s="2565" t="s">
        <v>2513</v>
      </c>
      <c r="B5" s="3245" t="s">
        <v>2514</v>
      </c>
      <c r="C5" s="3245"/>
      <c r="D5" s="2566"/>
      <c r="E5" s="2567" t="s">
        <v>2515</v>
      </c>
      <c r="F5" s="2568" t="s">
        <v>2516</v>
      </c>
    </row>
    <row r="6" spans="1:6">
      <c r="A6" s="2569" t="str">
        <f>'数据-取费表'!AN6</f>
        <v>收益法（商业街）</v>
      </c>
      <c r="B6" s="2568">
        <f ca="1">IF(F6="是",'数据-取费表'!AO6,0)</f>
        <v>24597</v>
      </c>
      <c r="C6" s="2559" t="s">
        <v>2511</v>
      </c>
      <c r="D6" s="2562"/>
      <c r="E6" s="2570">
        <f>IF(OR(A6=0,F6="否"),0,'数据-取费表'!K6+'数据-取费表'!S6)</f>
        <v>12786.029999999999</v>
      </c>
      <c r="F6" s="2571" t="s">
        <v>2517</v>
      </c>
    </row>
    <row r="7" spans="1:6">
      <c r="A7" s="2569" t="str">
        <f>'数据-取费表'!AN7</f>
        <v>收益法 (loft办公)</v>
      </c>
      <c r="B7" s="2568">
        <f ca="1">IF(F7="是",'数据-取费表'!AO7,0)</f>
        <v>13895</v>
      </c>
      <c r="C7" s="2559" t="s">
        <v>2511</v>
      </c>
      <c r="D7" s="2562"/>
      <c r="E7" s="2570">
        <f>IF(OR(A7=0,F7="否"),0,'数据-取费表'!K7+'数据-取费表'!S7)</f>
        <v>8736.529999999997</v>
      </c>
      <c r="F7" s="2571" t="s">
        <v>2517</v>
      </c>
    </row>
    <row r="8" spans="1:6">
      <c r="A8" s="2569" t="str">
        <f>'数据-取费表'!AN8</f>
        <v>收益法（公寓）</v>
      </c>
      <c r="B8" s="2568">
        <f ca="1">IF(F8="是",'数据-取费表'!AO8,0)</f>
        <v>22096</v>
      </c>
      <c r="C8" s="2559" t="s">
        <v>2511</v>
      </c>
      <c r="D8" s="2562"/>
      <c r="E8" s="2570">
        <f>IF(OR(A8=0,F8="否"),0,'数据-取费表'!K8+'数据-取费表'!S8)</f>
        <v>16832.98</v>
      </c>
      <c r="F8" s="2571" t="s">
        <v>2517</v>
      </c>
    </row>
    <row r="9" spans="1:6">
      <c r="A9" s="2569" t="str">
        <f>'数据-取费表'!AN9</f>
        <v>收益法（地下车库）</v>
      </c>
      <c r="B9" s="2568">
        <f ca="1">IF(F9="是",'数据-取费表'!AO9,0)</f>
        <v>11281</v>
      </c>
      <c r="C9" s="2559" t="s">
        <v>2511</v>
      </c>
      <c r="D9" s="2562"/>
      <c r="E9" s="2570">
        <f>IF(OR(A9=0,F9="否"),0,'数据-取费表'!K9+'数据-取费表'!S9)</f>
        <v>29933.640000000003</v>
      </c>
      <c r="F9" s="2571" t="s">
        <v>2517</v>
      </c>
    </row>
    <row r="10" spans="1:6">
      <c r="A10" s="2569" t="str">
        <f>'数据-取费表'!AN10</f>
        <v>收益法（地下商业）</v>
      </c>
      <c r="B10" s="2568">
        <f ca="1">IF(F10="是",'数据-取费表'!AO10,0)</f>
        <v>13760</v>
      </c>
      <c r="C10" s="2559" t="s">
        <v>2511</v>
      </c>
      <c r="D10" s="2562"/>
      <c r="E10" s="2570">
        <f>IF(OR(A10=0,F10="否"),0,'数据-取费表'!K10+'数据-取费表'!S10)</f>
        <v>12212.54</v>
      </c>
      <c r="F10" s="2571" t="s">
        <v>2517</v>
      </c>
    </row>
    <row r="11" spans="1:6">
      <c r="A11" s="2569" t="str">
        <f>'数据-取费表'!AN11</f>
        <v>收益法（商场）</v>
      </c>
      <c r="B11" s="2568">
        <f ca="1">IF(F11="是",'数据-取费表'!AO11,0)</f>
        <v>46615</v>
      </c>
      <c r="C11" s="2559" t="s">
        <v>2511</v>
      </c>
      <c r="D11" s="2562"/>
      <c r="E11" s="2570">
        <f>IF(OR(A11=0,F11="否"),0,'数据-取费表'!K11+'数据-取费表'!S11)</f>
        <v>31145.22</v>
      </c>
      <c r="F11" s="2571" t="s">
        <v>2517</v>
      </c>
    </row>
    <row r="12" spans="1:6">
      <c r="A12" s="2569">
        <f>'数据-取费表'!AN12</f>
        <v>0</v>
      </c>
      <c r="B12" s="2568">
        <f>IF(F12="是",'数据-取费表'!AO12,0)</f>
        <v>0</v>
      </c>
      <c r="C12" s="2559" t="s">
        <v>2511</v>
      </c>
      <c r="D12" s="2562"/>
      <c r="E12" s="2570">
        <f>IF(OR(A12=0,F12="否"),0,'数据-取费表'!K12+'数据-取费表'!S12)</f>
        <v>0</v>
      </c>
      <c r="F12" s="2571" t="s">
        <v>3198</v>
      </c>
    </row>
    <row r="13" spans="1:6" ht="15" thickBot="1">
      <c r="A13" s="2572">
        <f>'数据-取费表'!AN13</f>
        <v>0</v>
      </c>
      <c r="B13" s="2568">
        <f>IF(F13="是",'数据-取费表'!AO13,0)</f>
        <v>0</v>
      </c>
      <c r="C13" s="2573" t="s">
        <v>2511</v>
      </c>
      <c r="D13" s="2574"/>
      <c r="E13" s="2570">
        <f>IF(OR(A13=0,F13="否"),0,'数据-取费表'!K13+'数据-取费表'!S13)</f>
        <v>0</v>
      </c>
      <c r="F13" s="2571" t="s">
        <v>3198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3" sqref="B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3286</v>
      </c>
      <c r="D1" s="1816" t="s">
        <v>70</v>
      </c>
      <c r="E1" s="1817" t="s">
        <v>1387</v>
      </c>
      <c r="F1" s="1279">
        <f ca="1">J53</f>
        <v>35.729999999999997</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24597</v>
      </c>
      <c r="C2" s="1841" t="s">
        <v>1516</v>
      </c>
      <c r="D2" s="1841"/>
      <c r="E2" s="1842"/>
      <c r="F2" s="1843"/>
      <c r="G2" s="1844"/>
      <c r="H2" s="1836"/>
      <c r="I2" s="1836"/>
      <c r="J2" s="1836"/>
      <c r="K2" s="1837"/>
      <c r="L2" s="1836"/>
      <c r="M2" s="1836"/>
    </row>
    <row r="3" spans="1:37" ht="18" customHeight="1" thickBot="1">
      <c r="A3" s="1845" t="s">
        <v>1517</v>
      </c>
      <c r="B3" s="1846">
        <f ca="1">IF(ISERROR(B2*10000/F43),0,ROUND(B2*10000/F43,0))</f>
        <v>20576</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1486</v>
      </c>
      <c r="D5" s="1818" t="s">
        <v>1402</v>
      </c>
      <c r="E5" s="1289"/>
      <c r="F5" s="1290"/>
      <c r="G5" s="1847"/>
      <c r="H5" s="343">
        <v>1</v>
      </c>
      <c r="I5" s="344" t="s">
        <v>1401</v>
      </c>
      <c r="J5" s="1288">
        <f ca="1">J6+J10+J12</f>
        <v>0</v>
      </c>
      <c r="K5" s="1818" t="s">
        <v>1402</v>
      </c>
      <c r="L5" s="1289"/>
      <c r="M5" s="1290"/>
    </row>
    <row r="6" spans="1:37" ht="18" customHeight="1">
      <c r="A6" s="1287" t="s">
        <v>1035</v>
      </c>
      <c r="B6" s="3248" t="s">
        <v>1403</v>
      </c>
      <c r="C6" s="1292">
        <f ca="1">ROUND(F6*F8*F7*(1-F9)/10000,0)</f>
        <v>1484</v>
      </c>
      <c r="D6" s="163" t="s">
        <v>3024</v>
      </c>
      <c r="E6" s="346" t="s">
        <v>1405</v>
      </c>
      <c r="F6" s="347">
        <f ca="1">INDIRECT("'数据-取费表'!u"&amp;$G$1)</f>
        <v>4</v>
      </c>
      <c r="G6" s="1847"/>
      <c r="H6" s="1287" t="s">
        <v>1035</v>
      </c>
      <c r="I6" s="3248" t="s">
        <v>1403</v>
      </c>
      <c r="J6" s="345">
        <f ca="1">ROUND(M6*M8*M7*(1-M9)/10000,0)</f>
        <v>0</v>
      </c>
      <c r="K6" s="163" t="s">
        <v>3023</v>
      </c>
      <c r="L6" s="346" t="s">
        <v>1405</v>
      </c>
      <c r="M6" s="347">
        <f ca="1">INDIRECT("'数据-取费表'!z"&amp;$G$1)</f>
        <v>0</v>
      </c>
    </row>
    <row r="7" spans="1:37" ht="18" customHeight="1">
      <c r="A7" s="1291"/>
      <c r="B7" s="3249"/>
      <c r="C7" s="1293"/>
      <c r="D7" s="351"/>
      <c r="E7" s="1294" t="s">
        <v>1406</v>
      </c>
      <c r="F7" s="347">
        <f ca="1">IF(INDIRECT("'数据-取费表'!ah"&amp;$G$1)="",INDIRECT("'数据-取费表'!k"&amp;$G$1),INDIRECT("'数据-取费表'!ah"&amp;$G$1))</f>
        <v>11954.21</v>
      </c>
      <c r="G7" s="1847"/>
      <c r="H7" s="348"/>
      <c r="I7" s="3249"/>
      <c r="J7" s="350"/>
      <c r="K7" s="351"/>
      <c r="L7" s="346" t="s">
        <v>1406</v>
      </c>
      <c r="M7" s="347">
        <f ca="1">F7</f>
        <v>11954.21</v>
      </c>
    </row>
    <row r="8" spans="1:37" ht="18" customHeight="1">
      <c r="A8" s="348"/>
      <c r="B8" s="3249"/>
      <c r="C8" s="350"/>
      <c r="D8" s="351"/>
      <c r="E8" s="346" t="s">
        <v>1407</v>
      </c>
      <c r="F8" s="347">
        <f ca="1">INDIRECT("'数据-取费表'!ai"&amp;$G$1)</f>
        <v>365</v>
      </c>
      <c r="G8" s="1847"/>
      <c r="H8" s="348"/>
      <c r="I8" s="3249"/>
      <c r="J8" s="350"/>
      <c r="K8" s="351"/>
      <c r="L8" s="346" t="s">
        <v>1407</v>
      </c>
      <c r="M8" s="347">
        <f ca="1">INDIRECT("'数据-取费表'!ai"&amp;$G$1)</f>
        <v>365</v>
      </c>
    </row>
    <row r="9" spans="1:37" ht="18" customHeight="1">
      <c r="A9" s="348"/>
      <c r="B9" s="3250"/>
      <c r="C9" s="350"/>
      <c r="D9" s="351"/>
      <c r="E9" s="346" t="s">
        <v>1408</v>
      </c>
      <c r="F9" s="356">
        <f ca="1">INDIRECT("'数据-取费表'!w"&amp;$G$1)</f>
        <v>0.15</v>
      </c>
      <c r="G9" s="1847"/>
      <c r="H9" s="348"/>
      <c r="I9" s="3250"/>
      <c r="J9" s="350"/>
      <c r="K9" s="351"/>
      <c r="L9" s="357" t="s">
        <v>1408</v>
      </c>
      <c r="M9" s="358">
        <f ca="1">INDIRECT("'数据-取费表'!ab"&amp;$G$1)</f>
        <v>0</v>
      </c>
    </row>
    <row r="10" spans="1:37" ht="18" customHeight="1">
      <c r="A10" s="1287" t="s">
        <v>1039</v>
      </c>
      <c r="B10" s="1819" t="s">
        <v>1409</v>
      </c>
      <c r="C10" s="360">
        <f ca="1">ROUND(IF(F10="押一",C6/12*F11,IF(F10="押二",C6/12*2*F11,IF(F10="押三",C6/12*3*F11,C11*F11))),0)</f>
        <v>2</v>
      </c>
      <c r="D10" s="1820" t="s">
        <v>3033</v>
      </c>
      <c r="E10" s="357" t="s">
        <v>1410</v>
      </c>
      <c r="F10" s="1362" t="s">
        <v>3275</v>
      </c>
      <c r="G10" s="1847"/>
      <c r="H10" s="1287" t="s">
        <v>1039</v>
      </c>
      <c r="I10" s="1819" t="s">
        <v>1409</v>
      </c>
      <c r="J10" s="345">
        <f ca="1">ROUND(IF(M10="押一",J6/12*M11,IF(M10="押二",J6/12*2*M11,IF(M10="押三",J6/12*3*M11,J11*M11))),0)</f>
        <v>0</v>
      </c>
      <c r="K10" s="1820" t="s">
        <v>3032</v>
      </c>
      <c r="L10" s="357" t="s">
        <v>1410</v>
      </c>
      <c r="M10" s="1362" t="s">
        <v>1411</v>
      </c>
    </row>
    <row r="11" spans="1:37" ht="18" customHeight="1">
      <c r="A11" s="352"/>
      <c r="B11" s="1821" t="s">
        <v>1388</v>
      </c>
      <c r="C11" s="1174"/>
      <c r="D11" s="1822"/>
      <c r="E11" s="357" t="s">
        <v>1412</v>
      </c>
      <c r="F11" s="358">
        <f ca="1">'数据-取费表'!B39</f>
        <v>1.4999999999999999E-2</v>
      </c>
      <c r="G11" s="1847"/>
      <c r="H11" s="1295"/>
      <c r="I11" s="1821" t="s">
        <v>1388</v>
      </c>
      <c r="J11" s="1174"/>
      <c r="K11" s="747"/>
      <c r="L11" s="357"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4">
        <f ca="1">ROUND(C29*F13,0)</f>
        <v>5781</v>
      </c>
      <c r="D13" s="1327" t="s">
        <v>1415</v>
      </c>
      <c r="E13" s="1327" t="s">
        <v>1416</v>
      </c>
      <c r="F13" s="1328">
        <f ca="1">INDIRECT("'数据-取费表'!y"&amp;$G$1)</f>
        <v>1</v>
      </c>
      <c r="G13" s="1847"/>
      <c r="H13" s="1325">
        <v>2</v>
      </c>
      <c r="I13" s="1326" t="s">
        <v>1414</v>
      </c>
      <c r="J13" s="1286">
        <f ca="1">ROUND(J14*J15,0)</f>
        <v>0</v>
      </c>
      <c r="K13" s="1333" t="s">
        <v>1415</v>
      </c>
      <c r="L13" s="1848"/>
      <c r="M13" s="1849"/>
    </row>
    <row r="14" spans="1:37" ht="18" customHeight="1">
      <c r="A14" s="1197" t="s">
        <v>1034</v>
      </c>
      <c r="B14" s="346" t="s">
        <v>1417</v>
      </c>
      <c r="C14" s="362">
        <f ca="1">INDIRECT("'数据-取费表'!m"&amp;$G$1)+INDIRECT("'数据-取费表'!t"&amp;$G$1)</f>
        <v>3530</v>
      </c>
      <c r="D14" s="1796" t="s">
        <v>1418</v>
      </c>
      <c r="E14" s="1790"/>
      <c r="F14" s="363"/>
      <c r="G14" s="1847"/>
      <c r="H14" s="1197" t="s">
        <v>1035</v>
      </c>
      <c r="I14" s="346" t="s">
        <v>1419</v>
      </c>
      <c r="J14" s="24">
        <f ca="1">C29</f>
        <v>5781</v>
      </c>
      <c r="K14" s="15"/>
      <c r="L14" s="975"/>
      <c r="M14" s="976"/>
    </row>
    <row r="15" spans="1:37" s="1854" customFormat="1" ht="18" customHeight="1" thickBot="1">
      <c r="A15" s="1197" t="s">
        <v>1036</v>
      </c>
      <c r="B15" s="346" t="s">
        <v>1420</v>
      </c>
      <c r="C15" s="24">
        <f ca="1">ROUND(C14*F15,0)</f>
        <v>106</v>
      </c>
      <c r="D15" s="364" t="s">
        <v>1421</v>
      </c>
      <c r="E15" s="364" t="s">
        <v>1422</v>
      </c>
      <c r="F15" s="365">
        <f>'数据-取费表'!B33</f>
        <v>0.03</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1423</v>
      </c>
      <c r="C16" s="24">
        <f ca="1">ROUND(INDIRECT("'数据-取费表'!m"&amp;$G$1)*F16,0)</f>
        <v>0</v>
      </c>
      <c r="D16" s="346" t="s">
        <v>1421</v>
      </c>
      <c r="E16" s="346" t="s">
        <v>1422</v>
      </c>
      <c r="F16" s="366">
        <f ca="1">IF(INDIRECT("'数据-取费表'!c"&amp;$G$1)="住宅",'数据-取费表'!B34,0)</f>
        <v>0</v>
      </c>
      <c r="G16" s="1847"/>
      <c r="H16" s="1325" t="s">
        <v>1030</v>
      </c>
      <c r="I16" s="1326" t="s">
        <v>1424</v>
      </c>
      <c r="J16" s="354">
        <f ca="1">ROUND(J17+J22+J23+J24,0)</f>
        <v>169</v>
      </c>
      <c r="K16" s="1333" t="s">
        <v>1425</v>
      </c>
      <c r="L16" s="1334"/>
      <c r="M16" s="1290"/>
    </row>
    <row r="17" spans="1:37" s="1854" customFormat="1" ht="18" customHeight="1">
      <c r="A17" s="1197" t="s">
        <v>1390</v>
      </c>
      <c r="B17" s="346" t="s">
        <v>1426</v>
      </c>
      <c r="C17" s="24">
        <f ca="1">ROUND(F17*(F43+INDIRECT("'数据-取费表'!S"&amp;$G$1))/10000,0)</f>
        <v>256</v>
      </c>
      <c r="D17" s="346" t="s">
        <v>1427</v>
      </c>
      <c r="E17" s="346" t="s">
        <v>1428</v>
      </c>
      <c r="F17" s="26">
        <f>'数据-取费表'!B35</f>
        <v>200</v>
      </c>
      <c r="G17" s="1850"/>
      <c r="H17" s="1197" t="s">
        <v>1035</v>
      </c>
      <c r="I17" s="346" t="s">
        <v>1429</v>
      </c>
      <c r="J17" s="24">
        <f ca="1">ROUND(IF(项目基本情况!B11="自然人",J5*M17,J18+J19+J20),1)</f>
        <v>53</v>
      </c>
      <c r="K17" s="1796" t="s">
        <v>1430</v>
      </c>
      <c r="L17" s="179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1432</v>
      </c>
      <c r="C18" s="24">
        <f ca="1">ROUND(C14*F18,0)</f>
        <v>53</v>
      </c>
      <c r="D18" s="346" t="s">
        <v>1421</v>
      </c>
      <c r="E18" s="346" t="s">
        <v>1422</v>
      </c>
      <c r="F18" s="366">
        <f>'数据-取费表'!B36</f>
        <v>1.4999999999999999E-2</v>
      </c>
      <c r="G18" s="1850"/>
      <c r="H18" s="1197" t="s">
        <v>1034</v>
      </c>
      <c r="I18" s="346" t="s">
        <v>1433</v>
      </c>
      <c r="J18" s="24">
        <f ca="1">ROUND(J5*M18/(1+'数据-取费表'!C42),2)</f>
        <v>0</v>
      </c>
      <c r="K18" s="179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1435</v>
      </c>
      <c r="C19" s="24">
        <f ca="1">SUM(C14:C18)</f>
        <v>3945</v>
      </c>
      <c r="D19" s="139" t="s">
        <v>1436</v>
      </c>
      <c r="E19" s="1814"/>
      <c r="F19" s="26"/>
      <c r="G19" s="1847"/>
      <c r="H19" s="1197" t="s">
        <v>1036</v>
      </c>
      <c r="I19" s="346" t="s">
        <v>1437</v>
      </c>
      <c r="J19" s="24">
        <f ca="1">IF(K19="按租金收入计税",ROUND(J5*M19,2),ROUND(C29*M19*0.7,2))</f>
        <v>48.56</v>
      </c>
      <c r="K19" s="1824" t="s">
        <v>1438</v>
      </c>
      <c r="L19" s="346" t="s">
        <v>1422</v>
      </c>
      <c r="M19" s="366">
        <f>IF(K19="按租金收入计税",'数据-取费表'!B51,'数据-取费表'!B50)</f>
        <v>1.2E-2</v>
      </c>
    </row>
    <row r="20" spans="1:37" s="1854" customFormat="1" ht="18" customHeight="1">
      <c r="A20" s="1197" t="s">
        <v>1039</v>
      </c>
      <c r="B20" s="346" t="s">
        <v>1439</v>
      </c>
      <c r="C20" s="24">
        <f ca="1">ROUND(C19*F20,0)</f>
        <v>79</v>
      </c>
      <c r="D20" s="368" t="s">
        <v>1440</v>
      </c>
      <c r="E20" s="346" t="s">
        <v>1422</v>
      </c>
      <c r="F20" s="366">
        <f>'数据-取费表'!B37</f>
        <v>0.02</v>
      </c>
      <c r="G20" s="1850"/>
      <c r="H20" s="1197" t="s">
        <v>1389</v>
      </c>
      <c r="I20" s="163" t="s">
        <v>1441</v>
      </c>
      <c r="J20" s="25">
        <f ca="1">ROUND(M20*M21/10000,2)</f>
        <v>4.42</v>
      </c>
      <c r="K20" s="369" t="s">
        <v>1442</v>
      </c>
      <c r="L20" s="346" t="s">
        <v>1443</v>
      </c>
      <c r="M20" s="370">
        <f>'数据-取费表'!B52</f>
        <v>14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1444</v>
      </c>
      <c r="C21" s="24" t="s">
        <v>18</v>
      </c>
      <c r="D21" s="368" t="s">
        <v>1445</v>
      </c>
      <c r="E21" s="346" t="s">
        <v>1446</v>
      </c>
      <c r="F21" s="366">
        <f>'数据-取费表'!B38</f>
        <v>0.02</v>
      </c>
      <c r="G21" s="1850"/>
      <c r="H21" s="371"/>
      <c r="I21" s="355"/>
      <c r="J21" s="29"/>
      <c r="K21" s="372"/>
      <c r="L21" s="346" t="s">
        <v>1447</v>
      </c>
      <c r="M21" s="347">
        <f ca="1">INDIRECT("'数据-取费表'!r"&amp;$G$1)</f>
        <v>3159.8300000000004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1448</v>
      </c>
      <c r="C22" s="24"/>
      <c r="D22" s="139" t="str">
        <f>IF(F23&lt;=1,"单利计息。","复利计息。")&amp;"建造成本、管理费用、销售费用产生的利息。"</f>
        <v>复利计息。建造成本、管理费用、销售费用产生的利息。</v>
      </c>
      <c r="E22" s="1814"/>
      <c r="F22" s="26"/>
      <c r="G22" s="1847"/>
      <c r="H22" s="1197" t="s">
        <v>1039</v>
      </c>
      <c r="I22" s="346" t="s">
        <v>1449</v>
      </c>
      <c r="J22" s="24">
        <f ca="1">ROUND(J14*M22,1)</f>
        <v>115.6</v>
      </c>
      <c r="K22" s="1794" t="s">
        <v>1450</v>
      </c>
      <c r="L22" s="346" t="s">
        <v>1422</v>
      </c>
      <c r="M22" s="373">
        <f ca="1">INDIRECT("'数据-取费表'!Ak"&amp;$G$1)</f>
        <v>0.02</v>
      </c>
    </row>
    <row r="23" spans="1:37" s="1854" customFormat="1" ht="18" customHeight="1">
      <c r="A23" s="1197" t="s">
        <v>1034</v>
      </c>
      <c r="B23" s="346" t="s">
        <v>1451</v>
      </c>
      <c r="C23" s="24">
        <f ca="1">IF('数据-取费表'!B22&lt;=1,ROUND(C19*F24*F23/2,0)+ROUND(C20*F24*F23/2,0),ROUND(C19*(POWER((1+F24),F23/2)-1),0)+ROUND(C20*(POWER((1+F24),F23/2)-1),0))</f>
        <v>290</v>
      </c>
      <c r="D23" s="374" t="str">
        <f>IF(F23&lt;=1,"(建造成本+管理费用)×利率×(建设周期÷2)","(建造成本+管理费用)×((1+利率)^(建设周期÷2)-1)")</f>
        <v>(建造成本+管理费用)×((1+利率)^(建设周期÷2)-1)</v>
      </c>
      <c r="E23" s="346" t="s">
        <v>1452</v>
      </c>
      <c r="F23" s="370">
        <f>'数据-取费表'!B20</f>
        <v>3</v>
      </c>
      <c r="G23" s="1850"/>
      <c r="H23" s="1197" t="s">
        <v>1075</v>
      </c>
      <c r="I23" s="346" t="s">
        <v>1453</v>
      </c>
      <c r="J23" s="24">
        <f ca="1">ROUND(J13*M23,1)</f>
        <v>0</v>
      </c>
      <c r="K23" s="1794" t="s">
        <v>1454</v>
      </c>
      <c r="L23" s="346" t="s">
        <v>1455</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0"/>
      <c r="H24" s="1335" t="s">
        <v>1393</v>
      </c>
      <c r="I24" s="1336" t="s">
        <v>1439</v>
      </c>
      <c r="J24" s="1337">
        <f ca="1">ROUND(J5*M24,1)</f>
        <v>0</v>
      </c>
      <c r="K24" s="1338" t="s">
        <v>1459</v>
      </c>
      <c r="L24" s="1336" t="s">
        <v>1455</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6" t="s">
        <v>1461</v>
      </c>
      <c r="C25" s="24"/>
      <c r="D25" s="139" t="s">
        <v>1462</v>
      </c>
      <c r="E25" s="1814"/>
      <c r="F25" s="26"/>
      <c r="G25" s="1847"/>
      <c r="H25" s="1325" t="s">
        <v>1031</v>
      </c>
      <c r="I25" s="1340" t="s">
        <v>1463</v>
      </c>
      <c r="J25" s="354">
        <f ca="1">J5-J16</f>
        <v>-169</v>
      </c>
      <c r="K25" s="1341" t="s">
        <v>1464</v>
      </c>
      <c r="L25" s="1342"/>
      <c r="M25" s="1343"/>
    </row>
    <row r="26" spans="1:37">
      <c r="A26" s="1197" t="s">
        <v>1034</v>
      </c>
      <c r="B26" s="346" t="s">
        <v>1465</v>
      </c>
      <c r="C26" s="24">
        <f ca="1">ROUND((C19+C20)*F26,0)</f>
        <v>1006</v>
      </c>
      <c r="D26" s="368" t="s">
        <v>1466</v>
      </c>
      <c r="E26" s="357" t="s">
        <v>1467</v>
      </c>
      <c r="F26" s="356">
        <f ca="1">INDIRECT("'数据-取费表'!q"&amp;$G$1)</f>
        <v>0.25</v>
      </c>
      <c r="G26" s="1847"/>
      <c r="H26" s="343" t="s">
        <v>1032</v>
      </c>
      <c r="I26" s="344" t="s">
        <v>1468</v>
      </c>
      <c r="J26" s="345">
        <f ca="1">IF(J5&lt;&gt;0,ROUND(J25*(1-((1+M28)/(1+M26))^M27)/(M26-M28),0),0)</f>
        <v>0</v>
      </c>
      <c r="K26" s="369" t="s">
        <v>1469</v>
      </c>
      <c r="L26" s="346" t="s">
        <v>1470</v>
      </c>
      <c r="M26" s="356">
        <f ca="1">INDIRECT("'数据-取费表'!I"&amp;$G$1)</f>
        <v>0.06</v>
      </c>
    </row>
    <row r="27" spans="1:37" ht="18" customHeight="1">
      <c r="A27" s="1197" t="s">
        <v>1036</v>
      </c>
      <c r="B27" s="346" t="s">
        <v>1471</v>
      </c>
      <c r="C27" s="24">
        <f ca="1">ROUND(F21*F26,4)</f>
        <v>5.0000000000000001E-3</v>
      </c>
      <c r="D27" s="368" t="s">
        <v>1472</v>
      </c>
      <c r="E27" s="364"/>
      <c r="F27" s="365"/>
      <c r="G27" s="1847"/>
      <c r="H27" s="348"/>
      <c r="I27" s="349"/>
      <c r="J27" s="350"/>
      <c r="K27" s="377" t="s">
        <v>1473</v>
      </c>
      <c r="L27" s="346" t="s">
        <v>1474</v>
      </c>
      <c r="M27" s="378">
        <f ca="1">INDIRECT("'数据-取费表'!ag"&amp;$G$1)</f>
        <v>0</v>
      </c>
    </row>
    <row r="28" spans="1:37" s="1854" customFormat="1" ht="18" customHeight="1">
      <c r="A28" s="1197"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5781</v>
      </c>
      <c r="D29" s="1338"/>
      <c r="E29" s="1336"/>
      <c r="F29" s="1339"/>
      <c r="G29" s="1850"/>
      <c r="H29" s="379" t="s">
        <v>1033</v>
      </c>
      <c r="I29" s="380" t="s">
        <v>1479</v>
      </c>
      <c r="J29" s="381">
        <f ca="1">ROUND(J26/(1+F40)^F41,0)</f>
        <v>0</v>
      </c>
      <c r="K29" s="382" t="s">
        <v>1480</v>
      </c>
      <c r="L29" s="383"/>
      <c r="M29" s="384">
        <f ca="1">INDIRECT("'数据-取费表'!k"&amp;$G$1)</f>
        <v>11954.21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4">
        <f ca="1">ROUND(C31+C36+C37+C38,0)</f>
        <v>419</v>
      </c>
      <c r="D30" s="1333" t="s">
        <v>1425</v>
      </c>
      <c r="E30" s="1334"/>
      <c r="F30" s="1290"/>
      <c r="G30" s="1847"/>
      <c r="H30" s="744"/>
      <c r="I30" s="745"/>
      <c r="J30" s="746"/>
      <c r="K30" s="747"/>
      <c r="L30" s="748"/>
      <c r="M30" s="749"/>
    </row>
    <row r="31" spans="1:37" ht="18" customHeight="1">
      <c r="A31" s="1197" t="s">
        <v>1035</v>
      </c>
      <c r="B31" s="346" t="s">
        <v>1429</v>
      </c>
      <c r="C31" s="24">
        <f ca="1">ROUND(IF(项目基本情况!B11="自然人",C5*F31,C32+C33+C34),1)</f>
        <v>262</v>
      </c>
      <c r="D31" s="1796" t="s">
        <v>1430</v>
      </c>
      <c r="E31" s="179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1433</v>
      </c>
      <c r="C32" s="24">
        <f ca="1">IF(项目基本情况!B11="自然人","——",ROUND(C5*F32/(1+'数据-取费表'!C42),2))</f>
        <v>79.25</v>
      </c>
      <c r="D32" s="1794" t="s">
        <v>1434</v>
      </c>
      <c r="E32" s="346" t="s">
        <v>1422</v>
      </c>
      <c r="F32" s="376">
        <f>'数据-取费表'!B41</f>
        <v>5.6000000000000001E-2</v>
      </c>
      <c r="G32" s="1847"/>
      <c r="H32" s="744"/>
      <c r="I32" s="745"/>
      <c r="J32" s="746"/>
      <c r="K32" s="747"/>
      <c r="L32" s="748"/>
      <c r="M32" s="749"/>
    </row>
    <row r="33" spans="1:18" ht="18" customHeight="1">
      <c r="A33" s="1197" t="s">
        <v>1036</v>
      </c>
      <c r="B33" s="346" t="s">
        <v>1437</v>
      </c>
      <c r="C33" s="24">
        <f ca="1">IF(项目基本情况!B11="自然人","——",IF(D33="按租金收入计税",ROUND(C5*F33,2),IF(D33="按房产原值计税",ROUND(C29*F33*0.7,2),INDIRECT("'数据-取费表'!Aj"&amp;$G$1))))</f>
        <v>178.32</v>
      </c>
      <c r="D33" s="1824" t="s">
        <v>3274</v>
      </c>
      <c r="E33" s="346" t="s">
        <v>1422</v>
      </c>
      <c r="F33" s="366">
        <f>IF(D33="按票据","——",IF(D33="按租金收入计税",'数据-取费表'!B51,'数据-取费表'!B50))</f>
        <v>0.12</v>
      </c>
      <c r="G33" s="1847"/>
      <c r="H33" s="1855"/>
      <c r="I33" s="1856"/>
      <c r="J33" s="1857"/>
      <c r="K33" s="1858"/>
      <c r="L33" s="1855"/>
      <c r="M33" s="1855"/>
    </row>
    <row r="34" spans="1:18" ht="18" customHeight="1">
      <c r="A34" s="1287" t="s">
        <v>1389</v>
      </c>
      <c r="B34" s="163" t="s">
        <v>1441</v>
      </c>
      <c r="C34" s="25">
        <f ca="1">IF(项目基本情况!B11="自然人","——",ROUND(F34*F35/10000,2))</f>
        <v>4.42</v>
      </c>
      <c r="D34" s="369" t="s">
        <v>1442</v>
      </c>
      <c r="E34" s="346" t="s">
        <v>1443</v>
      </c>
      <c r="F34" s="370">
        <f>'数据-取费表'!B52</f>
        <v>14</v>
      </c>
      <c r="G34" s="1847"/>
      <c r="H34" s="744"/>
      <c r="I34" s="1856"/>
      <c r="J34" s="1857"/>
      <c r="K34" s="1859"/>
      <c r="L34" s="1860"/>
      <c r="M34" s="1860"/>
    </row>
    <row r="35" spans="1:18" ht="18" customHeight="1">
      <c r="A35" s="1349"/>
      <c r="B35" s="1347"/>
      <c r="C35" s="29"/>
      <c r="D35" s="372"/>
      <c r="E35" s="346" t="s">
        <v>1447</v>
      </c>
      <c r="F35" s="347">
        <f ca="1">INDIRECT("'数据-取费表'!r"&amp;$G$1)</f>
        <v>3159.8300000000004</v>
      </c>
      <c r="G35" s="1847"/>
      <c r="H35" s="744"/>
      <c r="I35" s="1856"/>
      <c r="J35" s="1857"/>
      <c r="K35" s="1858"/>
      <c r="L35" s="1855"/>
      <c r="M35" s="1855"/>
    </row>
    <row r="36" spans="1:18" ht="18" customHeight="1">
      <c r="A36" s="1348" t="s">
        <v>1039</v>
      </c>
      <c r="B36" s="346" t="s">
        <v>1449</v>
      </c>
      <c r="C36" s="24">
        <f ca="1">ROUND(C29*F36,1)</f>
        <v>115.6</v>
      </c>
      <c r="D36" s="1794" t="s">
        <v>1482</v>
      </c>
      <c r="E36" s="346" t="s">
        <v>1422</v>
      </c>
      <c r="F36" s="373">
        <f ca="1">INDIRECT("'数据-取费表'!Ak"&amp;$G$1)</f>
        <v>0.02</v>
      </c>
      <c r="G36" s="1847"/>
      <c r="H36" s="1855"/>
      <c r="I36" s="1856"/>
      <c r="J36" s="1857"/>
      <c r="K36" s="750"/>
      <c r="L36" s="1855"/>
      <c r="M36" s="1855"/>
    </row>
    <row r="37" spans="1:18" ht="18" customHeight="1">
      <c r="A37" s="1197" t="s">
        <v>1075</v>
      </c>
      <c r="B37" s="346" t="s">
        <v>1453</v>
      </c>
      <c r="C37" s="24">
        <f ca="1">ROUND(C13*F37,1)</f>
        <v>11.6</v>
      </c>
      <c r="D37" s="1794" t="s">
        <v>1454</v>
      </c>
      <c r="E37" s="346" t="s">
        <v>1455</v>
      </c>
      <c r="F37" s="375">
        <f ca="1">INDIRECT("'数据-取费表'!Al"&amp;$G$1)</f>
        <v>2E-3</v>
      </c>
      <c r="G37" s="1847"/>
      <c r="H37" s="1855"/>
      <c r="I37" s="1856"/>
      <c r="J37" s="1857"/>
      <c r="K37" s="750"/>
      <c r="L37" s="1855"/>
      <c r="M37" s="1855"/>
    </row>
    <row r="38" spans="1:18" ht="18" customHeight="1" thickBot="1">
      <c r="A38" s="1335" t="s">
        <v>1393</v>
      </c>
      <c r="B38" s="1336" t="s">
        <v>1439</v>
      </c>
      <c r="C38" s="1337">
        <f ca="1">ROUND(C5*F38,1)</f>
        <v>29.7</v>
      </c>
      <c r="D38" s="1338" t="s">
        <v>1459</v>
      </c>
      <c r="E38" s="1336" t="s">
        <v>1455</v>
      </c>
      <c r="F38" s="1332">
        <f ca="1">INDIRECT("'数据-取费表'!Am"&amp;$G$1)</f>
        <v>0.02</v>
      </c>
      <c r="G38" s="1847"/>
      <c r="H38" s="1855"/>
      <c r="I38" s="1856"/>
      <c r="J38" s="1857"/>
      <c r="K38" s="1861"/>
      <c r="L38" s="1855"/>
      <c r="M38" s="1855"/>
    </row>
    <row r="39" spans="1:18" ht="24.6" customHeight="1" thickTop="1">
      <c r="A39" s="1325" t="s">
        <v>1031</v>
      </c>
      <c r="B39" s="1340" t="s">
        <v>1483</v>
      </c>
      <c r="C39" s="354">
        <f ca="1">C5-C30</f>
        <v>1067</v>
      </c>
      <c r="D39" s="1341" t="s">
        <v>1484</v>
      </c>
      <c r="E39" s="1342"/>
      <c r="F39" s="1343"/>
      <c r="G39" s="1847"/>
      <c r="H39" s="1855"/>
      <c r="I39" s="1856"/>
      <c r="J39" s="1857"/>
      <c r="K39" s="1861"/>
      <c r="L39" s="1855"/>
      <c r="M39" s="1855"/>
    </row>
    <row r="40" spans="1:18" ht="18" customHeight="1">
      <c r="A40" s="343" t="s">
        <v>1032</v>
      </c>
      <c r="B40" s="344" t="s">
        <v>1485</v>
      </c>
      <c r="C40" s="345">
        <f ca="1">ROUND(C39*(1-((1+F42)/(1+F40))^F41)/(F40-F42),0)</f>
        <v>24489</v>
      </c>
      <c r="D40" s="369" t="s">
        <v>1469</v>
      </c>
      <c r="E40" s="346" t="s">
        <v>1470</v>
      </c>
      <c r="F40" s="356">
        <f ca="1">INDIRECT("'数据-取费表'!I"&amp;$G$1)</f>
        <v>0.06</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35.729999999999997</v>
      </c>
      <c r="G41" s="1847"/>
      <c r="H41" s="731"/>
      <c r="I41" s="1856"/>
      <c r="J41" s="1857"/>
      <c r="K41" s="750"/>
      <c r="L41" s="731"/>
      <c r="M41" s="731"/>
    </row>
    <row r="42" spans="1:18" ht="18" customHeight="1">
      <c r="A42" s="352"/>
      <c r="B42" s="353"/>
      <c r="C42" s="354"/>
      <c r="D42" s="372"/>
      <c r="E42" s="346" t="s">
        <v>1477</v>
      </c>
      <c r="F42" s="356">
        <f ca="1">INDIRECT("'数据-取费表'!v"&amp;$G$1)</f>
        <v>3.5000000000000003E-2</v>
      </c>
      <c r="G42" s="1847"/>
      <c r="H42" s="731"/>
      <c r="I42" s="1856"/>
      <c r="J42" s="1857"/>
      <c r="K42" s="750"/>
      <c r="L42" s="731"/>
      <c r="M42" s="731"/>
    </row>
    <row r="43" spans="1:18" ht="18" customHeight="1" thickBot="1">
      <c r="A43" s="379" t="s">
        <v>1033</v>
      </c>
      <c r="B43" s="380" t="s">
        <v>1487</v>
      </c>
      <c r="C43" s="381">
        <f ca="1">ROUND(C40*10000/F43,0)</f>
        <v>20486</v>
      </c>
      <c r="D43" s="382" t="s">
        <v>1488</v>
      </c>
      <c r="E43" s="383" t="s">
        <v>1489</v>
      </c>
      <c r="F43" s="384">
        <f ca="1">INDIRECT("'数据-取费表'!k"&amp;$G$1)</f>
        <v>11954.21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-33490</v>
      </c>
      <c r="D46" s="1868" t="str">
        <f>C2</f>
        <v>万元</v>
      </c>
      <c r="E46" s="1862"/>
      <c r="F46" s="1862"/>
      <c r="I46" s="1869" t="s">
        <v>1521</v>
      </c>
      <c r="J46" s="1870"/>
      <c r="K46" s="1871"/>
      <c r="L46" s="1872">
        <f ca="1">IF(M47="住宅",0,IF(L48&gt;J51,L60,J60))</f>
        <v>108</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91"/>
      <c r="I47" s="1876" t="s">
        <v>1526</v>
      </c>
      <c r="J47" s="1877" t="s">
        <v>3272</v>
      </c>
      <c r="K47" s="1878" t="s">
        <v>1527</v>
      </c>
      <c r="L47" s="1879">
        <f ca="1">INDIRECT("'数据-取费表'!d"&amp;$G$1)</f>
        <v>40</v>
      </c>
      <c r="M47" s="1834" t="str">
        <f>IF(ISNUMBER(FIND("住宅",C1)),"住宅","非住宅")</f>
        <v>非住宅</v>
      </c>
      <c r="O47" s="1880" t="s">
        <v>1040</v>
      </c>
      <c r="P47" s="1881" t="s">
        <v>1528</v>
      </c>
      <c r="Q47" s="1882">
        <f ca="1">C40+J29</f>
        <v>24489</v>
      </c>
      <c r="R47" s="1882" t="s">
        <v>1529</v>
      </c>
    </row>
    <row r="48" spans="1:18" s="1838" customFormat="1" ht="28.5" thickBot="1">
      <c r="A48" s="1356" t="s">
        <v>1135</v>
      </c>
      <c r="B48" s="344" t="s">
        <v>1401</v>
      </c>
      <c r="C48" s="1813">
        <f ca="1">C49+C53+C55</f>
        <v>0</v>
      </c>
      <c r="D48" s="1358"/>
      <c r="E48" s="1359"/>
      <c r="F48" s="1177"/>
      <c r="G48" s="791"/>
      <c r="H48" s="792"/>
      <c r="I48" s="1883" t="s">
        <v>1530</v>
      </c>
      <c r="J48" s="1884" t="s">
        <v>3273</v>
      </c>
      <c r="K48" s="1885" t="s">
        <v>1531</v>
      </c>
      <c r="L48" s="1886">
        <f ca="1">INDIRECT("'数据-取费表'!f"&amp;$G$1)</f>
        <v>35.729999999999997</v>
      </c>
      <c r="O48" s="1880" t="s">
        <v>1041</v>
      </c>
      <c r="P48" s="1881" t="s">
        <v>1532</v>
      </c>
      <c r="Q48" s="1882">
        <f ca="1">J60</f>
        <v>108</v>
      </c>
      <c r="R48" s="1882" t="s">
        <v>1533</v>
      </c>
    </row>
    <row r="49" spans="1:18" s="1838" customFormat="1" ht="13.5" thickBot="1">
      <c r="A49" s="1190" t="s">
        <v>1136</v>
      </c>
      <c r="B49" s="1825" t="s">
        <v>1490</v>
      </c>
      <c r="C49" s="1360">
        <f ca="1">ROUND(F49*F51*F50*(1-F52)/10000,0)</f>
        <v>0</v>
      </c>
      <c r="D49" s="1272" t="s">
        <v>3025</v>
      </c>
      <c r="E49" s="1826" t="s">
        <v>1491</v>
      </c>
      <c r="F49" s="1277"/>
      <c r="G49" s="1887"/>
      <c r="H49" s="792"/>
      <c r="I49" s="1883" t="s">
        <v>1534</v>
      </c>
      <c r="J49" s="1889">
        <v>2018</v>
      </c>
      <c r="K49" s="1885" t="s">
        <v>1535</v>
      </c>
      <c r="L49" s="1889"/>
      <c r="O49" s="1890" t="s">
        <v>1042</v>
      </c>
      <c r="P49" s="1881" t="s">
        <v>1536</v>
      </c>
      <c r="Q49" s="1882">
        <f ca="1">C29</f>
        <v>5781</v>
      </c>
      <c r="R49" s="1882" t="s">
        <v>1529</v>
      </c>
    </row>
    <row r="50" spans="1:18" s="1838" customFormat="1" ht="13.5" thickBot="1">
      <c r="A50" s="1191"/>
      <c r="B50" s="1194"/>
      <c r="C50" s="1364"/>
      <c r="D50" s="1168"/>
      <c r="E50" s="1273" t="s">
        <v>1406</v>
      </c>
      <c r="F50" s="1274">
        <f ca="1">F7</f>
        <v>11954.21</v>
      </c>
      <c r="H50" s="792"/>
      <c r="I50" s="1883" t="s">
        <v>1537</v>
      </c>
      <c r="J50" s="1891">
        <f>SUMPRODUCT((I63:I65=J47)*(J62:L62=J48)*(J63:L65))</f>
        <v>60</v>
      </c>
      <c r="K50" s="1885" t="s">
        <v>1538</v>
      </c>
      <c r="L50" s="1889"/>
      <c r="M50" s="1892"/>
      <c r="O50" s="1890" t="s">
        <v>1043</v>
      </c>
      <c r="P50" s="1881" t="s">
        <v>1539</v>
      </c>
      <c r="Q50" s="1893">
        <f ca="1">J58</f>
        <v>0.40500000000000003</v>
      </c>
      <c r="R50" s="1882"/>
    </row>
    <row r="51" spans="1:18" s="1838" customFormat="1" ht="13.5" thickBot="1">
      <c r="A51" s="1192"/>
      <c r="B51" s="1194"/>
      <c r="C51" s="1195"/>
      <c r="D51" s="1168"/>
      <c r="E51" s="1196" t="s">
        <v>1407</v>
      </c>
      <c r="F51" s="347">
        <f ca="1">F8</f>
        <v>365</v>
      </c>
      <c r="I51" s="1894" t="s">
        <v>1540</v>
      </c>
      <c r="J51" s="1895">
        <f>IF(J49="",J50,J49+J50-YEAR('数据-取费表'!B2))</f>
        <v>60</v>
      </c>
      <c r="K51" s="1896" t="s">
        <v>1541</v>
      </c>
      <c r="L51" s="1897">
        <f ca="1">ROUND(-PV(INDIRECT("'数据-取费表'!h"&amp;$G$1),L48,(C39-C13*C76),0),0)</f>
        <v>9498</v>
      </c>
      <c r="M51" s="1898"/>
      <c r="O51" s="1890" t="s">
        <v>1044</v>
      </c>
      <c r="P51" s="1881" t="s">
        <v>1542</v>
      </c>
      <c r="Q51" s="1893">
        <f>J52</f>
        <v>0.09</v>
      </c>
      <c r="R51" s="1882"/>
    </row>
    <row r="52" spans="1:18" s="1838" customFormat="1" ht="13.5" thickBot="1">
      <c r="A52" s="1192"/>
      <c r="B52" s="1194"/>
      <c r="C52" s="1195"/>
      <c r="D52" s="1168"/>
      <c r="E52" s="1196" t="s">
        <v>1408</v>
      </c>
      <c r="F52" s="1271"/>
      <c r="I52" s="1899" t="s">
        <v>1543</v>
      </c>
      <c r="J52" s="1900">
        <v>0.09</v>
      </c>
      <c r="K52" s="1899" t="s">
        <v>1544</v>
      </c>
      <c r="L52" s="1900"/>
      <c r="O52" s="1890" t="s">
        <v>1045</v>
      </c>
      <c r="P52" s="1881" t="s">
        <v>1545</v>
      </c>
      <c r="Q52" s="1882">
        <f ca="1">J53</f>
        <v>35.729999999999997</v>
      </c>
      <c r="R52" s="1882" t="s">
        <v>1546</v>
      </c>
    </row>
    <row r="53" spans="1:18" s="1838" customFormat="1" ht="24.75" thickBot="1">
      <c r="A53" s="1401" t="s">
        <v>1137</v>
      </c>
      <c r="B53" s="1827" t="s">
        <v>1409</v>
      </c>
      <c r="C53" s="360">
        <f ca="1">ROUND(IF(F53="押一",C49/12*F11,IF(F53="押二",C49/12*2*F11,IF(F53="押三",C49/12*3*F11,C54*F11))),0)</f>
        <v>0</v>
      </c>
      <c r="D53" s="1820" t="s">
        <v>3032</v>
      </c>
      <c r="E53" s="357" t="s">
        <v>1410</v>
      </c>
      <c r="F53" s="1362"/>
      <c r="I53" s="1901" t="s">
        <v>1547</v>
      </c>
      <c r="J53" s="1902">
        <f ca="1">IF(M47="住宅",IF(D1="——",MAX(J51,L48),IF(D1="在建（套用方法）",MAX(J51,L48-'数据-取费表'!B24),MAX(J51,L48-'数据-取费表'!B20))),IF(D1="——",MIN(J51,L48),IF(D1="在建（套用方法）",MIN(J51,L48-'数据-取费表'!B24),IF(D1="土地（套用方法）",MIN(J51,L48-'数据-取费表'!B20)))))</f>
        <v>35.729999999999997</v>
      </c>
      <c r="K53" s="3246" t="s">
        <v>1548</v>
      </c>
      <c r="L53" s="3247"/>
      <c r="O53" s="1880" t="s">
        <v>1046</v>
      </c>
      <c r="P53" s="1881" t="s">
        <v>1549</v>
      </c>
      <c r="Q53" s="1882">
        <f ca="1">Q47+Q48</f>
        <v>24597</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1828"/>
      <c r="F55" s="1903"/>
      <c r="I55" s="1906" t="s">
        <v>1551</v>
      </c>
      <c r="J55" s="1907">
        <f ca="1">ROUND(IF(J47="钢混",J57/J50,1-(1-2%)*(J50-J57)/J50),3)</f>
        <v>0.40500000000000003</v>
      </c>
      <c r="K55" s="1908" t="s">
        <v>1552</v>
      </c>
      <c r="L55" s="1909" t="s">
        <v>1553</v>
      </c>
      <c r="O55" s="1873" t="s">
        <v>1522</v>
      </c>
      <c r="P55" s="1874" t="s">
        <v>1523</v>
      </c>
      <c r="Q55" s="1875" t="s">
        <v>1524</v>
      </c>
      <c r="R55" s="1875" t="s">
        <v>1525</v>
      </c>
    </row>
    <row r="56" spans="1:18" s="1838" customFormat="1" ht="25.5" thickTop="1" thickBot="1">
      <c r="A56" s="1172">
        <v>2</v>
      </c>
      <c r="B56" s="1173" t="s">
        <v>1414</v>
      </c>
      <c r="C56" s="275">
        <f ca="1">C13</f>
        <v>5781</v>
      </c>
      <c r="D56" s="1910"/>
      <c r="E56" s="1911"/>
      <c r="F56" s="1903"/>
      <c r="I56" s="1912" t="s">
        <v>1554</v>
      </c>
      <c r="J56" s="1913" t="s">
        <v>3198</v>
      </c>
      <c r="K56" s="1883" t="s">
        <v>1555</v>
      </c>
      <c r="L56" s="1886" t="str">
        <f ca="1">IF(L48&lt;J51,"——",L48-J53)</f>
        <v>——</v>
      </c>
      <c r="O56" s="1880" t="s">
        <v>1040</v>
      </c>
      <c r="P56" s="1881" t="s">
        <v>1528</v>
      </c>
      <c r="Q56" s="1882">
        <f ca="1">C40+J29</f>
        <v>24489</v>
      </c>
      <c r="R56" s="1882" t="s">
        <v>1529</v>
      </c>
    </row>
    <row r="57" spans="1:18" s="1838" customFormat="1" ht="24.75" thickBot="1">
      <c r="A57" s="1914"/>
      <c r="B57" s="1165" t="s">
        <v>1478</v>
      </c>
      <c r="C57" s="281">
        <f ca="1">C29</f>
        <v>5781</v>
      </c>
      <c r="D57" s="1915"/>
      <c r="E57" s="1916"/>
      <c r="F57" s="1917"/>
      <c r="I57" s="1918" t="s">
        <v>1556</v>
      </c>
      <c r="J57" s="1919">
        <f ca="1">IF(OR(M47="住宅",J51&lt;L48,J56="是"),"——",J51-L48)</f>
        <v>24.270000000000003</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1424</v>
      </c>
      <c r="C58" s="360">
        <f ca="1">ROUND(C59+C64+C65+C66,0)</f>
        <v>617</v>
      </c>
      <c r="D58" s="1175" t="s">
        <v>1425</v>
      </c>
      <c r="E58" s="1176"/>
      <c r="F58" s="1177"/>
      <c r="I58" s="1918" t="s">
        <v>1560</v>
      </c>
      <c r="J58" s="1920">
        <f ca="1">IF(J55&lt;0.4,0.4,J55)</f>
        <v>0.40500000000000003</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490</v>
      </c>
      <c r="D59" s="1178" t="s">
        <v>1430</v>
      </c>
      <c r="E59" s="1179" t="s">
        <v>1431</v>
      </c>
      <c r="F59" s="367" t="str">
        <f ca="1">IF(项目基本情况!B11="企业","",IF(INDIRECT("'数据-取费表'!c"&amp;$G$1)="住宅",5%,IF(F49*F50*F51/12/(1+'数据-取费表'!C42)&gt;20000,12%,7%)))</f>
        <v/>
      </c>
      <c r="I59" s="1918" t="s">
        <v>1563</v>
      </c>
      <c r="J59" s="1919">
        <f ca="1">IF(OR(M47="住宅",J51&lt;L48,J56="是"),"——",ROUND(C29*J58,0))</f>
        <v>2341</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6">
        <f t="shared" ref="F60:F66" si="0">F32</f>
        <v>5.6000000000000001E-2</v>
      </c>
      <c r="I60" s="1921" t="s">
        <v>1565</v>
      </c>
      <c r="J60" s="1922">
        <f ca="1">IF(OR(M47="住宅",J51&lt;L48,J56="是"),"0",ROUND(J59/(1+J52)^J53,0))</f>
        <v>108</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1492</v>
      </c>
      <c r="B61" s="1165" t="s">
        <v>1493</v>
      </c>
      <c r="C61" s="24">
        <f ca="1">IF(项目基本情况!B11="自然人","——",IF(D61="按租金收入计税",ROUND(C48*F61,2),IF(D61="按房产原值计税",ROUND(C57*F61*0.7,2),INDIRECT("'数据-取费表'!Aj"&amp;$G$1))))</f>
        <v>485.6</v>
      </c>
      <c r="D61" s="1824" t="s">
        <v>1438</v>
      </c>
      <c r="E61" s="1165" t="s">
        <v>1494</v>
      </c>
      <c r="F61" s="366">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1495</v>
      </c>
      <c r="B62" s="1164" t="s">
        <v>1496</v>
      </c>
      <c r="C62" s="25">
        <f ca="1">IF(项目基本情况!B11="自然人","——",ROUND(F62*F63/10000,2))</f>
        <v>4.42</v>
      </c>
      <c r="D62" s="1180" t="s">
        <v>1497</v>
      </c>
      <c r="E62" s="1165" t="s">
        <v>1498</v>
      </c>
      <c r="F62" s="370">
        <f t="shared" si="0"/>
        <v>14</v>
      </c>
      <c r="I62" s="1925" t="s">
        <v>1570</v>
      </c>
      <c r="J62" s="1926" t="s">
        <v>1571</v>
      </c>
      <c r="K62" s="1926" t="s">
        <v>1572</v>
      </c>
      <c r="L62" s="1926" t="s">
        <v>1573</v>
      </c>
      <c r="M62" s="1927" t="s">
        <v>1574</v>
      </c>
      <c r="O62" s="1880" t="s">
        <v>1046</v>
      </c>
      <c r="P62" s="1881" t="s">
        <v>1575</v>
      </c>
      <c r="Q62" s="1882">
        <f ca="1">Q56+Q57</f>
        <v>24489</v>
      </c>
      <c r="R62" s="1882" t="s">
        <v>1047</v>
      </c>
    </row>
    <row r="63" spans="1:18" s="1838" customFormat="1" ht="13.5" thickBot="1">
      <c r="A63" s="371"/>
      <c r="B63" s="1171"/>
      <c r="C63" s="29"/>
      <c r="D63" s="1181"/>
      <c r="E63" s="1165" t="s">
        <v>1499</v>
      </c>
      <c r="F63" s="347">
        <f t="shared" ca="1" si="0"/>
        <v>3159.8300000000004</v>
      </c>
      <c r="I63" s="1925" t="s">
        <v>1576</v>
      </c>
      <c r="J63" s="1926">
        <v>70</v>
      </c>
      <c r="K63" s="1926">
        <v>50</v>
      </c>
      <c r="L63" s="1926">
        <v>80</v>
      </c>
      <c r="M63" s="1928">
        <v>0.02</v>
      </c>
      <c r="O63" s="1865" t="s">
        <v>1577</v>
      </c>
      <c r="P63" s="1835"/>
      <c r="Q63" s="1835"/>
      <c r="R63" s="1835"/>
    </row>
    <row r="64" spans="1:18" s="1838" customFormat="1" ht="13.5" thickBot="1">
      <c r="A64" s="1197" t="s">
        <v>1500</v>
      </c>
      <c r="B64" s="1165" t="s">
        <v>1501</v>
      </c>
      <c r="C64" s="24">
        <f ca="1">ROUND(C57*F64,1)</f>
        <v>115.6</v>
      </c>
      <c r="D64" s="1179" t="s">
        <v>1502</v>
      </c>
      <c r="E64" s="1165" t="s">
        <v>1494</v>
      </c>
      <c r="F64" s="373">
        <f t="shared" ca="1" si="0"/>
        <v>0.02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11.6</v>
      </c>
      <c r="D65" s="1179" t="s">
        <v>1454</v>
      </c>
      <c r="E65" s="1165" t="s">
        <v>1455</v>
      </c>
      <c r="F65" s="375">
        <f t="shared" ca="1" si="0"/>
        <v>2E-3</v>
      </c>
      <c r="I65" s="1925" t="s">
        <v>1579</v>
      </c>
      <c r="J65" s="1926">
        <v>40</v>
      </c>
      <c r="K65" s="1926">
        <v>30</v>
      </c>
      <c r="L65" s="1926">
        <v>50</v>
      </c>
      <c r="M65" s="1928">
        <v>0.02</v>
      </c>
      <c r="O65" s="1880" t="s">
        <v>1040</v>
      </c>
      <c r="P65" s="1881" t="s">
        <v>1580</v>
      </c>
      <c r="Q65" s="1882">
        <f ca="1">C40+J29</f>
        <v>24489</v>
      </c>
      <c r="R65" s="1882" t="s">
        <v>1529</v>
      </c>
    </row>
    <row r="66" spans="1:18" s="1838" customFormat="1" ht="16.5" thickBot="1">
      <c r="A66" s="1197" t="s">
        <v>1504</v>
      </c>
      <c r="B66" s="1165" t="s">
        <v>1439</v>
      </c>
      <c r="C66" s="24">
        <f ca="1">ROUND(C48*F66,1)</f>
        <v>0</v>
      </c>
      <c r="D66" s="1179" t="s">
        <v>1505</v>
      </c>
      <c r="E66" s="1165" t="s">
        <v>1422</v>
      </c>
      <c r="F66" s="356">
        <f t="shared" ca="1" si="0"/>
        <v>0.02</v>
      </c>
      <c r="O66" s="1880" t="s">
        <v>1041</v>
      </c>
      <c r="P66" s="1881" t="s">
        <v>1558</v>
      </c>
      <c r="Q66" s="1882">
        <f ca="1">L60</f>
        <v>0</v>
      </c>
      <c r="R66" s="1882" t="s">
        <v>1581</v>
      </c>
    </row>
    <row r="67" spans="1:18" s="1838" customFormat="1" ht="16.5" thickBot="1">
      <c r="A67" s="1172" t="s">
        <v>1031</v>
      </c>
      <c r="B67" s="1182" t="s">
        <v>1463</v>
      </c>
      <c r="C67" s="360">
        <f ca="1">C48-C58</f>
        <v>-617</v>
      </c>
      <c r="D67" s="1178" t="s">
        <v>1464</v>
      </c>
      <c r="E67" s="1183"/>
      <c r="F67" s="1184"/>
      <c r="O67" s="1890" t="s">
        <v>1042</v>
      </c>
      <c r="P67" s="1881" t="s">
        <v>1562</v>
      </c>
      <c r="Q67" s="1929">
        <f ca="1">L51</f>
        <v>9498</v>
      </c>
      <c r="R67" s="1882" t="s">
        <v>1582</v>
      </c>
    </row>
    <row r="68" spans="1:18" s="1838" customFormat="1" ht="16.5" thickBot="1">
      <c r="A68" s="1162" t="s">
        <v>1032</v>
      </c>
      <c r="B68" s="1163" t="s">
        <v>1485</v>
      </c>
      <c r="C68" s="345">
        <f ca="1">ROUND(C67*(1-((1+F70)/(1+F68))^F69)/(F68-F70),0)</f>
        <v>-9001</v>
      </c>
      <c r="D68" s="1180" t="s">
        <v>1469</v>
      </c>
      <c r="E68" s="1165" t="s">
        <v>1470</v>
      </c>
      <c r="F68" s="356">
        <f ca="1">F40</f>
        <v>0.06</v>
      </c>
      <c r="O68" s="1890" t="s">
        <v>1043</v>
      </c>
      <c r="P68" s="1930" t="s">
        <v>1583</v>
      </c>
      <c r="Q68" s="1882">
        <f ca="1">ROUND(Q69-Q70*Q71,0)</f>
        <v>576</v>
      </c>
      <c r="R68" s="1882" t="s">
        <v>1051</v>
      </c>
    </row>
    <row r="69" spans="1:18" s="1838" customFormat="1" ht="13.5" thickBot="1">
      <c r="A69" s="1166"/>
      <c r="B69" s="1167"/>
      <c r="C69" s="350"/>
      <c r="D69" s="1185" t="s">
        <v>1473</v>
      </c>
      <c r="E69" s="1165" t="s">
        <v>1474</v>
      </c>
      <c r="F69" s="378">
        <f ca="1">F41</f>
        <v>35.729999999999997</v>
      </c>
      <c r="O69" s="1890" t="s">
        <v>1048</v>
      </c>
      <c r="P69" s="1930" t="s">
        <v>1584</v>
      </c>
      <c r="Q69" s="1882">
        <f ca="1">C39</f>
        <v>1067</v>
      </c>
      <c r="R69" s="1882" t="s">
        <v>1529</v>
      </c>
    </row>
    <row r="70" spans="1:18" s="1838" customFormat="1" ht="13.5" thickBot="1">
      <c r="A70" s="1169"/>
      <c r="B70" s="1170"/>
      <c r="C70" s="354"/>
      <c r="D70" s="1181"/>
      <c r="E70" s="1165" t="s">
        <v>1477</v>
      </c>
      <c r="F70" s="1271"/>
      <c r="O70" s="1890" t="s">
        <v>1049</v>
      </c>
      <c r="P70" s="1930" t="s">
        <v>1585</v>
      </c>
      <c r="Q70" s="1882">
        <f ca="1">C13</f>
        <v>5781</v>
      </c>
      <c r="R70" s="1882" t="s">
        <v>1529</v>
      </c>
    </row>
    <row r="71" spans="1:18" s="1838" customFormat="1" ht="13.5" thickBot="1">
      <c r="A71" s="1186" t="s">
        <v>1033</v>
      </c>
      <c r="B71" s="1187" t="s">
        <v>1487</v>
      </c>
      <c r="C71" s="381">
        <f ca="1">ROUND(C68*10000/F71,0)</f>
        <v>-7530</v>
      </c>
      <c r="D71" s="1188" t="s">
        <v>1488</v>
      </c>
      <c r="E71" s="1189" t="s">
        <v>1489</v>
      </c>
      <c r="F71" s="384">
        <f ca="1">F43</f>
        <v>11954.21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1506</v>
      </c>
      <c r="C75" s="386">
        <f ca="1">ROUND(C13*C76,0)</f>
        <v>491</v>
      </c>
      <c r="D75" s="1838"/>
      <c r="E75" s="1838"/>
      <c r="F75" s="1838"/>
      <c r="K75" s="1864"/>
      <c r="L75" s="1838"/>
      <c r="O75" s="1880" t="s">
        <v>1046</v>
      </c>
      <c r="P75" s="1881" t="s">
        <v>1549</v>
      </c>
      <c r="Q75" s="1882">
        <f ca="1">Q65+Q66</f>
        <v>24489</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0.54</v>
      </c>
    </row>
    <row r="80" spans="1:18">
      <c r="B80" s="385" t="s">
        <v>1511</v>
      </c>
      <c r="C80" s="317">
        <f ca="1">ROUND(C75/C39,3)</f>
        <v>0.46</v>
      </c>
    </row>
    <row r="81" spans="2:3">
      <c r="B81" s="313" t="s">
        <v>1512</v>
      </c>
      <c r="C81" s="281"/>
    </row>
    <row r="82" spans="2:3">
      <c r="B82" s="316" t="s">
        <v>1513</v>
      </c>
      <c r="C82" s="318">
        <f ca="1">1-C83</f>
        <v>0.76400000000000001</v>
      </c>
    </row>
    <row r="83" spans="2:3">
      <c r="B83" s="316" t="s">
        <v>1514</v>
      </c>
      <c r="C83" s="317">
        <f ca="1">ROUND(C13/C40,3)</f>
        <v>0.23599999999999999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12</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248" t="s">
        <v>1403</v>
      </c>
      <c r="C6" s="1292">
        <f ca="1">ROUND(F6*F8*F7*(1-F9),0)</f>
        <v>0</v>
      </c>
      <c r="D6" s="163" t="s">
        <v>3021</v>
      </c>
      <c r="E6" s="346" t="s">
        <v>1405</v>
      </c>
      <c r="F6" s="347">
        <f ca="1">INDIRECT("'数据-取费表'!u"&amp;$G$1)</f>
        <v>0</v>
      </c>
      <c r="G6" s="1847"/>
      <c r="H6" s="1287" t="s">
        <v>1035</v>
      </c>
      <c r="I6" s="3248" t="s">
        <v>1403</v>
      </c>
      <c r="J6" s="345">
        <f ca="1">ROUND(M6*M8*M7*(1-M9),0)</f>
        <v>0</v>
      </c>
      <c r="K6" s="1830" t="s">
        <v>3022</v>
      </c>
      <c r="L6" s="346" t="s">
        <v>1405</v>
      </c>
      <c r="M6" s="347">
        <f ca="1">INDIRECT("'数据-取费表'!z"&amp;$G$1)</f>
        <v>0</v>
      </c>
    </row>
    <row r="7" spans="1:37" ht="18" customHeight="1">
      <c r="A7" s="1291"/>
      <c r="B7" s="3249"/>
      <c r="C7" s="1293"/>
      <c r="D7" s="351"/>
      <c r="E7" s="1294" t="s">
        <v>1406</v>
      </c>
      <c r="F7" s="347">
        <f ca="1">IF(INDIRECT("'数据-取费表'!ah"&amp;$G$1)="",INDIRECT("'数据-取费表'!k"&amp;$G$1),INDIRECT("'数据-取费表'!ah"&amp;$G$1))</f>
        <v>0</v>
      </c>
      <c r="G7" s="1847"/>
      <c r="H7" s="348"/>
      <c r="I7" s="3249"/>
      <c r="J7" s="350"/>
      <c r="K7" s="351"/>
      <c r="L7" s="346" t="s">
        <v>1406</v>
      </c>
      <c r="M7" s="347">
        <f ca="1">F7</f>
        <v>0</v>
      </c>
    </row>
    <row r="8" spans="1:37" ht="18" customHeight="1">
      <c r="A8" s="348"/>
      <c r="B8" s="3249"/>
      <c r="C8" s="350"/>
      <c r="D8" s="351"/>
      <c r="E8" s="346" t="s">
        <v>1407</v>
      </c>
      <c r="F8" s="347">
        <f ca="1">INDIRECT("'数据-取费表'!ai"&amp;$G$1)</f>
        <v>0</v>
      </c>
      <c r="G8" s="1847"/>
      <c r="H8" s="348"/>
      <c r="I8" s="3249"/>
      <c r="J8" s="350"/>
      <c r="K8" s="351"/>
      <c r="L8" s="346" t="s">
        <v>1407</v>
      </c>
      <c r="M8" s="347">
        <f ca="1">INDIRECT("'数据-取费表'!ai"&amp;$G$1)</f>
        <v>0</v>
      </c>
    </row>
    <row r="9" spans="1:37" ht="18" customHeight="1">
      <c r="A9" s="348"/>
      <c r="B9" s="3250"/>
      <c r="C9" s="350"/>
      <c r="D9" s="351"/>
      <c r="E9" s="346" t="s">
        <v>1408</v>
      </c>
      <c r="F9" s="356">
        <f ca="1">INDIRECT("'数据-取费表'!w"&amp;$G$1)</f>
        <v>0</v>
      </c>
      <c r="G9" s="1847"/>
      <c r="H9" s="348"/>
      <c r="I9" s="3250"/>
      <c r="J9" s="350"/>
      <c r="K9" s="351"/>
      <c r="L9" s="357" t="s">
        <v>1408</v>
      </c>
      <c r="M9" s="358">
        <f ca="1">INDIRECT("'数据-取费表'!ab"&amp;$G$1)</f>
        <v>0</v>
      </c>
    </row>
    <row r="10" spans="1:37" ht="18" customHeight="1">
      <c r="A10" s="1287" t="s">
        <v>1039</v>
      </c>
      <c r="B10" s="1819" t="s">
        <v>1409</v>
      </c>
      <c r="C10" s="360">
        <f ca="1">ROUND(IF(F10="押一",C6/12*F11,IF(F10="押二",C6/12*2*F11,IF(F10="押三",C6/12*3*F11,C11*F11))),0)</f>
        <v>0</v>
      </c>
      <c r="D10" s="1820" t="s">
        <v>3032</v>
      </c>
      <c r="E10" s="357" t="s">
        <v>1410</v>
      </c>
      <c r="F10" s="1362"/>
      <c r="G10" s="1847"/>
      <c r="H10" s="1287" t="s">
        <v>1039</v>
      </c>
      <c r="I10" s="1819" t="s">
        <v>1409</v>
      </c>
      <c r="J10" s="345">
        <f ca="1">ROUND(IF(M10="押一",J6/12*M11,IF(M10="押二",J6/12*2*M11,IF(M10="押三",J6/12*3*M11,J11*M11))),0)</f>
        <v>0</v>
      </c>
      <c r="K10" s="1831" t="s">
        <v>3034</v>
      </c>
      <c r="L10" s="357" t="s">
        <v>1410</v>
      </c>
      <c r="M10" s="1362"/>
    </row>
    <row r="11" spans="1:37" ht="18" customHeight="1">
      <c r="A11" s="352"/>
      <c r="B11" s="1821" t="s">
        <v>1602</v>
      </c>
      <c r="C11" s="1174"/>
      <c r="D11" s="351"/>
      <c r="E11" s="357" t="s">
        <v>1412</v>
      </c>
      <c r="F11" s="358">
        <f ca="1">'数据-取费表'!B39</f>
        <v>1.4999999999999999E-2</v>
      </c>
      <c r="G11" s="1847"/>
      <c r="H11" s="1295"/>
      <c r="I11" s="1821" t="s">
        <v>1603</v>
      </c>
      <c r="J11" s="1174"/>
      <c r="K11" s="747"/>
      <c r="L11" s="357"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4">
        <f ca="1">ROUND(C29*F13,0)</f>
        <v>0</v>
      </c>
      <c r="D13" s="1327" t="s">
        <v>1415</v>
      </c>
      <c r="E13" s="1327" t="s">
        <v>1416</v>
      </c>
      <c r="F13" s="1328">
        <f ca="1">INDIRECT("'数据-取费表'!y"&amp;$G$1)</f>
        <v>0</v>
      </c>
      <c r="G13" s="1847"/>
      <c r="H13" s="1325">
        <v>2</v>
      </c>
      <c r="I13" s="1326" t="s">
        <v>1414</v>
      </c>
      <c r="J13" s="1286">
        <f ca="1">ROUND(J14*J15,0)</f>
        <v>0</v>
      </c>
      <c r="K13" s="1333" t="s">
        <v>1415</v>
      </c>
      <c r="L13" s="1848"/>
      <c r="M13" s="1849"/>
    </row>
    <row r="14" spans="1:37" ht="18" customHeight="1">
      <c r="A14" s="1197" t="s">
        <v>1034</v>
      </c>
      <c r="B14" s="346" t="s">
        <v>1417</v>
      </c>
      <c r="C14" s="362">
        <f ca="1">ROUND(INDIRECT("'数据-取费表'!l"&amp;$G$1)*F43+'数据-取费表'!L14*INDIRECT("'数据-取费表'!S"&amp;$G$1),0)</f>
        <v>0</v>
      </c>
      <c r="D14" s="1796" t="s">
        <v>1418</v>
      </c>
      <c r="E14" s="1790"/>
      <c r="F14" s="363"/>
      <c r="G14" s="1847"/>
      <c r="H14" s="1197" t="s">
        <v>1035</v>
      </c>
      <c r="I14" s="346" t="s">
        <v>1419</v>
      </c>
      <c r="J14" s="24">
        <f ca="1">C29</f>
        <v>0</v>
      </c>
      <c r="K14" s="15"/>
      <c r="L14" s="975"/>
      <c r="M14" s="976"/>
    </row>
    <row r="15" spans="1:37" s="1854" customFormat="1" ht="18" customHeight="1" thickBot="1">
      <c r="A15" s="1197" t="s">
        <v>1036</v>
      </c>
      <c r="B15" s="346" t="s">
        <v>1420</v>
      </c>
      <c r="C15" s="24">
        <f ca="1">ROUND(C14*F15,0)</f>
        <v>0</v>
      </c>
      <c r="D15" s="364" t="s">
        <v>1421</v>
      </c>
      <c r="E15" s="364" t="s">
        <v>1422</v>
      </c>
      <c r="F15" s="365">
        <f>'数据-取费表'!B33</f>
        <v>0.03</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1423</v>
      </c>
      <c r="C16" s="24">
        <f ca="1">ROUND(INDIRECT("'数据-取费表'!l"&amp;$G$1)*F43*F16,0)</f>
        <v>0</v>
      </c>
      <c r="D16" s="346" t="s">
        <v>1421</v>
      </c>
      <c r="E16" s="346" t="s">
        <v>1422</v>
      </c>
      <c r="F16" s="366">
        <f ca="1">IF(INDIRECT("'数据-取费表'!c"&amp;$G$1)="住宅",'数据-取费表'!B34,0)</f>
        <v>0</v>
      </c>
      <c r="G16" s="1847"/>
      <c r="H16" s="1325" t="s">
        <v>1030</v>
      </c>
      <c r="I16" s="1326" t="s">
        <v>1424</v>
      </c>
      <c r="J16" s="354">
        <f ca="1">ROUND(J17+J22+J23+J24,0)</f>
        <v>0</v>
      </c>
      <c r="K16" s="1333" t="s">
        <v>1425</v>
      </c>
      <c r="L16" s="1334"/>
      <c r="M16" s="1290"/>
    </row>
    <row r="17" spans="1:37" s="1854" customFormat="1" ht="18" customHeight="1">
      <c r="A17" s="1197" t="s">
        <v>1390</v>
      </c>
      <c r="B17" s="346" t="s">
        <v>1426</v>
      </c>
      <c r="C17" s="24">
        <f ca="1">ROUND(F17*(F43+INDIRECT("'数据-取费表'!S"&amp;$G$1)),0)</f>
        <v>0</v>
      </c>
      <c r="D17" s="346" t="s">
        <v>1427</v>
      </c>
      <c r="E17" s="346" t="s">
        <v>1428</v>
      </c>
      <c r="F17" s="26">
        <f>'数据-取费表'!B35</f>
        <v>200</v>
      </c>
      <c r="G17" s="1850"/>
      <c r="H17" s="1197" t="s">
        <v>1035</v>
      </c>
      <c r="I17" s="346" t="s">
        <v>1429</v>
      </c>
      <c r="J17" s="24">
        <f ca="1">ROUND(IF(项目基本情况!B11="自然人",J5*M17,J18+J19+J20),0)</f>
        <v>0</v>
      </c>
      <c r="K17" s="1796" t="s">
        <v>1430</v>
      </c>
      <c r="L17" s="179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1432</v>
      </c>
      <c r="C18" s="24">
        <f ca="1">ROUND(C14*F18,0)</f>
        <v>0</v>
      </c>
      <c r="D18" s="346" t="s">
        <v>1421</v>
      </c>
      <c r="E18" s="346" t="s">
        <v>1422</v>
      </c>
      <c r="F18" s="366">
        <f>'数据-取费表'!B36</f>
        <v>1.4999999999999999E-2</v>
      </c>
      <c r="G18" s="1850"/>
      <c r="H18" s="1197" t="s">
        <v>1034</v>
      </c>
      <c r="I18" s="346" t="s">
        <v>1433</v>
      </c>
      <c r="J18" s="24">
        <f ca="1">ROUND(J5*M18/(1+'数据-取费表'!C42),0)</f>
        <v>0</v>
      </c>
      <c r="K18" s="179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1435</v>
      </c>
      <c r="C19" s="24">
        <f ca="1">SUM(C14:C18)</f>
        <v>0</v>
      </c>
      <c r="D19" s="139" t="s">
        <v>1436</v>
      </c>
      <c r="E19" s="1814"/>
      <c r="F19" s="26"/>
      <c r="G19" s="1847"/>
      <c r="H19" s="1197" t="s">
        <v>1036</v>
      </c>
      <c r="I19" s="346" t="s">
        <v>1437</v>
      </c>
      <c r="J19" s="24">
        <f ca="1">IF(K19="按租金收入计税",ROUND(J5*M19,0),ROUND(C29*M19*0.7,0))</f>
        <v>0</v>
      </c>
      <c r="K19" s="1824" t="s">
        <v>1438</v>
      </c>
      <c r="L19" s="346" t="s">
        <v>1422</v>
      </c>
      <c r="M19" s="366">
        <f>IF(K19="按租金收入计税",'数据-取费表'!B51,'数据-取费表'!B50)</f>
        <v>1.2E-2</v>
      </c>
    </row>
    <row r="20" spans="1:37" s="1854" customFormat="1" ht="18" customHeight="1">
      <c r="A20" s="1197" t="s">
        <v>1039</v>
      </c>
      <c r="B20" s="346" t="s">
        <v>1439</v>
      </c>
      <c r="C20" s="24">
        <f ca="1">ROUND(C19*F20,0)</f>
        <v>0</v>
      </c>
      <c r="D20" s="368" t="s">
        <v>1440</v>
      </c>
      <c r="E20" s="346" t="s">
        <v>1422</v>
      </c>
      <c r="F20" s="366">
        <f>'数据-取费表'!B37</f>
        <v>0.02</v>
      </c>
      <c r="G20" s="1850"/>
      <c r="H20" s="1197" t="s">
        <v>1389</v>
      </c>
      <c r="I20" s="163" t="s">
        <v>1441</v>
      </c>
      <c r="J20" s="25">
        <f ca="1">ROUND(M20*M21,0)</f>
        <v>0</v>
      </c>
      <c r="K20" s="369" t="s">
        <v>1442</v>
      </c>
      <c r="L20" s="346" t="s">
        <v>1443</v>
      </c>
      <c r="M20" s="370">
        <f>'数据-取费表'!B52</f>
        <v>14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1444</v>
      </c>
      <c r="C21" s="24" t="s">
        <v>1</v>
      </c>
      <c r="D21" s="368" t="s">
        <v>1445</v>
      </c>
      <c r="E21" s="346" t="s">
        <v>1446</v>
      </c>
      <c r="F21" s="366">
        <f>'数据-取费表'!B38</f>
        <v>0.02</v>
      </c>
      <c r="G21" s="1850"/>
      <c r="H21" s="371"/>
      <c r="I21" s="355"/>
      <c r="J21" s="29"/>
      <c r="K21" s="372"/>
      <c r="L21" s="346" t="s">
        <v>1447</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1448</v>
      </c>
      <c r="C22" s="24"/>
      <c r="D22" s="139" t="str">
        <f>IF(F23&lt;=1,"单利计息。","复利计息。")&amp;"建造成本、管理费用、销售费用产生的利息。"</f>
        <v>复利计息。建造成本、管理费用、销售费用产生的利息。</v>
      </c>
      <c r="E22" s="1814"/>
      <c r="F22" s="26"/>
      <c r="G22" s="1847"/>
      <c r="H22" s="1197" t="s">
        <v>1039</v>
      </c>
      <c r="I22" s="346" t="s">
        <v>1449</v>
      </c>
      <c r="J22" s="24">
        <f ca="1">ROUND(J14*M22,0)</f>
        <v>0</v>
      </c>
      <c r="K22" s="1794" t="s">
        <v>1450</v>
      </c>
      <c r="L22" s="346" t="s">
        <v>1422</v>
      </c>
      <c r="M22" s="373">
        <f ca="1">INDIRECT("'数据-取费表'!Ak"&amp;$G$1)</f>
        <v>0</v>
      </c>
    </row>
    <row r="23" spans="1:37" s="1854" customFormat="1" ht="18" customHeight="1">
      <c r="A23" s="1197"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3</v>
      </c>
      <c r="G23" s="1850"/>
      <c r="H23" s="1197" t="s">
        <v>1075</v>
      </c>
      <c r="I23" s="346" t="s">
        <v>1453</v>
      </c>
      <c r="J23" s="24">
        <f ca="1">ROUND(J13*M23,0)</f>
        <v>0</v>
      </c>
      <c r="K23" s="1794" t="s">
        <v>1454</v>
      </c>
      <c r="L23" s="346" t="s">
        <v>1455</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0"/>
      <c r="H24" s="1335" t="s">
        <v>1393</v>
      </c>
      <c r="I24" s="1336" t="s">
        <v>1439</v>
      </c>
      <c r="J24" s="1337">
        <f ca="1">ROUND(J5*M24,0)</f>
        <v>0</v>
      </c>
      <c r="K24" s="1338" t="s">
        <v>1459</v>
      </c>
      <c r="L24" s="1336" t="s">
        <v>1455</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1460</v>
      </c>
      <c r="B25" s="346" t="s">
        <v>1461</v>
      </c>
      <c r="C25" s="24"/>
      <c r="D25" s="139" t="s">
        <v>1462</v>
      </c>
      <c r="E25" s="1814"/>
      <c r="F25" s="26"/>
      <c r="G25" s="1847"/>
      <c r="H25" s="1325" t="s">
        <v>1031</v>
      </c>
      <c r="I25" s="1340" t="s">
        <v>1463</v>
      </c>
      <c r="J25" s="354">
        <f ca="1">J5-J16</f>
        <v>0</v>
      </c>
      <c r="K25" s="1341" t="s">
        <v>1464</v>
      </c>
      <c r="L25" s="1342"/>
      <c r="M25" s="1343"/>
    </row>
    <row r="26" spans="1:37" ht="18" customHeight="1">
      <c r="A26" s="1197" t="s">
        <v>1034</v>
      </c>
      <c r="B26" s="346" t="s">
        <v>1465</v>
      </c>
      <c r="C26" s="24">
        <f ca="1">ROUND((C19+C20)*F26,0)</f>
        <v>0</v>
      </c>
      <c r="D26" s="368" t="s">
        <v>1466</v>
      </c>
      <c r="E26" s="357" t="s">
        <v>1467</v>
      </c>
      <c r="F26" s="356">
        <f ca="1">INDIRECT("'数据-取费表'!q"&amp;$G$1)</f>
        <v>0</v>
      </c>
      <c r="G26" s="1847"/>
      <c r="H26" s="343" t="s">
        <v>1032</v>
      </c>
      <c r="I26" s="344" t="s">
        <v>1468</v>
      </c>
      <c r="J26" s="345">
        <f ca="1">IF(J5&lt;&gt;0,ROUND(J25*(1-((1+M28)/(1+M26))^M27)/(M26-M28),0),0)</f>
        <v>0</v>
      </c>
      <c r="K26" s="369" t="s">
        <v>1469</v>
      </c>
      <c r="L26" s="346" t="s">
        <v>1470</v>
      </c>
      <c r="M26" s="356">
        <f ca="1">INDIRECT("'数据-取费表'!I"&amp;$G$1)</f>
        <v>0</v>
      </c>
    </row>
    <row r="27" spans="1:37" ht="18" customHeight="1">
      <c r="A27" s="1197" t="s">
        <v>1036</v>
      </c>
      <c r="B27" s="346" t="s">
        <v>1471</v>
      </c>
      <c r="C27" s="24">
        <f ca="1">ROUND(F21*F26,4)</f>
        <v>0</v>
      </c>
      <c r="D27" s="368" t="s">
        <v>1472</v>
      </c>
      <c r="E27" s="364"/>
      <c r="F27" s="365"/>
      <c r="G27" s="1847"/>
      <c r="H27" s="348"/>
      <c r="I27" s="349"/>
      <c r="J27" s="350"/>
      <c r="K27" s="377" t="s">
        <v>1473</v>
      </c>
      <c r="L27" s="346" t="s">
        <v>1474</v>
      </c>
      <c r="M27" s="378">
        <f ca="1">INDIRECT("'数据-取费表'!ag"&amp;$G$1)</f>
        <v>0</v>
      </c>
    </row>
    <row r="28" spans="1:37" s="1854" customFormat="1" ht="18" customHeight="1">
      <c r="A28" s="1197"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0</v>
      </c>
      <c r="D29" s="1338"/>
      <c r="E29" s="1336"/>
      <c r="F29" s="1339"/>
      <c r="G29" s="1850"/>
      <c r="H29" s="379" t="s">
        <v>1033</v>
      </c>
      <c r="I29" s="380" t="s">
        <v>1479</v>
      </c>
      <c r="J29" s="381">
        <f ca="1">ROUND(J26/(1+F40)^F41,0)</f>
        <v>0</v>
      </c>
      <c r="K29" s="382" t="s">
        <v>1480</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4">
        <f ca="1">ROUND(C31+C36+C37+C38,0)</f>
        <v>0</v>
      </c>
      <c r="D30" s="1333" t="s">
        <v>1425</v>
      </c>
      <c r="E30" s="1334"/>
      <c r="F30" s="1290"/>
      <c r="G30" s="1847"/>
      <c r="H30" s="744"/>
      <c r="I30" s="745"/>
      <c r="J30" s="746"/>
      <c r="K30" s="747"/>
      <c r="L30" s="748"/>
      <c r="M30" s="749"/>
    </row>
    <row r="31" spans="1:37" ht="18" customHeight="1">
      <c r="A31" s="1197" t="s">
        <v>1035</v>
      </c>
      <c r="B31" s="346" t="s">
        <v>1429</v>
      </c>
      <c r="C31" s="24">
        <f ca="1">ROUND(IF(项目基本情况!B11="自然人",C5*F31,C32+C33+C34),0)</f>
        <v>0</v>
      </c>
      <c r="D31" s="1796" t="s">
        <v>1430</v>
      </c>
      <c r="E31" s="179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1433</v>
      </c>
      <c r="C32" s="24">
        <f ca="1">IF(项目基本情况!B11="自然人","——",ROUND(C5*F32/(1+'数据-取费表'!C42),0))</f>
        <v>0</v>
      </c>
      <c r="D32" s="1794" t="s">
        <v>1434</v>
      </c>
      <c r="E32" s="346" t="s">
        <v>1422</v>
      </c>
      <c r="F32" s="376">
        <f>'数据-取费表'!B41</f>
        <v>5.6000000000000001E-2</v>
      </c>
      <c r="G32" s="1847"/>
      <c r="H32" s="744"/>
      <c r="I32" s="745"/>
      <c r="J32" s="746"/>
      <c r="K32" s="747"/>
      <c r="L32" s="748"/>
      <c r="M32" s="749"/>
    </row>
    <row r="33" spans="1:18" ht="18" customHeight="1">
      <c r="A33" s="1197" t="s">
        <v>1036</v>
      </c>
      <c r="B33" s="346" t="s">
        <v>1437</v>
      </c>
      <c r="C33" s="24">
        <f ca="1">IF(项目基本情况!B11="自然人","——",IF(D33="按租金收入计税",ROUND(C5*F33,0),IF(D33="按房产原值计税",ROUND(C29*F33*0.7,0),INDIRECT("'数据-取费表'!Aj"&amp;$G$1))))</f>
        <v>0</v>
      </c>
      <c r="D33" s="1824" t="s">
        <v>1438</v>
      </c>
      <c r="E33" s="346" t="s">
        <v>1422</v>
      </c>
      <c r="F33" s="366">
        <f>IF(D33="按票据","——",IF(D33="按租金收入计税",'数据-取费表'!B51,'数据-取费表'!B50))</f>
        <v>1.2E-2</v>
      </c>
      <c r="G33" s="1847"/>
      <c r="H33" s="1855"/>
      <c r="I33" s="1856"/>
      <c r="J33" s="1857"/>
      <c r="K33" s="1858"/>
      <c r="L33" s="1855"/>
      <c r="M33" s="1855"/>
    </row>
    <row r="34" spans="1:18" ht="18" customHeight="1">
      <c r="A34" s="1287" t="s">
        <v>1389</v>
      </c>
      <c r="B34" s="163" t="s">
        <v>1441</v>
      </c>
      <c r="C34" s="25">
        <f ca="1">IF(项目基本情况!B11="自然人","——",ROUND(F34*F35,))</f>
        <v>0</v>
      </c>
      <c r="D34" s="369" t="s">
        <v>1442</v>
      </c>
      <c r="E34" s="346" t="s">
        <v>1443</v>
      </c>
      <c r="F34" s="370">
        <f>'数据-取费表'!B52</f>
        <v>14</v>
      </c>
      <c r="G34" s="1847"/>
      <c r="H34" s="744"/>
      <c r="I34" s="1856"/>
      <c r="J34" s="1857"/>
      <c r="K34" s="1859"/>
      <c r="L34" s="1860"/>
      <c r="M34" s="1860"/>
    </row>
    <row r="35" spans="1:18" ht="18" customHeight="1">
      <c r="A35" s="1349"/>
      <c r="B35" s="1347"/>
      <c r="C35" s="29"/>
      <c r="D35" s="372"/>
      <c r="E35" s="346" t="s">
        <v>1447</v>
      </c>
      <c r="F35" s="347">
        <f ca="1">INDIRECT("'数据-取费表'!r"&amp;$G$1)</f>
        <v>0</v>
      </c>
      <c r="G35" s="1847"/>
      <c r="H35" s="744"/>
      <c r="I35" s="1856"/>
      <c r="J35" s="1857"/>
      <c r="K35" s="1858"/>
      <c r="L35" s="1855"/>
      <c r="M35" s="1855"/>
    </row>
    <row r="36" spans="1:18" ht="18" customHeight="1">
      <c r="A36" s="1348" t="s">
        <v>1039</v>
      </c>
      <c r="B36" s="346" t="s">
        <v>1449</v>
      </c>
      <c r="C36" s="24">
        <f ca="1">ROUND(C29*F36,0)</f>
        <v>0</v>
      </c>
      <c r="D36" s="1794" t="s">
        <v>1482</v>
      </c>
      <c r="E36" s="346" t="s">
        <v>1422</v>
      </c>
      <c r="F36" s="373">
        <f ca="1">INDIRECT("'数据-取费表'!Ak"&amp;$G$1)</f>
        <v>0</v>
      </c>
      <c r="G36" s="1847"/>
      <c r="H36" s="1855"/>
      <c r="I36" s="1856"/>
      <c r="J36" s="1857"/>
      <c r="K36" s="750"/>
      <c r="L36" s="1855"/>
      <c r="M36" s="1855"/>
    </row>
    <row r="37" spans="1:18" ht="18" customHeight="1">
      <c r="A37" s="1197" t="s">
        <v>1075</v>
      </c>
      <c r="B37" s="346" t="s">
        <v>1453</v>
      </c>
      <c r="C37" s="24">
        <f ca="1">ROUND(C13*F37,0)</f>
        <v>0</v>
      </c>
      <c r="D37" s="1794" t="s">
        <v>1454</v>
      </c>
      <c r="E37" s="346" t="s">
        <v>1455</v>
      </c>
      <c r="F37" s="375">
        <f ca="1">INDIRECT("'数据-取费表'!Al"&amp;$G$1)</f>
        <v>0</v>
      </c>
      <c r="G37" s="1847"/>
      <c r="H37" s="1855"/>
      <c r="I37" s="1856"/>
      <c r="J37" s="1857"/>
      <c r="K37" s="750"/>
      <c r="L37" s="1855"/>
      <c r="M37" s="1855"/>
    </row>
    <row r="38" spans="1:18" ht="18" customHeight="1" thickBot="1">
      <c r="A38" s="1335" t="s">
        <v>1393</v>
      </c>
      <c r="B38" s="1336" t="s">
        <v>1439</v>
      </c>
      <c r="C38" s="1337">
        <f ca="1">ROUND(C5*F38,1)</f>
        <v>0</v>
      </c>
      <c r="D38" s="1338" t="s">
        <v>1459</v>
      </c>
      <c r="E38" s="1336" t="s">
        <v>1455</v>
      </c>
      <c r="F38" s="1332">
        <f ca="1">INDIRECT("'数据-取费表'!Am"&amp;$G$1)</f>
        <v>0</v>
      </c>
      <c r="G38" s="1847"/>
      <c r="H38" s="1855"/>
      <c r="I38" s="1856"/>
      <c r="J38" s="1857"/>
      <c r="K38" s="1861"/>
      <c r="L38" s="1855"/>
      <c r="M38" s="1855"/>
    </row>
    <row r="39" spans="1:18" ht="24.6" customHeight="1" thickTop="1">
      <c r="A39" s="1325" t="s">
        <v>1031</v>
      </c>
      <c r="B39" s="1340" t="s">
        <v>1483</v>
      </c>
      <c r="C39" s="354">
        <f ca="1">C5-C30</f>
        <v>0</v>
      </c>
      <c r="D39" s="1341" t="s">
        <v>1484</v>
      </c>
      <c r="E39" s="1342"/>
      <c r="F39" s="1343"/>
      <c r="G39" s="1847"/>
      <c r="H39" s="1855"/>
      <c r="I39" s="1856"/>
      <c r="J39" s="1857"/>
      <c r="K39" s="1861"/>
      <c r="L39" s="1855"/>
      <c r="M39" s="1855"/>
    </row>
    <row r="40" spans="1:18" ht="18" customHeight="1">
      <c r="A40" s="343" t="s">
        <v>1032</v>
      </c>
      <c r="B40" s="344" t="s">
        <v>1485</v>
      </c>
      <c r="C40" s="345" t="e">
        <f ca="1">ROUND(C39*(1-((1+F42)/(1+F40))^F41)/(F40-F42),0)</f>
        <v>#DIV/0!</v>
      </c>
      <c r="D40" s="369" t="s">
        <v>1469</v>
      </c>
      <c r="E40" s="346" t="s">
        <v>1470</v>
      </c>
      <c r="F40" s="356">
        <f ca="1">INDIRECT("'数据-取费表'!I"&amp;$G$1)</f>
        <v>0</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1477</v>
      </c>
      <c r="F42" s="356">
        <f ca="1">INDIRECT("'数据-取费表'!v"&amp;$G$1)</f>
        <v>0</v>
      </c>
      <c r="G42" s="1847"/>
      <c r="H42" s="731"/>
      <c r="I42" s="1856"/>
      <c r="J42" s="1857"/>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1519</v>
      </c>
      <c r="P45" s="1835"/>
      <c r="Q45" s="1835"/>
      <c r="R45" s="1835"/>
    </row>
    <row r="46" spans="1:18" s="1838" customFormat="1" ht="13.5" thickBot="1">
      <c r="A46" s="1866" t="s">
        <v>1520</v>
      </c>
      <c r="C46" s="1867" t="e">
        <f ca="1">ROUND(C45/10000,0)</f>
        <v>#DIV/0!</v>
      </c>
      <c r="D46" s="1868" t="str">
        <f>C2</f>
        <v>万元</v>
      </c>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1" t="s">
        <v>1396</v>
      </c>
      <c r="B47" s="1193" t="s">
        <v>1397</v>
      </c>
      <c r="C47" s="1193" t="s">
        <v>1398</v>
      </c>
      <c r="D47" s="1193" t="s">
        <v>1399</v>
      </c>
      <c r="E47" s="1275" t="s">
        <v>1400</v>
      </c>
      <c r="F47" s="1276"/>
      <c r="G47" s="791"/>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6" t="s">
        <v>1135</v>
      </c>
      <c r="B48" s="344" t="s">
        <v>1401</v>
      </c>
      <c r="C48" s="1813">
        <f ca="1">C49+C53+C55</f>
        <v>0</v>
      </c>
      <c r="D48" s="1358"/>
      <c r="E48" s="1359"/>
      <c r="F48" s="1177"/>
      <c r="G48" s="791"/>
      <c r="H48" s="792"/>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0" t="s">
        <v>1136</v>
      </c>
      <c r="B49" s="1825" t="s">
        <v>1490</v>
      </c>
      <c r="C49" s="1360">
        <f ca="1">ROUND(F49*F51*F50*(1-F52),0)</f>
        <v>0</v>
      </c>
      <c r="D49" s="1272" t="s">
        <v>1404</v>
      </c>
      <c r="E49" s="1826" t="s">
        <v>1491</v>
      </c>
      <c r="F49" s="1277"/>
      <c r="G49" s="1887"/>
      <c r="H49" s="792"/>
      <c r="I49" s="1883" t="s">
        <v>1534</v>
      </c>
      <c r="J49" s="1888"/>
      <c r="K49" s="1885" t="s">
        <v>1535</v>
      </c>
      <c r="L49" s="1889"/>
      <c r="O49" s="1890" t="s">
        <v>1042</v>
      </c>
      <c r="P49" s="1881" t="s">
        <v>1536</v>
      </c>
      <c r="Q49" s="1882">
        <f ca="1">C29</f>
        <v>0</v>
      </c>
      <c r="R49" s="1882" t="s">
        <v>1529</v>
      </c>
    </row>
    <row r="50" spans="1:18" s="1838" customFormat="1" ht="13.5" thickBot="1">
      <c r="A50" s="1191"/>
      <c r="B50" s="1194"/>
      <c r="C50" s="1195"/>
      <c r="D50" s="1168"/>
      <c r="E50" s="1273" t="s">
        <v>1406</v>
      </c>
      <c r="F50" s="1274">
        <f ca="1">F7</f>
        <v>0</v>
      </c>
      <c r="H50" s="792"/>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2"/>
      <c r="B51" s="1194"/>
      <c r="C51" s="1195"/>
      <c r="D51" s="1168"/>
      <c r="E51" s="1196" t="s">
        <v>1407</v>
      </c>
      <c r="F51" s="347">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2"/>
      <c r="B52" s="1194"/>
      <c r="C52" s="1195"/>
      <c r="D52" s="1168"/>
      <c r="E52" s="1196" t="s">
        <v>1408</v>
      </c>
      <c r="F52" s="1271"/>
      <c r="I52" s="1899" t="s">
        <v>1543</v>
      </c>
      <c r="J52" s="1900"/>
      <c r="K52" s="1899" t="s">
        <v>1544</v>
      </c>
      <c r="L52" s="1900"/>
      <c r="O52" s="1890" t="s">
        <v>1045</v>
      </c>
      <c r="P52" s="1881" t="s">
        <v>1545</v>
      </c>
      <c r="Q52" s="1882" t="b">
        <f>J53</f>
        <v>0</v>
      </c>
      <c r="R52" s="1882" t="s">
        <v>1546</v>
      </c>
    </row>
    <row r="53" spans="1:18" s="1838" customFormat="1" ht="30.75" customHeight="1" thickBot="1">
      <c r="A53" s="1357" t="s">
        <v>1137</v>
      </c>
      <c r="B53" s="368" t="s">
        <v>1409</v>
      </c>
      <c r="C53" s="360">
        <f ca="1">ROUND(IF(F53="押一",C49/12*F11,IF(F53="押二",C49/12*2*F11,IF(F53="押三",C49/12*3*F11,C54*F11))),0)</f>
        <v>0</v>
      </c>
      <c r="D53" s="1820" t="s">
        <v>3035</v>
      </c>
      <c r="E53" s="357" t="s">
        <v>1410</v>
      </c>
      <c r="F53" s="1362"/>
      <c r="I53" s="1901" t="s">
        <v>1547</v>
      </c>
      <c r="J53" s="1902" t="b">
        <f>IF(M47="住宅",IF(D1="——",MAX(J51,L48),IF(D1="在建（套用方法）",MAX(J51,L48-'数据-取费表'!B24),MAX(J51,L48-'数据-取费表'!B20))),IF(D1="——",MIN(J51,L48),IF(D1="在建（套用方法）",MIN(J51,L48-'数据-取费表'!B24),IF(D1="土地（套用方法）",MIN(J51,L48-'数据-取费表'!B20)))))</f>
        <v>0</v>
      </c>
      <c r="K53" s="3246" t="s">
        <v>1548</v>
      </c>
      <c r="L53" s="3247"/>
      <c r="O53" s="1880" t="s">
        <v>1046</v>
      </c>
      <c r="P53" s="1881" t="s">
        <v>1549</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29" t="s">
        <v>1075</v>
      </c>
      <c r="B55" s="1823" t="s">
        <v>1413</v>
      </c>
      <c r="C55" s="1330"/>
      <c r="D55" s="1820"/>
      <c r="E55" s="1828"/>
      <c r="F55" s="1903"/>
      <c r="I55" s="1906" t="s">
        <v>1551</v>
      </c>
      <c r="J55" s="1907" t="e">
        <f ca="1">ROUND(IF(J47="钢混",J57/J50,1-(1-2%)*(J50-J57)/J50),3)</f>
        <v>#DIV/0!</v>
      </c>
      <c r="K55" s="1908" t="s">
        <v>1552</v>
      </c>
      <c r="L55" s="1909"/>
      <c r="O55" s="1873" t="s">
        <v>1522</v>
      </c>
      <c r="P55" s="1874" t="s">
        <v>1523</v>
      </c>
      <c r="Q55" s="1875" t="s">
        <v>1524</v>
      </c>
      <c r="R55" s="1875" t="s">
        <v>1525</v>
      </c>
    </row>
    <row r="56" spans="1:18" s="1838" customFormat="1" ht="36" customHeight="1" thickTop="1" thickBot="1">
      <c r="A56" s="1172">
        <v>2</v>
      </c>
      <c r="B56" s="1173" t="s">
        <v>1414</v>
      </c>
      <c r="C56" s="275">
        <f ca="1">C13</f>
        <v>0</v>
      </c>
      <c r="D56" s="1910"/>
      <c r="E56" s="1911"/>
      <c r="F56" s="1903"/>
      <c r="I56" s="1912" t="s">
        <v>1554</v>
      </c>
      <c r="J56" s="1913"/>
      <c r="K56" s="1883" t="s">
        <v>1555</v>
      </c>
      <c r="L56" s="1886">
        <f ca="1">IF(L48&lt;J51,"——",L48-J51)</f>
        <v>0</v>
      </c>
      <c r="O56" s="1880" t="s">
        <v>1040</v>
      </c>
      <c r="P56" s="1881" t="s">
        <v>1528</v>
      </c>
      <c r="Q56" s="1882" t="e">
        <f ca="1">C40+J29</f>
        <v>#DIV/0!</v>
      </c>
      <c r="R56" s="1882" t="s">
        <v>1529</v>
      </c>
    </row>
    <row r="57" spans="1:18" s="1838" customFormat="1" ht="24.75" thickBot="1">
      <c r="A57" s="1914"/>
      <c r="B57" s="1165" t="s">
        <v>1478</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1424</v>
      </c>
      <c r="C58" s="360">
        <f ca="1">ROUND(C59+C64+C65+C66,0)</f>
        <v>0</v>
      </c>
      <c r="D58" s="1175" t="s">
        <v>1425</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ROUND(IF(项目基本情况!B11="自然人",C48*F59,C60+C61+C62),0)</f>
        <v>0</v>
      </c>
      <c r="D59" s="1178" t="s">
        <v>1430</v>
      </c>
      <c r="E59" s="1179" t="s">
        <v>1431</v>
      </c>
      <c r="F59" s="367"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IF(项目基本情况!B11="自然人","——",ROUND(C48*F60/(1+'数据-取费表'!C42),0))</f>
        <v>0</v>
      </c>
      <c r="D60" s="1179" t="s">
        <v>1434</v>
      </c>
      <c r="E60" s="1165" t="s">
        <v>1422</v>
      </c>
      <c r="F60" s="376">
        <f t="shared" ref="F60:F66" si="0">F32</f>
        <v>5.6000000000000001E-2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1492</v>
      </c>
      <c r="B61" s="1165" t="s">
        <v>1493</v>
      </c>
      <c r="C61" s="24">
        <f ca="1">IF(项目基本情况!B11="自然人","——",IF(D61="按租金收入计税",ROUND(C48*F61,0),IF(D61="按房产原值计税",ROUND(C57*F61*0.7,0),INDIRECT("'数据-取费表'!Aj"&amp;$G$1))))</f>
        <v>0</v>
      </c>
      <c r="D61" s="1824" t="s">
        <v>1438</v>
      </c>
      <c r="E61" s="1165" t="s">
        <v>1494</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1495</v>
      </c>
      <c r="B62" s="1164" t="s">
        <v>1496</v>
      </c>
      <c r="C62" s="25">
        <f ca="1">IF(项目基本情况!B11="自然人","——",ROUND(F62*F63,0))</f>
        <v>0</v>
      </c>
      <c r="D62" s="1180" t="s">
        <v>1497</v>
      </c>
      <c r="E62" s="1165" t="s">
        <v>1498</v>
      </c>
      <c r="F62" s="370">
        <f t="shared" si="0"/>
        <v>14</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9"/>
      <c r="D63" s="1181"/>
      <c r="E63" s="1165" t="s">
        <v>1499</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1500</v>
      </c>
      <c r="B64" s="1165" t="s">
        <v>1501</v>
      </c>
      <c r="C64" s="24">
        <f ca="1">ROUND(C57*F64,0)</f>
        <v>0</v>
      </c>
      <c r="D64" s="1179" t="s">
        <v>1502</v>
      </c>
      <c r="E64" s="1165" t="s">
        <v>1494</v>
      </c>
      <c r="F64" s="373">
        <f t="shared" ca="1" si="0"/>
        <v>0</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ROUND(C56*F65,0)</f>
        <v>0</v>
      </c>
      <c r="D65" s="1179" t="s">
        <v>1454</v>
      </c>
      <c r="E65" s="1165" t="s">
        <v>1455</v>
      </c>
      <c r="F65" s="375">
        <f t="shared" ca="1" si="0"/>
        <v>0</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197" t="s">
        <v>1504</v>
      </c>
      <c r="B66" s="1165" t="s">
        <v>1439</v>
      </c>
      <c r="C66" s="24">
        <f ca="1">ROUND(C48*F66,0)</f>
        <v>0</v>
      </c>
      <c r="D66" s="1179" t="s">
        <v>1505</v>
      </c>
      <c r="E66" s="1165" t="s">
        <v>1422</v>
      </c>
      <c r="F66" s="356">
        <f t="shared" ca="1" si="0"/>
        <v>0</v>
      </c>
      <c r="O66" s="1880" t="s">
        <v>1041</v>
      </c>
      <c r="P66" s="1881" t="s">
        <v>1558</v>
      </c>
      <c r="Q66" s="1882" t="e">
        <f ca="1">L60</f>
        <v>#DIV/0!</v>
      </c>
      <c r="R66" s="1882" t="s">
        <v>1581</v>
      </c>
    </row>
    <row r="67" spans="1:18" s="1838" customFormat="1" ht="16.5" thickBot="1">
      <c r="A67" s="1172" t="s">
        <v>1031</v>
      </c>
      <c r="B67" s="1182" t="s">
        <v>1463</v>
      </c>
      <c r="C67" s="360">
        <f ca="1">C48-C58</f>
        <v>0</v>
      </c>
      <c r="D67" s="1178" t="s">
        <v>1464</v>
      </c>
      <c r="E67" s="1183"/>
      <c r="F67" s="1184"/>
      <c r="O67" s="1890" t="s">
        <v>1042</v>
      </c>
      <c r="P67" s="1881" t="s">
        <v>1562</v>
      </c>
      <c r="Q67" s="1929">
        <f ca="1">L51</f>
        <v>0</v>
      </c>
      <c r="R67" s="1882" t="s">
        <v>1582</v>
      </c>
    </row>
    <row r="68" spans="1:18" s="1838" customFormat="1" ht="16.5" thickBot="1">
      <c r="A68" s="1162" t="s">
        <v>1032</v>
      </c>
      <c r="B68" s="1163" t="s">
        <v>1485</v>
      </c>
      <c r="C68" s="345" t="e">
        <f ca="1">ROUND(C67*(1-((1+F70)/(1+F68))^F69)/(F68-F70),0)</f>
        <v>#DIV/0!</v>
      </c>
      <c r="D68" s="1180" t="s">
        <v>1469</v>
      </c>
      <c r="E68" s="1165" t="s">
        <v>1470</v>
      </c>
      <c r="F68" s="356">
        <f ca="1">F40</f>
        <v>0</v>
      </c>
      <c r="O68" s="1890" t="s">
        <v>1043</v>
      </c>
      <c r="P68" s="1930" t="s">
        <v>1583</v>
      </c>
      <c r="Q68" s="1882">
        <f ca="1">ROUND(Q69-Q70*Q71,0)</f>
        <v>0</v>
      </c>
      <c r="R68" s="1882" t="s">
        <v>1051</v>
      </c>
    </row>
    <row r="69" spans="1:18" s="1838" customFormat="1" ht="13.5" thickBot="1">
      <c r="A69" s="1166"/>
      <c r="B69" s="1167"/>
      <c r="C69" s="350"/>
      <c r="D69" s="1185" t="s">
        <v>1473</v>
      </c>
      <c r="E69" s="1165" t="s">
        <v>1474</v>
      </c>
      <c r="F69" s="378">
        <f ca="1">F41</f>
        <v>0</v>
      </c>
      <c r="O69" s="1890" t="s">
        <v>1048</v>
      </c>
      <c r="P69" s="1930" t="s">
        <v>1584</v>
      </c>
      <c r="Q69" s="1882">
        <f ca="1">C39</f>
        <v>0</v>
      </c>
      <c r="R69" s="1882" t="s">
        <v>1529</v>
      </c>
    </row>
    <row r="70" spans="1:18" s="1838" customFormat="1" ht="13.5" thickBot="1">
      <c r="A70" s="1169"/>
      <c r="B70" s="1170"/>
      <c r="C70" s="354"/>
      <c r="D70" s="1181"/>
      <c r="E70" s="1165" t="s">
        <v>1477</v>
      </c>
      <c r="F70" s="1271">
        <f ca="1">F42</f>
        <v>0</v>
      </c>
      <c r="O70" s="1890" t="s">
        <v>1049</v>
      </c>
      <c r="P70" s="1930" t="s">
        <v>1585</v>
      </c>
      <c r="Q70" s="1882">
        <f ca="1">C13</f>
        <v>0</v>
      </c>
      <c r="R70" s="1882" t="s">
        <v>1529</v>
      </c>
    </row>
    <row r="71" spans="1:18" s="1838" customFormat="1" ht="13.5" thickBot="1">
      <c r="A71" s="1186" t="s">
        <v>1033</v>
      </c>
      <c r="B71" s="1187" t="s">
        <v>1487</v>
      </c>
      <c r="C71" s="381" t="e">
        <f ca="1">ROUND(C68/F71,0)</f>
        <v>#DIV/0!</v>
      </c>
      <c r="D71" s="1188" t="s">
        <v>1488</v>
      </c>
      <c r="E71" s="1189" t="s">
        <v>1489</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1506</v>
      </c>
      <c r="C75" s="386">
        <f ca="1">ROUND(C13*C76,0)</f>
        <v>0</v>
      </c>
      <c r="D75" s="1838"/>
      <c r="E75" s="1838"/>
      <c r="F75" s="1838"/>
      <c r="K75" s="1864"/>
      <c r="L75" s="1838"/>
      <c r="O75" s="1880" t="s">
        <v>1046</v>
      </c>
      <c r="P75" s="1881" t="s">
        <v>1549</v>
      </c>
      <c r="Q75" s="1882" t="e">
        <f ca="1">Q65+Q66</f>
        <v>#DIV/0!</v>
      </c>
      <c r="R75" s="1882" t="s">
        <v>1047</v>
      </c>
    </row>
    <row r="76" spans="1:18">
      <c r="B76" s="387" t="s">
        <v>1507</v>
      </c>
      <c r="C76" s="388">
        <f ca="1">INDIRECT("'数据-取费表'!j"&amp;$G$1)</f>
        <v>0</v>
      </c>
      <c r="I76" s="1838"/>
      <c r="J76" s="1838"/>
      <c r="K76" s="1864"/>
      <c r="L76" s="1838"/>
    </row>
    <row r="77" spans="1:18">
      <c r="B77" s="389" t="s">
        <v>1508</v>
      </c>
      <c r="C77" s="390"/>
      <c r="I77" s="1838"/>
      <c r="J77" s="1838"/>
      <c r="K77" s="1864"/>
      <c r="L77" s="1838"/>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7" t="s">
        <v>1076</v>
      </c>
      <c r="B1" s="3268"/>
      <c r="C1" s="3269"/>
      <c r="D1" s="3270">
        <f>SUM(I10,I15,I20,I21,I23)</f>
        <v>0</v>
      </c>
      <c r="E1" s="3270"/>
      <c r="F1" s="3270"/>
      <c r="G1" s="3270"/>
      <c r="H1" s="3270"/>
      <c r="I1" s="3271"/>
    </row>
    <row r="2" spans="1:9">
      <c r="A2" s="3257" t="s">
        <v>1077</v>
      </c>
      <c r="B2" s="3258" t="s">
        <v>1078</v>
      </c>
      <c r="C2" s="3258"/>
      <c r="D2" s="1297" t="s">
        <v>1079</v>
      </c>
      <c r="E2" s="1297" t="s">
        <v>1080</v>
      </c>
      <c r="F2" s="1297" t="s">
        <v>1081</v>
      </c>
      <c r="G2" s="1297" t="s">
        <v>1082</v>
      </c>
      <c r="H2" s="1297" t="s">
        <v>1083</v>
      </c>
      <c r="I2" s="1298" t="s">
        <v>1084</v>
      </c>
    </row>
    <row r="3" spans="1:9">
      <c r="A3" s="3257"/>
      <c r="B3" s="3258" t="s">
        <v>1085</v>
      </c>
      <c r="C3" s="3258"/>
      <c r="D3" s="1299"/>
      <c r="E3" s="1297"/>
      <c r="F3" s="1300"/>
      <c r="G3" s="1300"/>
      <c r="H3" s="1301"/>
      <c r="I3" s="1302">
        <f>ROUND(D3*E3*F3*G3*H3/10000,0)</f>
        <v>0</v>
      </c>
    </row>
    <row r="4" spans="1:9">
      <c r="A4" s="3257"/>
      <c r="B4" s="3258" t="s">
        <v>1086</v>
      </c>
      <c r="C4" s="3258"/>
      <c r="D4" s="1299"/>
      <c r="E4" s="1297"/>
      <c r="F4" s="1300"/>
      <c r="G4" s="1300"/>
      <c r="H4" s="1301"/>
      <c r="I4" s="1302">
        <f t="shared" ref="I4:I9" si="0">ROUND(D4*E4*F4*G4*H4/10000,0)</f>
        <v>0</v>
      </c>
    </row>
    <row r="5" spans="1:9">
      <c r="A5" s="3257"/>
      <c r="B5" s="3258" t="s">
        <v>1087</v>
      </c>
      <c r="C5" s="3258"/>
      <c r="D5" s="1299"/>
      <c r="E5" s="1297"/>
      <c r="F5" s="1300"/>
      <c r="G5" s="1300"/>
      <c r="H5" s="1301"/>
      <c r="I5" s="1302">
        <f t="shared" si="0"/>
        <v>0</v>
      </c>
    </row>
    <row r="6" spans="1:9">
      <c r="A6" s="3257"/>
      <c r="B6" s="3258" t="s">
        <v>1088</v>
      </c>
      <c r="C6" s="3258"/>
      <c r="D6" s="1299"/>
      <c r="E6" s="1297"/>
      <c r="F6" s="1300"/>
      <c r="G6" s="1300"/>
      <c r="H6" s="1301"/>
      <c r="I6" s="1302">
        <f t="shared" si="0"/>
        <v>0</v>
      </c>
    </row>
    <row r="7" spans="1:9">
      <c r="A7" s="3257"/>
      <c r="B7" s="3258" t="s">
        <v>1089</v>
      </c>
      <c r="C7" s="3258"/>
      <c r="D7" s="1299"/>
      <c r="E7" s="1297"/>
      <c r="F7" s="1300"/>
      <c r="G7" s="1300"/>
      <c r="H7" s="1301"/>
      <c r="I7" s="1302">
        <f t="shared" si="0"/>
        <v>0</v>
      </c>
    </row>
    <row r="8" spans="1:9">
      <c r="A8" s="3257"/>
      <c r="B8" s="3258" t="s">
        <v>1090</v>
      </c>
      <c r="C8" s="3258"/>
      <c r="D8" s="1299"/>
      <c r="E8" s="1297"/>
      <c r="F8" s="1300"/>
      <c r="G8" s="1300"/>
      <c r="H8" s="1301"/>
      <c r="I8" s="1302">
        <f t="shared" si="0"/>
        <v>0</v>
      </c>
    </row>
    <row r="9" spans="1:9">
      <c r="A9" s="3257"/>
      <c r="B9" s="3258" t="s">
        <v>1091</v>
      </c>
      <c r="C9" s="3258"/>
      <c r="D9" s="1299"/>
      <c r="E9" s="1297"/>
      <c r="F9" s="1300"/>
      <c r="G9" s="1300"/>
      <c r="H9" s="1301"/>
      <c r="I9" s="1302">
        <f t="shared" si="0"/>
        <v>0</v>
      </c>
    </row>
    <row r="10" spans="1:9">
      <c r="A10" s="3257"/>
      <c r="B10" s="3259" t="s">
        <v>1092</v>
      </c>
      <c r="C10" s="3259"/>
      <c r="D10" s="1303"/>
      <c r="E10" s="1303" t="e">
        <f>ROUND(D1*10000/D10/H9,0)</f>
        <v>#DIV/0!</v>
      </c>
      <c r="F10" s="1304"/>
      <c r="G10" s="1304"/>
      <c r="H10" s="1305"/>
      <c r="I10" s="1306">
        <f>SUM(I3:I9)</f>
        <v>0</v>
      </c>
    </row>
    <row r="11" spans="1:9" ht="14.25">
      <c r="A11" s="3257" t="s">
        <v>1093</v>
      </c>
      <c r="B11" s="3258" t="s">
        <v>1094</v>
      </c>
      <c r="C11" s="3258"/>
      <c r="D11" s="1299" t="s">
        <v>1095</v>
      </c>
      <c r="E11" s="1299" t="s">
        <v>1096</v>
      </c>
      <c r="F11" s="1300" t="s">
        <v>1097</v>
      </c>
      <c r="G11" s="1300" t="s">
        <v>1083</v>
      </c>
      <c r="H11" s="1307" t="s">
        <v>1098</v>
      </c>
      <c r="I11" s="1298" t="s">
        <v>1084</v>
      </c>
    </row>
    <row r="12" spans="1:9">
      <c r="A12" s="3257"/>
      <c r="B12" s="3258" t="s">
        <v>1099</v>
      </c>
      <c r="C12" s="3258"/>
      <c r="D12" s="1299"/>
      <c r="E12" s="1299"/>
      <c r="F12" s="1300"/>
      <c r="G12" s="1301"/>
      <c r="H12" s="1308"/>
      <c r="I12" s="1298">
        <f>ROUND(D12*E12*F12*G12/10000,0)</f>
        <v>0</v>
      </c>
    </row>
    <row r="13" spans="1:9">
      <c r="A13" s="3257"/>
      <c r="B13" s="3258" t="s">
        <v>1100</v>
      </c>
      <c r="C13" s="3258"/>
      <c r="D13" s="1299"/>
      <c r="E13" s="1299"/>
      <c r="F13" s="1300"/>
      <c r="G13" s="1301"/>
      <c r="H13" s="1308"/>
      <c r="I13" s="1298">
        <f>ROUND(D13*E13*F13*G13/10000,0)</f>
        <v>0</v>
      </c>
    </row>
    <row r="14" spans="1:9">
      <c r="A14" s="3257"/>
      <c r="B14" s="3258" t="s">
        <v>1101</v>
      </c>
      <c r="C14" s="3258"/>
      <c r="D14" s="1299"/>
      <c r="E14" s="1299"/>
      <c r="F14" s="1300"/>
      <c r="G14" s="1301"/>
      <c r="H14" s="1308"/>
      <c r="I14" s="1298">
        <f>ROUND(D14*E14*F14*G14/10000,0)</f>
        <v>0</v>
      </c>
    </row>
    <row r="15" spans="1:9">
      <c r="A15" s="3257"/>
      <c r="B15" s="3259" t="s">
        <v>1092</v>
      </c>
      <c r="C15" s="3259"/>
      <c r="D15" s="1303"/>
      <c r="E15" s="1303">
        <f>SUM(E12:E14)</f>
        <v>0</v>
      </c>
      <c r="F15" s="1304"/>
      <c r="G15" s="1301"/>
      <c r="H15" s="1308"/>
      <c r="I15" s="1309">
        <f>SUM(I12:I14)</f>
        <v>0</v>
      </c>
    </row>
    <row r="16" spans="1:9" ht="24">
      <c r="A16" s="3257" t="s">
        <v>1102</v>
      </c>
      <c r="B16" s="3258" t="s">
        <v>1103</v>
      </c>
      <c r="C16" s="3258"/>
      <c r="D16" s="1299" t="s">
        <v>1079</v>
      </c>
      <c r="E16" s="1310" t="s">
        <v>1104</v>
      </c>
      <c r="F16" s="1300" t="s">
        <v>1105</v>
      </c>
      <c r="G16" s="1301" t="s">
        <v>1083</v>
      </c>
      <c r="H16" s="1307" t="s">
        <v>1098</v>
      </c>
      <c r="I16" s="1298" t="s">
        <v>1084</v>
      </c>
    </row>
    <row r="17" spans="1:9" ht="14.25">
      <c r="A17" s="3257"/>
      <c r="B17" s="3258" t="s">
        <v>1106</v>
      </c>
      <c r="C17" s="3258"/>
      <c r="D17" s="1299"/>
      <c r="E17" s="1299"/>
      <c r="F17" s="1300"/>
      <c r="G17" s="1301"/>
      <c r="H17" s="1311"/>
      <c r="I17" s="1312">
        <f>ROUND(D17*E17*F17*G17/10000,0)</f>
        <v>0</v>
      </c>
    </row>
    <row r="18" spans="1:9" ht="14.25">
      <c r="A18" s="3257"/>
      <c r="B18" s="3258" t="s">
        <v>1107</v>
      </c>
      <c r="C18" s="3258"/>
      <c r="D18" s="1299"/>
      <c r="E18" s="1299"/>
      <c r="F18" s="1300"/>
      <c r="G18" s="1301"/>
      <c r="H18" s="1311"/>
      <c r="I18" s="1312">
        <f>ROUND(D18*E18*F18*G18/10000,0)</f>
        <v>0</v>
      </c>
    </row>
    <row r="19" spans="1:9" ht="14.25">
      <c r="A19" s="3257"/>
      <c r="B19" s="3258" t="s">
        <v>1108</v>
      </c>
      <c r="C19" s="3258"/>
      <c r="D19" s="1299"/>
      <c r="E19" s="1299"/>
      <c r="F19" s="1300"/>
      <c r="G19" s="1301"/>
      <c r="H19" s="1311"/>
      <c r="I19" s="1312">
        <f>ROUND(D19*E19*F19*G19/10000,0)</f>
        <v>0</v>
      </c>
    </row>
    <row r="20" spans="1:9">
      <c r="A20" s="3257"/>
      <c r="B20" s="3259" t="s">
        <v>1092</v>
      </c>
      <c r="C20" s="3259"/>
      <c r="D20" s="1303">
        <f>SUM(D17:D19)</f>
        <v>0</v>
      </c>
      <c r="E20" s="1303"/>
      <c r="F20" s="1304"/>
      <c r="G20" s="1301"/>
      <c r="H20" s="1308"/>
      <c r="I20" s="1309">
        <f>SUM(I17:I19)</f>
        <v>0</v>
      </c>
    </row>
    <row r="21" spans="1:9">
      <c r="A21" s="3257" t="s">
        <v>1109</v>
      </c>
      <c r="B21" s="3260"/>
      <c r="C21" s="3260"/>
      <c r="D21" s="3260"/>
      <c r="E21" s="3260"/>
      <c r="F21" s="3260"/>
      <c r="G21" s="3260"/>
      <c r="H21" s="1761">
        <v>0.1</v>
      </c>
      <c r="I21" s="1306">
        <f>ROUND(I10*H21,0)</f>
        <v>0</v>
      </c>
    </row>
    <row r="22" spans="1:9" ht="14.25">
      <c r="A22" s="3261" t="s">
        <v>1110</v>
      </c>
      <c r="B22" s="3262"/>
      <c r="C22" s="3263"/>
      <c r="D22" s="1313" t="s">
        <v>1111</v>
      </c>
      <c r="E22" s="1313" t="s">
        <v>1112</v>
      </c>
      <c r="F22" s="1314" t="s">
        <v>1113</v>
      </c>
      <c r="G22" s="1314" t="s">
        <v>1114</v>
      </c>
      <c r="H22" s="1307" t="s">
        <v>1115</v>
      </c>
      <c r="I22" s="1298" t="s">
        <v>1116</v>
      </c>
    </row>
    <row r="23" spans="1:9" ht="14.25" thickBot="1">
      <c r="A23" s="3264"/>
      <c r="B23" s="3265"/>
      <c r="C23" s="3266"/>
      <c r="D23" s="1315"/>
      <c r="E23" s="1315"/>
      <c r="F23" s="1315"/>
      <c r="G23" s="1316"/>
      <c r="H23" s="1317"/>
      <c r="I23" s="1318">
        <f>ROUND(E23*D23*F23*(1-G23)/10000,0)</f>
        <v>0</v>
      </c>
    </row>
    <row r="26" spans="1:9">
      <c r="A26" s="1319" t="s">
        <v>1117</v>
      </c>
      <c r="B26" s="1319"/>
      <c r="C26" s="1319"/>
      <c r="D26" s="1319"/>
      <c r="E26" s="3254">
        <f>C27-C30-C31-C32</f>
        <v>0</v>
      </c>
      <c r="F26" s="3254"/>
      <c r="G26" s="3254"/>
      <c r="H26" s="1733" t="s">
        <v>1340</v>
      </c>
    </row>
    <row r="27" spans="1:9">
      <c r="A27" s="1320">
        <v>1</v>
      </c>
      <c r="B27" s="1321" t="s">
        <v>1118</v>
      </c>
      <c r="C27" s="1321">
        <f>C28+C29</f>
        <v>0</v>
      </c>
      <c r="D27" s="1321"/>
      <c r="E27" s="3255"/>
      <c r="F27" s="3255"/>
      <c r="G27" s="3255"/>
    </row>
    <row r="28" spans="1:9">
      <c r="A28" s="1322" t="s">
        <v>1119</v>
      </c>
      <c r="B28" s="1321" t="s">
        <v>1120</v>
      </c>
      <c r="C28" s="1321"/>
      <c r="D28" s="1321"/>
      <c r="E28" s="3255"/>
      <c r="F28" s="3255"/>
      <c r="G28" s="3255"/>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56"/>
      <c r="F32" s="3256"/>
      <c r="G32" s="3256"/>
    </row>
    <row r="33" spans="1:7" hidden="1">
      <c r="A33" s="3251" t="s">
        <v>1129</v>
      </c>
      <c r="B33" s="3252"/>
      <c r="C33" s="3252"/>
      <c r="D33" s="3253"/>
      <c r="E33" s="3254"/>
      <c r="F33" s="3254"/>
      <c r="G33" s="3254"/>
    </row>
    <row r="34" spans="1:7" hidden="1">
      <c r="A34" s="1324">
        <v>1</v>
      </c>
      <c r="B34" s="1321" t="s">
        <v>1130</v>
      </c>
      <c r="C34" s="1321"/>
      <c r="D34" s="1321"/>
      <c r="E34" s="3255"/>
      <c r="F34" s="3255"/>
      <c r="G34" s="3255"/>
    </row>
    <row r="35" spans="1:7" hidden="1">
      <c r="A35" s="1324">
        <v>2</v>
      </c>
      <c r="B35" s="1321" t="s">
        <v>1131</v>
      </c>
      <c r="C35" s="1321"/>
      <c r="D35" s="1321"/>
      <c r="E35" s="3255"/>
      <c r="F35" s="3255"/>
      <c r="G35" s="3255"/>
    </row>
    <row r="36" spans="1:7" hidden="1">
      <c r="A36" s="1324">
        <v>3</v>
      </c>
      <c r="B36" s="1321" t="s">
        <v>1132</v>
      </c>
      <c r="C36" s="1321"/>
      <c r="D36" s="1321"/>
      <c r="E36" s="3255"/>
      <c r="F36" s="3255"/>
      <c r="G36" s="3255"/>
    </row>
    <row r="37" spans="1:7" hidden="1">
      <c r="A37" s="1324">
        <v>4</v>
      </c>
      <c r="B37" s="1321" t="s">
        <v>1133</v>
      </c>
      <c r="C37" s="1321"/>
      <c r="D37" s="1321"/>
      <c r="E37" s="3255"/>
      <c r="F37" s="3255"/>
      <c r="G37" s="3255"/>
    </row>
    <row r="38" spans="1:7" hidden="1">
      <c r="A38" s="3251" t="s">
        <v>1134</v>
      </c>
      <c r="B38" s="3252"/>
      <c r="C38" s="3252"/>
      <c r="D38" s="3253"/>
      <c r="E38" s="3254"/>
      <c r="F38" s="3254"/>
      <c r="G38" s="32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2520</v>
      </c>
      <c r="B1" s="2575" t="s">
        <v>2521</v>
      </c>
      <c r="C1" s="1630" t="s">
        <v>2522</v>
      </c>
      <c r="D1" s="1617"/>
      <c r="E1" s="2576"/>
      <c r="F1" s="2577" t="s">
        <v>2523</v>
      </c>
      <c r="G1" s="1627" t="s">
        <v>2524</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9"/>
      <c r="D2" s="1361" t="e">
        <f ca="1">SUMIF(INDIRECT("'"&amp;F2&amp;"'"&amp;"!A:A"),"承租人权益价值",INDIRECT("'"&amp;F2&amp;"'"&amp;"!c:c"))</f>
        <v>#REF!</v>
      </c>
      <c r="E2" s="2580" t="s">
        <v>2525</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2526</v>
      </c>
      <c r="D3" s="398">
        <f>IF(D1="",'数据-汇总表'!E3,SUMIF('数据-汇总表'!$C19:$C33,D1,'数据-汇总表'!$E19:$E33))</f>
        <v>111646.95</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400" t="s">
        <v>2527</v>
      </c>
      <c r="B4" s="401"/>
      <c r="C4" s="3204" t="s">
        <v>2528</v>
      </c>
      <c r="D4" s="3217"/>
      <c r="E4" s="3218" t="s">
        <v>2529</v>
      </c>
      <c r="F4" s="3219"/>
      <c r="G4" s="3204" t="s">
        <v>2530</v>
      </c>
      <c r="H4" s="3217"/>
      <c r="I4" s="3204" t="s">
        <v>2531</v>
      </c>
      <c r="J4" s="3217"/>
      <c r="K4" s="2589" t="s">
        <v>2532</v>
      </c>
      <c r="L4" s="1126"/>
      <c r="M4" s="1127"/>
      <c r="N4" s="1127"/>
      <c r="O4" s="1127"/>
      <c r="P4" s="3220" t="s">
        <v>2533</v>
      </c>
      <c r="Q4" s="3221"/>
      <c r="R4" s="3226" t="s">
        <v>2529</v>
      </c>
      <c r="S4" s="3227"/>
      <c r="T4" s="3226" t="s">
        <v>2530</v>
      </c>
      <c r="U4" s="3227"/>
      <c r="V4" s="3213" t="s">
        <v>2531</v>
      </c>
      <c r="W4" s="3213"/>
      <c r="X4" s="1809"/>
      <c r="Y4" s="3226" t="s">
        <v>2533</v>
      </c>
      <c r="Z4" s="3227"/>
      <c r="AA4" s="3214" t="s">
        <v>2529</v>
      </c>
      <c r="AB4" s="3214" t="s">
        <v>2530</v>
      </c>
      <c r="AC4" s="3214" t="s">
        <v>2531</v>
      </c>
    </row>
    <row r="5" spans="1:29" ht="15">
      <c r="A5" s="403"/>
      <c r="B5" s="404"/>
      <c r="C5" s="3234" t="s">
        <v>2534</v>
      </c>
      <c r="D5" s="3235"/>
      <c r="E5" s="3243" t="s">
        <v>2535</v>
      </c>
      <c r="F5" s="3244"/>
      <c r="G5" s="3234" t="s">
        <v>2536</v>
      </c>
      <c r="H5" s="3235"/>
      <c r="I5" s="3234" t="s">
        <v>2537</v>
      </c>
      <c r="J5" s="3235"/>
      <c r="K5" s="2590"/>
      <c r="L5" s="1126"/>
      <c r="M5" s="1127"/>
      <c r="N5" s="1127"/>
      <c r="O5" s="1127"/>
      <c r="P5" s="3222"/>
      <c r="Q5" s="3223"/>
      <c r="R5" s="3228"/>
      <c r="S5" s="3229"/>
      <c r="T5" s="3228"/>
      <c r="U5" s="3229"/>
      <c r="V5" s="3213"/>
      <c r="W5" s="3213"/>
      <c r="X5" s="1809"/>
      <c r="Y5" s="3228"/>
      <c r="Z5" s="3229"/>
      <c r="AA5" s="3215"/>
      <c r="AB5" s="3215"/>
      <c r="AC5" s="3215"/>
    </row>
    <row r="6" spans="1:29" ht="15.75" thickBot="1">
      <c r="A6" s="405"/>
      <c r="B6" s="406"/>
      <c r="C6" s="3240" t="s">
        <v>2538</v>
      </c>
      <c r="D6" s="3233"/>
      <c r="E6" s="3280" t="s">
        <v>2538</v>
      </c>
      <c r="F6" s="3242"/>
      <c r="G6" s="3240" t="s">
        <v>2538</v>
      </c>
      <c r="H6" s="3233"/>
      <c r="I6" s="3240" t="s">
        <v>2538</v>
      </c>
      <c r="J6" s="3233"/>
      <c r="K6" s="2590" t="s">
        <v>2539</v>
      </c>
      <c r="L6" s="1126"/>
      <c r="M6" s="1127"/>
      <c r="N6" s="1127"/>
      <c r="O6" s="1127"/>
      <c r="P6" s="3224"/>
      <c r="Q6" s="3225"/>
      <c r="R6" s="3228"/>
      <c r="S6" s="3229"/>
      <c r="T6" s="3230"/>
      <c r="U6" s="3231"/>
      <c r="V6" s="3213"/>
      <c r="W6" s="3213"/>
      <c r="X6" s="1809"/>
      <c r="Y6" s="3230"/>
      <c r="Z6" s="3231"/>
      <c r="AA6" s="3216"/>
      <c r="AB6" s="3216"/>
      <c r="AC6" s="3216"/>
    </row>
    <row r="7" spans="1:29" s="116" customFormat="1" ht="15.75" thickBot="1">
      <c r="A7" s="407" t="s">
        <v>2540</v>
      </c>
      <c r="B7" s="408"/>
      <c r="C7" s="409">
        <f>'数据-取费表'!B2</f>
        <v>43265</v>
      </c>
      <c r="D7" s="410">
        <v>100</v>
      </c>
      <c r="E7" s="411"/>
      <c r="F7" s="412">
        <f>SUMIF(58:58,YEAR(E7)&amp;"-"&amp;MONTH(E7),59:59)</f>
        <v>0</v>
      </c>
      <c r="G7" s="411"/>
      <c r="H7" s="410">
        <f>SUMIF(58:58,YEAR(G7)&amp;"-"&amp;MONTH(G7),59:59)</f>
        <v>0</v>
      </c>
      <c r="I7" s="411"/>
      <c r="J7" s="410">
        <f>SUMIF(58:58,YEAR(I7)&amp;"-"&amp;MONTH(I7),59:59)</f>
        <v>0</v>
      </c>
      <c r="K7" s="2591"/>
      <c r="L7" s="1128"/>
      <c r="M7" s="1129"/>
      <c r="N7" s="1129"/>
      <c r="O7" s="1129"/>
      <c r="P7" s="3236" t="s">
        <v>2541</v>
      </c>
      <c r="Q7" s="3238"/>
      <c r="R7" s="769" t="s">
        <v>23</v>
      </c>
      <c r="S7" s="770">
        <f t="shared" ref="S7:S15" si="0">F7</f>
        <v>0</v>
      </c>
      <c r="T7" s="769" t="s">
        <v>23</v>
      </c>
      <c r="U7" s="770">
        <f t="shared" ref="U7:U15" si="1">H7</f>
        <v>0</v>
      </c>
      <c r="V7" s="769" t="s">
        <v>23</v>
      </c>
      <c r="W7" s="770">
        <f t="shared" ref="W7:W15" si="2">J7</f>
        <v>0</v>
      </c>
      <c r="X7" s="771"/>
      <c r="Y7" s="3236" t="s">
        <v>2541</v>
      </c>
      <c r="Z7" s="3237"/>
      <c r="AA7" s="772" t="e">
        <f>D7/F7</f>
        <v>#DIV/0!</v>
      </c>
      <c r="AB7" s="772" t="e">
        <f>D7/H7</f>
        <v>#DIV/0!</v>
      </c>
      <c r="AC7" s="772" t="e">
        <f>D7/J7</f>
        <v>#DIV/0!</v>
      </c>
    </row>
    <row r="8" spans="1:29" s="116" customFormat="1" ht="15.75" thickBot="1">
      <c r="A8" s="407" t="s">
        <v>2542</v>
      </c>
      <c r="B8" s="408"/>
      <c r="C8" s="413" t="s">
        <v>2543</v>
      </c>
      <c r="D8" s="410">
        <v>100</v>
      </c>
      <c r="E8" s="2592"/>
      <c r="F8" s="412">
        <f>SUMIF(61:61,E8,62:62)-SUMIF(61:61,C8,62:62)+100</f>
        <v>0</v>
      </c>
      <c r="G8" s="413"/>
      <c r="H8" s="410">
        <f>SUMIF(61:61,G8,62:62)-SUMIF(61:61,C8,62:62)+100</f>
        <v>0</v>
      </c>
      <c r="I8" s="2592"/>
      <c r="J8" s="410">
        <f>SUMIF(61:61,I8,62:62)-SUMIF(61:61,C8,62:62)+100</f>
        <v>0</v>
      </c>
      <c r="K8" s="2591"/>
      <c r="L8" s="1128"/>
      <c r="M8" s="1129"/>
      <c r="N8" s="1129"/>
      <c r="O8" s="1129"/>
      <c r="P8" s="3236" t="s">
        <v>2544</v>
      </c>
      <c r="Q8" s="3237"/>
      <c r="R8" s="769" t="s">
        <v>23</v>
      </c>
      <c r="S8" s="770">
        <f t="shared" si="0"/>
        <v>0</v>
      </c>
      <c r="T8" s="769" t="s">
        <v>23</v>
      </c>
      <c r="U8" s="770">
        <f t="shared" si="1"/>
        <v>0</v>
      </c>
      <c r="V8" s="769" t="s">
        <v>23</v>
      </c>
      <c r="W8" s="770">
        <f t="shared" si="2"/>
        <v>0</v>
      </c>
      <c r="X8" s="771"/>
      <c r="Y8" s="3236" t="s">
        <v>2544</v>
      </c>
      <c r="Z8" s="3237"/>
      <c r="AA8" s="772" t="e">
        <f t="shared" ref="AA8:AA19" si="3">D8/F8</f>
        <v>#DIV/0!</v>
      </c>
      <c r="AB8" s="772" t="e">
        <f t="shared" ref="AB8:AB19" si="4">D8/H8</f>
        <v>#DIV/0!</v>
      </c>
      <c r="AC8" s="772" t="e">
        <f t="shared" ref="AC8:AC19" si="5">D8/J8</f>
        <v>#DIV/0!</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91"/>
      <c r="L9" s="1128"/>
      <c r="M9" s="1129"/>
      <c r="N9" s="1129"/>
      <c r="O9" s="1129"/>
      <c r="P9" s="3206" t="s">
        <v>2547</v>
      </c>
      <c r="Q9" s="1791" t="str">
        <f t="shared" ref="Q9:Q15" si="6">B9</f>
        <v>用途</v>
      </c>
      <c r="R9" s="769" t="s">
        <v>17</v>
      </c>
      <c r="S9" s="770">
        <f t="shared" si="0"/>
        <v>100</v>
      </c>
      <c r="T9" s="769" t="s">
        <v>17</v>
      </c>
      <c r="U9" s="770">
        <f t="shared" si="1"/>
        <v>100</v>
      </c>
      <c r="V9" s="769" t="s">
        <v>17</v>
      </c>
      <c r="W9" s="770">
        <f t="shared" si="2"/>
        <v>100</v>
      </c>
      <c r="X9" s="771"/>
      <c r="Y9" s="3051"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06"/>
      <c r="Q10" s="1791"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06"/>
      <c r="Q11" s="1791" t="str">
        <f t="shared" si="6"/>
        <v>容积率</v>
      </c>
      <c r="R11" s="769" t="s">
        <v>21</v>
      </c>
      <c r="S11" s="770" t="e">
        <f t="shared" si="0"/>
        <v>#N/A</v>
      </c>
      <c r="T11" s="769" t="s">
        <v>21</v>
      </c>
      <c r="U11" s="770" t="e">
        <f t="shared" si="1"/>
        <v>#N/A</v>
      </c>
      <c r="V11" s="769" t="s">
        <v>21</v>
      </c>
      <c r="W11" s="770" t="e">
        <f t="shared" si="2"/>
        <v>#N/A</v>
      </c>
      <c r="X11" s="771"/>
      <c r="Y11" s="3051"/>
      <c r="Z11" s="55"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06"/>
      <c r="Q12" s="1791">
        <f t="shared" si="6"/>
        <v>111</v>
      </c>
      <c r="R12" s="769" t="s">
        <v>21</v>
      </c>
      <c r="S12" s="770">
        <f t="shared" si="0"/>
        <v>100</v>
      </c>
      <c r="T12" s="769" t="s">
        <v>21</v>
      </c>
      <c r="U12" s="770">
        <f t="shared" si="1"/>
        <v>100</v>
      </c>
      <c r="V12" s="769" t="s">
        <v>21</v>
      </c>
      <c r="W12" s="770">
        <f t="shared" si="2"/>
        <v>100</v>
      </c>
      <c r="X12" s="771"/>
      <c r="Y12" s="3051"/>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06"/>
      <c r="Q13" s="1791">
        <f t="shared" si="6"/>
        <v>111</v>
      </c>
      <c r="R13" s="769" t="s">
        <v>21</v>
      </c>
      <c r="S13" s="770">
        <f t="shared" si="0"/>
        <v>100</v>
      </c>
      <c r="T13" s="769" t="s">
        <v>21</v>
      </c>
      <c r="U13" s="770">
        <f t="shared" si="1"/>
        <v>100</v>
      </c>
      <c r="V13" s="769" t="s">
        <v>21</v>
      </c>
      <c r="W13" s="770">
        <f t="shared" si="2"/>
        <v>100</v>
      </c>
      <c r="X13" s="771"/>
      <c r="Y13" s="3051"/>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06"/>
      <c r="Q14" s="1791">
        <f t="shared" si="6"/>
        <v>111</v>
      </c>
      <c r="R14" s="769" t="s">
        <v>21</v>
      </c>
      <c r="S14" s="770">
        <f t="shared" si="0"/>
        <v>100</v>
      </c>
      <c r="T14" s="769" t="s">
        <v>21</v>
      </c>
      <c r="U14" s="770">
        <f t="shared" si="1"/>
        <v>100</v>
      </c>
      <c r="V14" s="769" t="s">
        <v>21</v>
      </c>
      <c r="W14" s="770">
        <f t="shared" si="2"/>
        <v>100</v>
      </c>
      <c r="X14" s="771"/>
      <c r="Y14" s="3051"/>
      <c r="Z14" s="55">
        <f t="shared" si="7"/>
        <v>111</v>
      </c>
      <c r="AA14" s="772">
        <f t="shared" si="3"/>
        <v>1</v>
      </c>
      <c r="AB14" s="772">
        <f t="shared" si="4"/>
        <v>1</v>
      </c>
      <c r="AC14" s="772">
        <f t="shared" si="5"/>
        <v>1</v>
      </c>
    </row>
    <row r="15" spans="1:29" ht="15">
      <c r="A15" s="439" t="s">
        <v>2551</v>
      </c>
      <c r="B15" s="68" t="s">
        <v>2080</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78" t="s">
        <v>2552</v>
      </c>
      <c r="Q15" s="1806" t="str">
        <f t="shared" si="6"/>
        <v>居住社区成熟度</v>
      </c>
      <c r="R15" s="773" t="s">
        <v>21</v>
      </c>
      <c r="S15" s="774">
        <f t="shared" si="0"/>
        <v>100</v>
      </c>
      <c r="T15" s="773" t="s">
        <v>21</v>
      </c>
      <c r="U15" s="774">
        <f t="shared" si="1"/>
        <v>100</v>
      </c>
      <c r="V15" s="773" t="s">
        <v>21</v>
      </c>
      <c r="W15" s="774">
        <f t="shared" si="2"/>
        <v>100</v>
      </c>
      <c r="X15" s="1809"/>
      <c r="Y15" s="3209" t="s">
        <v>2552</v>
      </c>
      <c r="Z15" s="1810" t="str">
        <f t="shared" si="7"/>
        <v>居住社区成熟度</v>
      </c>
      <c r="AA15" s="1807">
        <f t="shared" si="3"/>
        <v>1</v>
      </c>
      <c r="AB15" s="1807">
        <f t="shared" si="4"/>
        <v>1</v>
      </c>
      <c r="AC15" s="1807">
        <f t="shared" si="5"/>
        <v>1</v>
      </c>
    </row>
    <row r="16" spans="1:29" ht="15">
      <c r="A16" s="427"/>
      <c r="B16" s="445"/>
      <c r="C16" s="446"/>
      <c r="D16" s="447"/>
      <c r="E16" s="2597"/>
      <c r="F16" s="447"/>
      <c r="G16" s="2598"/>
      <c r="H16" s="449"/>
      <c r="I16" s="2598"/>
      <c r="J16" s="447"/>
      <c r="K16" s="2599"/>
      <c r="L16" s="1136"/>
      <c r="M16" s="1127"/>
      <c r="N16" s="1127"/>
      <c r="O16" s="1127"/>
      <c r="P16" s="3279"/>
      <c r="Q16" s="1806"/>
      <c r="R16" s="773"/>
      <c r="S16" s="774"/>
      <c r="T16" s="773"/>
      <c r="U16" s="774"/>
      <c r="V16" s="773"/>
      <c r="W16" s="774"/>
      <c r="X16" s="1809"/>
      <c r="Y16" s="3210"/>
      <c r="Z16" s="1810"/>
      <c r="AA16" s="1807">
        <v>1</v>
      </c>
      <c r="AB16" s="1807">
        <v>1</v>
      </c>
      <c r="AC16" s="1807">
        <v>1</v>
      </c>
    </row>
    <row r="17" spans="1:29" ht="99.75">
      <c r="A17" s="427"/>
      <c r="B17" s="450" t="s">
        <v>2089</v>
      </c>
      <c r="C17" s="2600" t="str">
        <f>估价对象房地状况!C6</f>
        <v>估价对象周边道路通达状况一般、公共交通通达情况一般、停车便捷程度一般，综合评价交通便捷度一般。</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79"/>
      <c r="Q17" s="1806" t="str">
        <f>B17</f>
        <v>交通便捷度</v>
      </c>
      <c r="R17" s="773" t="s">
        <v>21</v>
      </c>
      <c r="S17" s="774">
        <f>F17</f>
        <v>100</v>
      </c>
      <c r="T17" s="773" t="s">
        <v>21</v>
      </c>
      <c r="U17" s="774">
        <f>H17</f>
        <v>100</v>
      </c>
      <c r="V17" s="773" t="s">
        <v>21</v>
      </c>
      <c r="W17" s="774">
        <f>J17</f>
        <v>100</v>
      </c>
      <c r="X17" s="1809"/>
      <c r="Y17" s="3210"/>
      <c r="Z17" s="1810" t="str">
        <f>Q17</f>
        <v>交通便捷度</v>
      </c>
      <c r="AA17" s="1807">
        <f t="shared" si="3"/>
        <v>1</v>
      </c>
      <c r="AB17" s="1807">
        <f t="shared" si="4"/>
        <v>1</v>
      </c>
      <c r="AC17" s="1807">
        <f t="shared" si="5"/>
        <v>1</v>
      </c>
    </row>
    <row r="18" spans="1:29" ht="15">
      <c r="A18" s="427"/>
      <c r="B18" s="455"/>
      <c r="C18" s="2601"/>
      <c r="D18" s="449"/>
      <c r="E18" s="2602"/>
      <c r="F18" s="449"/>
      <c r="G18" s="2603"/>
      <c r="H18" s="447"/>
      <c r="I18" s="2603"/>
      <c r="J18" s="447"/>
      <c r="K18" s="2599"/>
      <c r="L18" s="1136"/>
      <c r="M18" s="1127"/>
      <c r="N18" s="1127"/>
      <c r="O18" s="1127"/>
      <c r="P18" s="3279"/>
      <c r="Q18" s="1806"/>
      <c r="R18" s="773"/>
      <c r="S18" s="774"/>
      <c r="T18" s="773"/>
      <c r="U18" s="774"/>
      <c r="V18" s="773"/>
      <c r="W18" s="774"/>
      <c r="X18" s="1809"/>
      <c r="Y18" s="3210"/>
      <c r="Z18" s="1810"/>
      <c r="AA18" s="1807">
        <v>1</v>
      </c>
      <c r="AB18" s="1807">
        <v>1</v>
      </c>
      <c r="AC18" s="1807">
        <v>1</v>
      </c>
    </row>
    <row r="19" spans="1:29" ht="199.5">
      <c r="A19" s="427"/>
      <c r="B19" s="450" t="s">
        <v>2087</v>
      </c>
      <c r="C19" s="2600" t="str">
        <f>估价对象房地状况!C7</f>
        <v>估价对象所在区域2公里范围内有：银行（恒丰银行、中国建设银行），商场（佳乐购物中心、西安安瑞桥超市），医院（西北妇女儿童医院），学校（三兆小学、曲江第二幼儿园）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79"/>
      <c r="Q19" s="1806" t="str">
        <f>B19</f>
        <v>公共配套设施</v>
      </c>
      <c r="R19" s="773" t="s">
        <v>21</v>
      </c>
      <c r="S19" s="774">
        <f>F19</f>
        <v>100</v>
      </c>
      <c r="T19" s="773" t="s">
        <v>21</v>
      </c>
      <c r="U19" s="774">
        <f>H19</f>
        <v>100</v>
      </c>
      <c r="V19" s="773" t="s">
        <v>21</v>
      </c>
      <c r="W19" s="774">
        <f>J19</f>
        <v>100</v>
      </c>
      <c r="X19" s="1809"/>
      <c r="Y19" s="3210"/>
      <c r="Z19" s="1810" t="str">
        <f>Q19</f>
        <v>公共配套设施</v>
      </c>
      <c r="AA19" s="1807">
        <f t="shared" si="3"/>
        <v>1</v>
      </c>
      <c r="AB19" s="1807">
        <f t="shared" si="4"/>
        <v>1</v>
      </c>
      <c r="AC19" s="1807">
        <f t="shared" si="5"/>
        <v>1</v>
      </c>
    </row>
    <row r="20" spans="1:29" ht="15">
      <c r="A20" s="427"/>
      <c r="B20" s="455"/>
      <c r="C20" s="446"/>
      <c r="D20" s="447"/>
      <c r="E20" s="2597"/>
      <c r="F20" s="447"/>
      <c r="G20" s="2598"/>
      <c r="H20" s="447"/>
      <c r="I20" s="2598"/>
      <c r="J20" s="447"/>
      <c r="K20" s="2599"/>
      <c r="L20" s="1136"/>
      <c r="M20" s="1127"/>
      <c r="N20" s="1127"/>
      <c r="O20" s="1127"/>
      <c r="P20" s="3279"/>
      <c r="Q20" s="1806"/>
      <c r="R20" s="773"/>
      <c r="S20" s="774"/>
      <c r="T20" s="773"/>
      <c r="U20" s="774"/>
      <c r="V20" s="773"/>
      <c r="W20" s="774"/>
      <c r="X20" s="1809"/>
      <c r="Y20" s="3210"/>
      <c r="Z20" s="1810"/>
      <c r="AA20" s="1807">
        <v>1</v>
      </c>
      <c r="AB20" s="1807">
        <v>1</v>
      </c>
      <c r="AC20" s="1807">
        <v>1</v>
      </c>
    </row>
    <row r="21" spans="1:29" ht="42.75">
      <c r="A21" s="427"/>
      <c r="B21" s="1380" t="s">
        <v>2090</v>
      </c>
      <c r="C21" s="2600"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79"/>
      <c r="Q21" s="1806" t="str">
        <f>B21</f>
        <v>基础设施水平</v>
      </c>
      <c r="R21" s="773" t="s">
        <v>17</v>
      </c>
      <c r="S21" s="774">
        <f>F21</f>
        <v>100</v>
      </c>
      <c r="T21" s="773" t="s">
        <v>17</v>
      </c>
      <c r="U21" s="774">
        <f>H21</f>
        <v>100</v>
      </c>
      <c r="V21" s="773" t="s">
        <v>17</v>
      </c>
      <c r="W21" s="774">
        <f>J21</f>
        <v>100</v>
      </c>
      <c r="X21" s="1809"/>
      <c r="Y21" s="3210"/>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7"/>
      <c r="G22" s="2604"/>
      <c r="H22" s="447"/>
      <c r="I22" s="446"/>
      <c r="J22" s="447"/>
      <c r="K22" s="2605"/>
      <c r="L22" s="1136"/>
      <c r="M22" s="1127"/>
      <c r="N22" s="1127"/>
      <c r="O22" s="1127"/>
      <c r="P22" s="3279"/>
      <c r="Q22" s="1806"/>
      <c r="R22" s="773"/>
      <c r="S22" s="774"/>
      <c r="T22" s="773"/>
      <c r="U22" s="774"/>
      <c r="V22" s="773"/>
      <c r="W22" s="774"/>
      <c r="X22" s="1809"/>
      <c r="Y22" s="3210"/>
      <c r="Z22" s="1810"/>
      <c r="AA22" s="1807">
        <v>1</v>
      </c>
      <c r="AB22" s="1807">
        <v>1</v>
      </c>
      <c r="AC22" s="1807">
        <v>1</v>
      </c>
    </row>
    <row r="23" spans="1:29" ht="85.5">
      <c r="A23" s="427"/>
      <c r="B23" s="450" t="s">
        <v>2094</v>
      </c>
      <c r="C23" s="2600" t="str">
        <f>估价对象房地状况!C9</f>
        <v>区域自然环境：杜陵遗址生态公园；人文环境：厦门华侨博物馆；综合评价环境状况较好。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79"/>
      <c r="Q23" s="1806" t="str">
        <f>B23</f>
        <v>自然及人文环境</v>
      </c>
      <c r="R23" s="773" t="s">
        <v>21</v>
      </c>
      <c r="S23" s="774">
        <f>F23</f>
        <v>100</v>
      </c>
      <c r="T23" s="773" t="s">
        <v>21</v>
      </c>
      <c r="U23" s="774">
        <f>H23</f>
        <v>100</v>
      </c>
      <c r="V23" s="773" t="s">
        <v>21</v>
      </c>
      <c r="W23" s="774">
        <f>J23</f>
        <v>100</v>
      </c>
      <c r="X23" s="1809"/>
      <c r="Y23" s="3210"/>
      <c r="Z23" s="1810" t="str">
        <f>Q23</f>
        <v>自然及人文环境</v>
      </c>
      <c r="AA23" s="1807">
        <f>D23/F23</f>
        <v>1</v>
      </c>
      <c r="AB23" s="1807">
        <f>D23/H23</f>
        <v>1</v>
      </c>
      <c r="AC23" s="1807">
        <f>D23/J23</f>
        <v>1</v>
      </c>
    </row>
    <row r="24" spans="1:29" ht="15">
      <c r="A24" s="427"/>
      <c r="B24" s="455"/>
      <c r="C24" s="446"/>
      <c r="D24" s="447"/>
      <c r="E24" s="2597"/>
      <c r="F24" s="447"/>
      <c r="G24" s="2598"/>
      <c r="H24" s="447"/>
      <c r="I24" s="2598"/>
      <c r="J24" s="447"/>
      <c r="K24" s="2599"/>
      <c r="L24" s="1136"/>
      <c r="M24" s="1127"/>
      <c r="N24" s="1127"/>
      <c r="O24" s="1127"/>
      <c r="P24" s="3279"/>
      <c r="Q24" s="1806"/>
      <c r="R24" s="773"/>
      <c r="S24" s="774"/>
      <c r="T24" s="773"/>
      <c r="U24" s="774"/>
      <c r="V24" s="773"/>
      <c r="W24" s="774"/>
      <c r="X24" s="1809"/>
      <c r="Y24" s="3210"/>
      <c r="Z24" s="1810"/>
      <c r="AA24" s="1807">
        <v>1</v>
      </c>
      <c r="AB24" s="1807">
        <v>1</v>
      </c>
      <c r="AC24" s="1807">
        <v>1</v>
      </c>
    </row>
    <row r="25" spans="1:29" ht="15">
      <c r="A25" s="427"/>
      <c r="B25" s="421" t="s">
        <v>2553</v>
      </c>
      <c r="C25" s="459"/>
      <c r="D25" s="434">
        <v>100</v>
      </c>
      <c r="E25" s="2606"/>
      <c r="F25" s="434">
        <f>SUMIF(86:86,E25,87:87)-SUMIF(86:86,C25,87:87)+100</f>
        <v>100</v>
      </c>
      <c r="G25" s="2607"/>
      <c r="H25" s="434">
        <f>SUMIF(86:86,G25,87:87)-SUMIF(86:86,C25,87:87)+100</f>
        <v>100</v>
      </c>
      <c r="I25" s="2607"/>
      <c r="J25" s="434">
        <f>SUMIF(86:86,I25,87:87)-SUMIF(86:86,C25,87:87)+100</f>
        <v>100</v>
      </c>
      <c r="K25" s="425"/>
      <c r="L25" s="1136"/>
      <c r="M25" s="1127"/>
      <c r="N25" s="1127"/>
      <c r="O25" s="1127"/>
      <c r="P25" s="3279"/>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10"/>
      <c r="Z25" s="1810" t="str">
        <f>Q25</f>
        <v>楼层-1</v>
      </c>
      <c r="AA25" s="1807">
        <f t="shared" ref="AA25:AA46" si="15">D25/F25</f>
        <v>1</v>
      </c>
      <c r="AB25" s="1807">
        <f t="shared" ref="AB25:AB46" si="16">D25/H25</f>
        <v>1</v>
      </c>
      <c r="AC25" s="1807">
        <f t="shared" ref="AC25:AC46" si="17">D25/J25</f>
        <v>1</v>
      </c>
    </row>
    <row r="26" spans="1:29" ht="15">
      <c r="A26" s="427"/>
      <c r="B26" s="421" t="s">
        <v>2554</v>
      </c>
      <c r="C26" s="459"/>
      <c r="D26" s="434">
        <v>100</v>
      </c>
      <c r="E26" s="2606"/>
      <c r="F26" s="434">
        <f>SUMIF(88:88,E26,89:89)-SUMIF(88:88,C26,89:89)+100</f>
        <v>100</v>
      </c>
      <c r="G26" s="2607"/>
      <c r="H26" s="434">
        <f>SUMIF(88:88,G26,89:89)-SUMIF(88:88,C26,89:89)+100</f>
        <v>100</v>
      </c>
      <c r="I26" s="2607"/>
      <c r="J26" s="434">
        <f>SUMIF(88:88,I26,89:89)-SUMIF(88:88,C26,89:89)+100</f>
        <v>100</v>
      </c>
      <c r="K26" s="425"/>
      <c r="L26" s="1136"/>
      <c r="M26" s="1127"/>
      <c r="N26" s="1127"/>
      <c r="O26" s="1127"/>
      <c r="P26" s="3279"/>
      <c r="Q26" s="1806" t="str">
        <f t="shared" si="11"/>
        <v>朝向</v>
      </c>
      <c r="R26" s="773" t="s">
        <v>21</v>
      </c>
      <c r="S26" s="774">
        <f t="shared" si="12"/>
        <v>100</v>
      </c>
      <c r="T26" s="773" t="s">
        <v>21</v>
      </c>
      <c r="U26" s="774">
        <f t="shared" si="13"/>
        <v>100</v>
      </c>
      <c r="V26" s="773" t="s">
        <v>21</v>
      </c>
      <c r="W26" s="774">
        <f t="shared" si="14"/>
        <v>100</v>
      </c>
      <c r="X26" s="1809"/>
      <c r="Y26" s="3210"/>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79"/>
      <c r="Q27" s="1791">
        <f t="shared" si="11"/>
        <v>111</v>
      </c>
      <c r="R27" s="769" t="s">
        <v>21</v>
      </c>
      <c r="S27" s="770">
        <f t="shared" si="12"/>
        <v>100</v>
      </c>
      <c r="T27" s="769" t="s">
        <v>21</v>
      </c>
      <c r="U27" s="770">
        <f t="shared" si="13"/>
        <v>100</v>
      </c>
      <c r="V27" s="769" t="s">
        <v>21</v>
      </c>
      <c r="W27" s="770">
        <f t="shared" si="14"/>
        <v>100</v>
      </c>
      <c r="X27" s="771"/>
      <c r="Y27" s="3210"/>
      <c r="Z27" s="55">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79"/>
      <c r="Q28" s="1806">
        <f t="shared" si="11"/>
        <v>111</v>
      </c>
      <c r="R28" s="773" t="s">
        <v>21</v>
      </c>
      <c r="S28" s="774">
        <f t="shared" si="12"/>
        <v>100</v>
      </c>
      <c r="T28" s="773" t="s">
        <v>21</v>
      </c>
      <c r="U28" s="774">
        <f t="shared" si="13"/>
        <v>100</v>
      </c>
      <c r="V28" s="773" t="s">
        <v>21</v>
      </c>
      <c r="W28" s="774">
        <f t="shared" si="14"/>
        <v>100</v>
      </c>
      <c r="X28" s="1809"/>
      <c r="Y28" s="3210"/>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79"/>
      <c r="Q29" s="1806">
        <f t="shared" si="11"/>
        <v>111</v>
      </c>
      <c r="R29" s="773" t="s">
        <v>21</v>
      </c>
      <c r="S29" s="774">
        <f t="shared" si="12"/>
        <v>100</v>
      </c>
      <c r="T29" s="773" t="s">
        <v>21</v>
      </c>
      <c r="U29" s="774">
        <f t="shared" si="13"/>
        <v>100</v>
      </c>
      <c r="V29" s="773" t="s">
        <v>21</v>
      </c>
      <c r="W29" s="774">
        <f t="shared" si="14"/>
        <v>100</v>
      </c>
      <c r="X29" s="1809"/>
      <c r="Y29" s="3210"/>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79"/>
      <c r="Q30" s="1806">
        <f t="shared" si="11"/>
        <v>111</v>
      </c>
      <c r="R30" s="773" t="s">
        <v>21</v>
      </c>
      <c r="S30" s="774">
        <f t="shared" si="12"/>
        <v>100</v>
      </c>
      <c r="T30" s="773" t="s">
        <v>21</v>
      </c>
      <c r="U30" s="774">
        <f t="shared" si="13"/>
        <v>100</v>
      </c>
      <c r="V30" s="773" t="s">
        <v>21</v>
      </c>
      <c r="W30" s="774">
        <f t="shared" si="14"/>
        <v>100</v>
      </c>
      <c r="X30" s="1809"/>
      <c r="Y30" s="3210"/>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79"/>
      <c r="Q31" s="1806">
        <f t="shared" si="11"/>
        <v>111</v>
      </c>
      <c r="R31" s="773" t="s">
        <v>21</v>
      </c>
      <c r="S31" s="774">
        <f t="shared" si="12"/>
        <v>100</v>
      </c>
      <c r="T31" s="773" t="s">
        <v>21</v>
      </c>
      <c r="U31" s="774">
        <f t="shared" si="13"/>
        <v>100</v>
      </c>
      <c r="V31" s="773" t="s">
        <v>21</v>
      </c>
      <c r="W31" s="774">
        <f t="shared" si="14"/>
        <v>100</v>
      </c>
      <c r="X31" s="1809"/>
      <c r="Y31" s="3210"/>
      <c r="Z31" s="1810">
        <f t="shared" si="18"/>
        <v>111</v>
      </c>
      <c r="AA31" s="1807">
        <f t="shared" si="15"/>
        <v>1</v>
      </c>
      <c r="AB31" s="1807">
        <f t="shared" si="16"/>
        <v>1</v>
      </c>
      <c r="AC31" s="1807">
        <f t="shared" si="17"/>
        <v>1</v>
      </c>
    </row>
    <row r="32" spans="1:29" ht="15">
      <c r="A32" s="439" t="s">
        <v>2555</v>
      </c>
      <c r="B32" s="70" t="s">
        <v>2556</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274" t="s">
        <v>2557</v>
      </c>
      <c r="Q32" s="1806" t="str">
        <f t="shared" si="11"/>
        <v>建筑类型</v>
      </c>
      <c r="R32" s="773" t="s">
        <v>21</v>
      </c>
      <c r="S32" s="774">
        <f t="shared" si="12"/>
        <v>100</v>
      </c>
      <c r="T32" s="773" t="s">
        <v>21</v>
      </c>
      <c r="U32" s="774">
        <f t="shared" si="13"/>
        <v>100</v>
      </c>
      <c r="V32" s="773" t="s">
        <v>21</v>
      </c>
      <c r="W32" s="774">
        <f t="shared" si="14"/>
        <v>100</v>
      </c>
      <c r="X32" s="1809"/>
      <c r="Y32" s="3212" t="s">
        <v>2557</v>
      </c>
      <c r="Z32" s="1810" t="str">
        <f t="shared" si="18"/>
        <v>建筑类型</v>
      </c>
      <c r="AA32" s="1807">
        <f t="shared" si="15"/>
        <v>1</v>
      </c>
      <c r="AB32" s="1807">
        <f t="shared" si="16"/>
        <v>1</v>
      </c>
      <c r="AC32" s="1807">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4"/>
      <c r="M33" s="1137"/>
      <c r="N33" s="1137"/>
      <c r="O33" s="1137"/>
      <c r="P33" s="3275"/>
      <c r="Q33" s="775" t="str">
        <f t="shared" si="11"/>
        <v>项目建筑规模</v>
      </c>
      <c r="R33" s="776" t="s">
        <v>21</v>
      </c>
      <c r="S33" s="777" t="e">
        <f t="shared" si="12"/>
        <v>#N/A</v>
      </c>
      <c r="T33" s="776" t="s">
        <v>21</v>
      </c>
      <c r="U33" s="777" t="e">
        <f t="shared" si="13"/>
        <v>#N/A</v>
      </c>
      <c r="V33" s="776" t="s">
        <v>21</v>
      </c>
      <c r="W33" s="777" t="e">
        <f t="shared" si="14"/>
        <v>#N/A</v>
      </c>
      <c r="X33" s="778"/>
      <c r="Y33" s="3212"/>
      <c r="Z33" s="779" t="str">
        <f t="shared" si="18"/>
        <v>项目建筑规模</v>
      </c>
      <c r="AA33" s="1807" t="e">
        <f t="shared" si="15"/>
        <v>#N/A</v>
      </c>
      <c r="AB33" s="1807" t="e">
        <f t="shared" si="16"/>
        <v>#N/A</v>
      </c>
      <c r="AC33" s="1807" t="e">
        <f t="shared" si="17"/>
        <v>#N/A</v>
      </c>
    </row>
    <row r="34" spans="1:29" ht="15">
      <c r="A34" s="471"/>
      <c r="B34" s="421" t="s">
        <v>2559</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6"/>
      <c r="M34" s="1127"/>
      <c r="N34" s="1127"/>
      <c r="O34" s="1127"/>
      <c r="P34" s="3275"/>
      <c r="Q34" s="1806" t="str">
        <f t="shared" si="11"/>
        <v>建筑结构</v>
      </c>
      <c r="R34" s="773" t="s">
        <v>21</v>
      </c>
      <c r="S34" s="774">
        <f t="shared" si="12"/>
        <v>100</v>
      </c>
      <c r="T34" s="773" t="s">
        <v>21</v>
      </c>
      <c r="U34" s="774">
        <f t="shared" si="13"/>
        <v>100</v>
      </c>
      <c r="V34" s="773" t="s">
        <v>21</v>
      </c>
      <c r="W34" s="774">
        <f t="shared" si="14"/>
        <v>100</v>
      </c>
      <c r="X34" s="1809"/>
      <c r="Y34" s="3212"/>
      <c r="Z34" s="1810" t="str">
        <f t="shared" si="18"/>
        <v>建筑结构</v>
      </c>
      <c r="AA34" s="1807">
        <f t="shared" si="15"/>
        <v>1</v>
      </c>
      <c r="AB34" s="1807">
        <f t="shared" si="16"/>
        <v>1</v>
      </c>
      <c r="AC34" s="1807">
        <f t="shared" si="17"/>
        <v>1</v>
      </c>
    </row>
    <row r="35" spans="1:29" ht="15">
      <c r="A35" s="471"/>
      <c r="B35" s="421" t="s">
        <v>2560</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6"/>
      <c r="M35" s="1127"/>
      <c r="N35" s="1127"/>
      <c r="O35" s="1127"/>
      <c r="P35" s="3275"/>
      <c r="Q35" s="1806" t="str">
        <f t="shared" si="11"/>
        <v>建筑品质</v>
      </c>
      <c r="R35" s="773" t="s">
        <v>21</v>
      </c>
      <c r="S35" s="774">
        <f t="shared" si="12"/>
        <v>100</v>
      </c>
      <c r="T35" s="773" t="s">
        <v>21</v>
      </c>
      <c r="U35" s="774">
        <f t="shared" si="13"/>
        <v>100</v>
      </c>
      <c r="V35" s="773" t="s">
        <v>21</v>
      </c>
      <c r="W35" s="774">
        <f t="shared" si="14"/>
        <v>100</v>
      </c>
      <c r="X35" s="1809"/>
      <c r="Y35" s="3212"/>
      <c r="Z35" s="1810" t="str">
        <f t="shared" si="18"/>
        <v>建筑品质</v>
      </c>
      <c r="AA35" s="1807">
        <f t="shared" si="15"/>
        <v>1</v>
      </c>
      <c r="AB35" s="1807">
        <f t="shared" si="16"/>
        <v>1</v>
      </c>
      <c r="AC35" s="1807">
        <f t="shared" si="17"/>
        <v>1</v>
      </c>
    </row>
    <row r="36" spans="1:29" ht="15">
      <c r="A36" s="471"/>
      <c r="B36" s="421" t="s">
        <v>2561</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6"/>
      <c r="M36" s="1127"/>
      <c r="N36" s="1127"/>
      <c r="O36" s="1127"/>
      <c r="P36" s="3275"/>
      <c r="Q36" s="1806" t="str">
        <f t="shared" si="11"/>
        <v>公共部分装修</v>
      </c>
      <c r="R36" s="773" t="s">
        <v>21</v>
      </c>
      <c r="S36" s="774">
        <f t="shared" si="12"/>
        <v>100</v>
      </c>
      <c r="T36" s="773" t="s">
        <v>21</v>
      </c>
      <c r="U36" s="774">
        <f t="shared" si="13"/>
        <v>100</v>
      </c>
      <c r="V36" s="773" t="s">
        <v>21</v>
      </c>
      <c r="W36" s="774">
        <f t="shared" si="14"/>
        <v>100</v>
      </c>
      <c r="X36" s="1809"/>
      <c r="Y36" s="3212"/>
      <c r="Z36" s="1810" t="str">
        <f t="shared" si="18"/>
        <v>公共部分装修</v>
      </c>
      <c r="AA36" s="1807">
        <f t="shared" si="15"/>
        <v>1</v>
      </c>
      <c r="AB36" s="1807">
        <f t="shared" si="16"/>
        <v>1</v>
      </c>
      <c r="AC36" s="1807">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75"/>
      <c r="Q37" s="1791" t="str">
        <f t="shared" si="11"/>
        <v>成新度</v>
      </c>
      <c r="R37" s="769" t="s">
        <v>21</v>
      </c>
      <c r="S37" s="770" t="e">
        <f t="shared" si="12"/>
        <v>#N/A</v>
      </c>
      <c r="T37" s="769" t="s">
        <v>21</v>
      </c>
      <c r="U37" s="770" t="e">
        <f t="shared" si="13"/>
        <v>#N/A</v>
      </c>
      <c r="V37" s="769" t="s">
        <v>21</v>
      </c>
      <c r="W37" s="770" t="e">
        <f t="shared" si="14"/>
        <v>#N/A</v>
      </c>
      <c r="X37" s="771"/>
      <c r="Y37" s="3212"/>
      <c r="Z37" s="55" t="str">
        <f t="shared" si="18"/>
        <v>成新度</v>
      </c>
      <c r="AA37" s="772" t="e">
        <f t="shared" si="15"/>
        <v>#N/A</v>
      </c>
      <c r="AB37" s="772" t="e">
        <f t="shared" si="16"/>
        <v>#N/A</v>
      </c>
      <c r="AC37" s="772" t="e">
        <f t="shared" si="17"/>
        <v>#N/A</v>
      </c>
    </row>
    <row r="38" spans="1:29" ht="15">
      <c r="A38" s="471"/>
      <c r="B38" s="421" t="s">
        <v>2563</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6"/>
      <c r="M38" s="1127"/>
      <c r="N38" s="1127"/>
      <c r="O38" s="1127"/>
      <c r="P38" s="3275" t="s">
        <v>2557</v>
      </c>
      <c r="Q38" s="1806" t="str">
        <f t="shared" si="11"/>
        <v>物业管理</v>
      </c>
      <c r="R38" s="773" t="s">
        <v>21</v>
      </c>
      <c r="S38" s="774">
        <f t="shared" si="12"/>
        <v>100</v>
      </c>
      <c r="T38" s="773" t="s">
        <v>21</v>
      </c>
      <c r="U38" s="774">
        <f t="shared" si="13"/>
        <v>100</v>
      </c>
      <c r="V38" s="773" t="s">
        <v>21</v>
      </c>
      <c r="W38" s="774">
        <f t="shared" si="14"/>
        <v>100</v>
      </c>
      <c r="X38" s="1809"/>
      <c r="Y38" s="3212" t="s">
        <v>2557</v>
      </c>
      <c r="Z38" s="1810" t="str">
        <f t="shared" si="18"/>
        <v>物业管理</v>
      </c>
      <c r="AA38" s="1807">
        <f t="shared" si="15"/>
        <v>1</v>
      </c>
      <c r="AB38" s="1807">
        <f t="shared" si="16"/>
        <v>1</v>
      </c>
      <c r="AC38" s="1807">
        <f t="shared" si="17"/>
        <v>1</v>
      </c>
    </row>
    <row r="39" spans="1:29" ht="15">
      <c r="A39" s="471"/>
      <c r="B39" s="421" t="s">
        <v>2564</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6"/>
      <c r="M39" s="1127"/>
      <c r="N39" s="1127"/>
      <c r="O39" s="1127"/>
      <c r="P39" s="3275"/>
      <c r="Q39" s="1806" t="str">
        <f t="shared" si="11"/>
        <v>市政基础设施</v>
      </c>
      <c r="R39" s="773" t="s">
        <v>21</v>
      </c>
      <c r="S39" s="774">
        <f t="shared" si="12"/>
        <v>100</v>
      </c>
      <c r="T39" s="773" t="s">
        <v>21</v>
      </c>
      <c r="U39" s="774">
        <f t="shared" si="13"/>
        <v>100</v>
      </c>
      <c r="V39" s="773" t="s">
        <v>21</v>
      </c>
      <c r="W39" s="774">
        <f t="shared" si="14"/>
        <v>100</v>
      </c>
      <c r="X39" s="1809"/>
      <c r="Y39" s="3212"/>
      <c r="Z39" s="1810" t="str">
        <f t="shared" si="18"/>
        <v>市政基础设施</v>
      </c>
      <c r="AA39" s="1807">
        <f t="shared" si="15"/>
        <v>1</v>
      </c>
      <c r="AB39" s="1807">
        <f t="shared" si="16"/>
        <v>1</v>
      </c>
      <c r="AC39" s="1807">
        <f t="shared" si="17"/>
        <v>1</v>
      </c>
    </row>
    <row r="40" spans="1:29" ht="15">
      <c r="A40" s="471"/>
      <c r="B40" s="421" t="s">
        <v>2565</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6"/>
      <c r="M40" s="1127"/>
      <c r="N40" s="1127"/>
      <c r="O40" s="1127"/>
      <c r="P40" s="3275"/>
      <c r="Q40" s="1806" t="str">
        <f t="shared" si="11"/>
        <v>房型</v>
      </c>
      <c r="R40" s="773" t="s">
        <v>21</v>
      </c>
      <c r="S40" s="774">
        <f t="shared" si="12"/>
        <v>100</v>
      </c>
      <c r="T40" s="773" t="s">
        <v>21</v>
      </c>
      <c r="U40" s="774">
        <f t="shared" si="13"/>
        <v>100</v>
      </c>
      <c r="V40" s="773" t="s">
        <v>21</v>
      </c>
      <c r="W40" s="774">
        <f t="shared" si="14"/>
        <v>100</v>
      </c>
      <c r="X40" s="1809"/>
      <c r="Y40" s="3212"/>
      <c r="Z40" s="1810" t="str">
        <f t="shared" si="18"/>
        <v>房型</v>
      </c>
      <c r="AA40" s="1807">
        <f t="shared" si="15"/>
        <v>1</v>
      </c>
      <c r="AB40" s="1807">
        <f t="shared" si="16"/>
        <v>1</v>
      </c>
      <c r="AC40" s="1807">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75"/>
      <c r="Q41" s="775" t="str">
        <f t="shared" si="11"/>
        <v>单套/主力户型建筑面积</v>
      </c>
      <c r="R41" s="776" t="s">
        <v>21</v>
      </c>
      <c r="S41" s="777">
        <f t="shared" si="12"/>
        <v>100</v>
      </c>
      <c r="T41" s="776" t="s">
        <v>21</v>
      </c>
      <c r="U41" s="777">
        <f t="shared" si="13"/>
        <v>100</v>
      </c>
      <c r="V41" s="776" t="s">
        <v>21</v>
      </c>
      <c r="W41" s="777">
        <f t="shared" si="14"/>
        <v>100</v>
      </c>
      <c r="X41" s="778"/>
      <c r="Y41" s="3212"/>
      <c r="Z41" s="779" t="str">
        <f t="shared" si="18"/>
        <v>单套/主力户型建筑面积</v>
      </c>
      <c r="AA41" s="1807">
        <f t="shared" si="15"/>
        <v>1</v>
      </c>
      <c r="AB41" s="1807">
        <f t="shared" si="16"/>
        <v>1</v>
      </c>
      <c r="AC41" s="1807">
        <f t="shared" si="17"/>
        <v>1</v>
      </c>
    </row>
    <row r="42" spans="1:29" ht="15">
      <c r="A42" s="471"/>
      <c r="B42" s="421" t="s">
        <v>2567</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6"/>
      <c r="M42" s="1127"/>
      <c r="N42" s="1127"/>
      <c r="O42" s="1127"/>
      <c r="P42" s="3275"/>
      <c r="Q42" s="1806" t="str">
        <f t="shared" si="11"/>
        <v>内部装修</v>
      </c>
      <c r="R42" s="773" t="s">
        <v>21</v>
      </c>
      <c r="S42" s="774">
        <f t="shared" si="12"/>
        <v>100</v>
      </c>
      <c r="T42" s="773" t="s">
        <v>21</v>
      </c>
      <c r="U42" s="774">
        <f t="shared" si="13"/>
        <v>100</v>
      </c>
      <c r="V42" s="773" t="s">
        <v>21</v>
      </c>
      <c r="W42" s="774">
        <f t="shared" si="14"/>
        <v>100</v>
      </c>
      <c r="X42" s="1809"/>
      <c r="Y42" s="3212"/>
      <c r="Z42" s="1810" t="str">
        <f t="shared" si="18"/>
        <v>内部装修</v>
      </c>
      <c r="AA42" s="1807">
        <f t="shared" si="15"/>
        <v>1</v>
      </c>
      <c r="AB42" s="1807">
        <f t="shared" si="16"/>
        <v>1</v>
      </c>
      <c r="AC42" s="1807">
        <f t="shared" si="17"/>
        <v>1</v>
      </c>
    </row>
    <row r="43" spans="1:29" ht="15">
      <c r="A43" s="471"/>
      <c r="B43" s="421" t="s">
        <v>2568</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6"/>
      <c r="M43" s="1127"/>
      <c r="N43" s="1127"/>
      <c r="O43" s="1127"/>
      <c r="P43" s="3275"/>
      <c r="Q43" s="1806" t="str">
        <f t="shared" si="11"/>
        <v>内部装修维护情况</v>
      </c>
      <c r="R43" s="773" t="s">
        <v>21</v>
      </c>
      <c r="S43" s="774">
        <f t="shared" si="12"/>
        <v>100</v>
      </c>
      <c r="T43" s="773" t="s">
        <v>21</v>
      </c>
      <c r="U43" s="774">
        <f t="shared" si="13"/>
        <v>100</v>
      </c>
      <c r="V43" s="773" t="s">
        <v>21</v>
      </c>
      <c r="W43" s="774">
        <f t="shared" si="14"/>
        <v>100</v>
      </c>
      <c r="X43" s="1809"/>
      <c r="Y43" s="3212"/>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75"/>
      <c r="Q44" s="1791">
        <f t="shared" si="11"/>
        <v>111</v>
      </c>
      <c r="R44" s="769" t="s">
        <v>21</v>
      </c>
      <c r="S44" s="770">
        <f t="shared" si="12"/>
        <v>100</v>
      </c>
      <c r="T44" s="769" t="s">
        <v>21</v>
      </c>
      <c r="U44" s="770">
        <f t="shared" si="13"/>
        <v>100</v>
      </c>
      <c r="V44" s="769" t="s">
        <v>21</v>
      </c>
      <c r="W44" s="770">
        <f t="shared" si="14"/>
        <v>100</v>
      </c>
      <c r="X44" s="771"/>
      <c r="Y44" s="3212"/>
      <c r="Z44" s="55">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75"/>
      <c r="Q45" s="1806">
        <f t="shared" si="11"/>
        <v>111</v>
      </c>
      <c r="R45" s="773" t="s">
        <v>21</v>
      </c>
      <c r="S45" s="774">
        <f t="shared" si="12"/>
        <v>100</v>
      </c>
      <c r="T45" s="773" t="s">
        <v>21</v>
      </c>
      <c r="U45" s="774">
        <f t="shared" si="13"/>
        <v>100</v>
      </c>
      <c r="V45" s="773" t="s">
        <v>21</v>
      </c>
      <c r="W45" s="774">
        <f t="shared" si="14"/>
        <v>100</v>
      </c>
      <c r="X45" s="1809"/>
      <c r="Y45" s="3212"/>
      <c r="Z45" s="1810">
        <f t="shared" si="18"/>
        <v>111</v>
      </c>
      <c r="AA45" s="1807">
        <f t="shared" si="15"/>
        <v>1</v>
      </c>
      <c r="AB45" s="1807">
        <f t="shared" si="16"/>
        <v>1</v>
      </c>
      <c r="AC45" s="180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76"/>
      <c r="Q46" s="1806">
        <f t="shared" si="11"/>
        <v>111</v>
      </c>
      <c r="R46" s="773" t="s">
        <v>20</v>
      </c>
      <c r="S46" s="774">
        <f t="shared" si="12"/>
        <v>100</v>
      </c>
      <c r="T46" s="773" t="s">
        <v>20</v>
      </c>
      <c r="U46" s="774">
        <f t="shared" si="13"/>
        <v>100</v>
      </c>
      <c r="V46" s="773" t="s">
        <v>20</v>
      </c>
      <c r="W46" s="774">
        <f t="shared" si="14"/>
        <v>100</v>
      </c>
      <c r="X46" s="1809"/>
      <c r="Y46" s="3277"/>
      <c r="Z46" s="1810">
        <f t="shared" si="18"/>
        <v>111</v>
      </c>
      <c r="AA46" s="1807">
        <f t="shared" si="15"/>
        <v>1</v>
      </c>
      <c r="AB46" s="1807">
        <f t="shared" si="16"/>
        <v>1</v>
      </c>
      <c r="AC46" s="1807">
        <f t="shared" si="17"/>
        <v>1</v>
      </c>
    </row>
    <row r="47" spans="1:29" ht="15">
      <c r="A47" s="478" t="s">
        <v>2569</v>
      </c>
      <c r="B47" s="479"/>
      <c r="C47" s="1403" t="s">
        <v>19</v>
      </c>
      <c r="D47" s="1404"/>
      <c r="E47" s="1405"/>
      <c r="F47" s="1406"/>
      <c r="G47" s="1407"/>
      <c r="H47" s="1408"/>
      <c r="I47" s="1405"/>
      <c r="J47" s="1408"/>
      <c r="K47" s="2614"/>
      <c r="L47" s="1139"/>
      <c r="M47" s="1140"/>
      <c r="N47" s="1127"/>
      <c r="O47" s="1140"/>
      <c r="P47" s="3207" t="str">
        <f>A47</f>
        <v>成交单价（元/平方米）</v>
      </c>
      <c r="Q47" s="3207"/>
      <c r="R47" s="3273">
        <f>E47</f>
        <v>0</v>
      </c>
      <c r="S47" s="3273"/>
      <c r="T47" s="3273">
        <f>G47</f>
        <v>0</v>
      </c>
      <c r="U47" s="3273"/>
      <c r="V47" s="3273">
        <f>I47</f>
        <v>0</v>
      </c>
      <c r="W47" s="3273"/>
      <c r="X47" s="758"/>
      <c r="Y47" s="780"/>
      <c r="Z47" s="758"/>
      <c r="AA47" s="758"/>
      <c r="AB47" s="758"/>
      <c r="AC47" s="758"/>
    </row>
    <row r="48" spans="1:29" ht="15.75" thickBot="1">
      <c r="A48" s="485" t="s">
        <v>2570</v>
      </c>
      <c r="B48" s="486"/>
      <c r="C48" s="1409" t="e">
        <f>R49</f>
        <v>#DIV/0!</v>
      </c>
      <c r="D48" s="1410"/>
      <c r="E48" s="1411" t="e">
        <f>R48</f>
        <v>#DIV/0!</v>
      </c>
      <c r="F48" s="1411"/>
      <c r="G48" s="1409" t="e">
        <f>T48</f>
        <v>#DIV/0!</v>
      </c>
      <c r="H48" s="1410"/>
      <c r="I48" s="1411" t="e">
        <f>V48</f>
        <v>#DIV/0!</v>
      </c>
      <c r="J48" s="1410"/>
      <c r="K48" s="2615"/>
      <c r="L48" s="1139"/>
      <c r="M48" s="1140"/>
      <c r="N48" s="1140"/>
      <c r="O48" s="1140"/>
      <c r="P48" s="3207" t="str">
        <f>A48</f>
        <v>比较价值（元/平方米）</v>
      </c>
      <c r="Q48" s="3207"/>
      <c r="R48" s="3273" t="e">
        <f>IF(F1="售价",ROUND(PRODUCT(R47,AA7:AA46),0),ROUND(PRODUCT(R47,AA7:AA46),1))</f>
        <v>#DIV/0!</v>
      </c>
      <c r="S48" s="3273"/>
      <c r="T48" s="3273" t="e">
        <f>IF(F1="售价",ROUND(PRODUCT(T47,AB7:AB46),0),ROUND(PRODUCT(T47,AB7:AB46),1))</f>
        <v>#DIV/0!</v>
      </c>
      <c r="U48" s="3273"/>
      <c r="V48" s="3273" t="e">
        <f>IF(F1="售价",ROUND(PRODUCT(V47,AC7:AC46),0),ROUND(PRODUCT(V47,AC7:AC46),1))</f>
        <v>#DIV/0!</v>
      </c>
      <c r="W48" s="3273"/>
      <c r="X48" s="758"/>
      <c r="Y48" s="758"/>
      <c r="Z48" s="758"/>
      <c r="AA48" s="758"/>
      <c r="AB48" s="758"/>
      <c r="AC48" s="758"/>
    </row>
    <row r="49" spans="1:29" ht="15.75" thickBot="1">
      <c r="A49" s="491" t="s">
        <v>2571</v>
      </c>
      <c r="B49" s="492"/>
      <c r="C49" s="1412" t="e">
        <f>R49</f>
        <v>#DIV/0!</v>
      </c>
      <c r="D49" s="1413"/>
      <c r="E49" s="1413"/>
      <c r="F49" s="1413"/>
      <c r="G49" s="1413"/>
      <c r="H49" s="1413"/>
      <c r="I49" s="1413"/>
      <c r="J49" s="1413"/>
      <c r="K49" s="2616"/>
      <c r="L49" s="1139"/>
      <c r="M49" s="1140"/>
      <c r="N49" s="1140"/>
      <c r="O49" s="1140"/>
      <c r="P49" s="3201" t="str">
        <f>A49</f>
        <v>估价对象XX用房的比较价值（楼面单价，元/平方米）</v>
      </c>
      <c r="Q49" s="3202"/>
      <c r="R49" s="3272" t="e">
        <f>IF(F1="售价",ROUND(AVERAGE(R48:V48),0),ROUND(AVERAGE(R48:V48),1))</f>
        <v>#DIV/0!</v>
      </c>
      <c r="S49" s="3272"/>
      <c r="T49" s="3272"/>
      <c r="U49" s="3272"/>
      <c r="V49" s="3272"/>
      <c r="W49" s="3272"/>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1.75" thickBot="1">
      <c r="A57" s="762" t="s">
        <v>2575</v>
      </c>
      <c r="B57" s="758"/>
      <c r="C57" s="763"/>
      <c r="D57" s="763"/>
      <c r="E57" s="763"/>
      <c r="F57" s="764"/>
      <c r="G57" s="764"/>
      <c r="H57" s="763"/>
      <c r="I57" s="763"/>
      <c r="J57" s="763"/>
      <c r="K57" s="1156"/>
      <c r="L57" s="1157"/>
      <c r="M57" s="1155"/>
      <c r="N57" s="1155"/>
      <c r="O57" s="1155"/>
      <c r="P57" s="2619"/>
      <c r="Q57" s="503"/>
    </row>
    <row r="58" spans="1:29" s="507" customFormat="1" ht="15">
      <c r="A58" s="504" t="s">
        <v>2576</v>
      </c>
      <c r="B58" s="505"/>
      <c r="C58" s="1572" t="str">
        <f>YEAR(C7)&amp;"-"&amp;MONTH(C7)</f>
        <v>2018-6</v>
      </c>
      <c r="D58" s="1571">
        <f>EDATE(C58,-1)</f>
        <v>43221</v>
      </c>
      <c r="E58" s="1571">
        <f>EDATE(D58,-1)</f>
        <v>43191</v>
      </c>
      <c r="F58" s="1571">
        <f t="shared" ref="F58:O58" si="19">EDATE(E58,-1)</f>
        <v>43160</v>
      </c>
      <c r="G58" s="1571">
        <f t="shared" si="19"/>
        <v>43132</v>
      </c>
      <c r="H58" s="1571">
        <f t="shared" si="19"/>
        <v>43101</v>
      </c>
      <c r="I58" s="1571">
        <f t="shared" si="19"/>
        <v>43070</v>
      </c>
      <c r="J58" s="1571">
        <f t="shared" si="19"/>
        <v>43040</v>
      </c>
      <c r="K58" s="1571">
        <f t="shared" si="19"/>
        <v>43009</v>
      </c>
      <c r="L58" s="1571">
        <f t="shared" si="19"/>
        <v>42979</v>
      </c>
      <c r="M58" s="1571">
        <f t="shared" si="19"/>
        <v>42948</v>
      </c>
      <c r="N58" s="1571">
        <f t="shared" si="19"/>
        <v>42917</v>
      </c>
      <c r="O58" s="1571">
        <f t="shared" si="19"/>
        <v>42887</v>
      </c>
      <c r="P58" s="1566"/>
    </row>
    <row r="59" spans="1:29" s="116" customFormat="1" ht="15">
      <c r="A59" s="508"/>
      <c r="B59" s="2620"/>
      <c r="C59" s="1569">
        <v>100</v>
      </c>
      <c r="D59" s="510"/>
      <c r="E59" s="511"/>
      <c r="F59" s="511"/>
      <c r="G59" s="511"/>
      <c r="H59" s="511"/>
      <c r="I59" s="511"/>
      <c r="J59" s="511"/>
      <c r="K59" s="511"/>
      <c r="L59" s="511"/>
      <c r="M59" s="512"/>
      <c r="N59" s="511"/>
      <c r="O59" s="512"/>
      <c r="P59" s="2621"/>
    </row>
    <row r="60" spans="1:29" s="116" customFormat="1" ht="15.75" thickBot="1">
      <c r="A60" s="514" t="s">
        <v>2577</v>
      </c>
      <c r="B60" s="515"/>
      <c r="C60" s="516"/>
      <c r="D60" s="517"/>
      <c r="E60" s="517"/>
      <c r="F60" s="517"/>
      <c r="G60" s="517"/>
      <c r="H60" s="517"/>
      <c r="I60" s="517"/>
      <c r="J60" s="517"/>
      <c r="K60" s="517"/>
      <c r="L60" s="517"/>
      <c r="M60" s="518"/>
      <c r="N60" s="517"/>
      <c r="O60" s="518"/>
      <c r="P60" s="2621"/>
      <c r="Q60" s="503"/>
    </row>
    <row r="61" spans="1:29" s="116" customFormat="1" ht="15">
      <c r="A61" s="520" t="s">
        <v>2578</v>
      </c>
      <c r="B61" s="509"/>
      <c r="C61" s="521" t="s">
        <v>2579</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2580</v>
      </c>
      <c r="B63" s="527" t="s">
        <v>2546</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8"/>
      <c r="O65" s="1148"/>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3"/>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59"/>
      <c r="E73" s="559"/>
      <c r="F73" s="559"/>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2090</v>
      </c>
      <c r="C82" s="538" t="s">
        <v>2596</v>
      </c>
      <c r="D82" s="538" t="s">
        <v>2597</v>
      </c>
      <c r="E82" s="538" t="s">
        <v>2598</v>
      </c>
      <c r="F82" s="538" t="s">
        <v>2599</v>
      </c>
      <c r="G82" s="538" t="s">
        <v>2600</v>
      </c>
      <c r="H82" s="538"/>
      <c r="I82" s="538"/>
      <c r="J82" s="538"/>
      <c r="K82" s="538"/>
      <c r="L82" s="538"/>
      <c r="M82" s="1378"/>
      <c r="N82" s="1149"/>
      <c r="O82" s="1149"/>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3"/>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2602</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6" customFormat="1" ht="15.75" thickTop="1">
      <c r="A88" s="578"/>
      <c r="B88" s="537" t="s">
        <v>2603</v>
      </c>
      <c r="C88" s="553"/>
      <c r="D88" s="553"/>
      <c r="E88" s="553"/>
      <c r="F88" s="2628"/>
      <c r="G88" s="553"/>
      <c r="H88" s="553"/>
      <c r="I88" s="553"/>
      <c r="J88" s="553"/>
      <c r="K88" s="553"/>
      <c r="L88" s="553"/>
      <c r="M88" s="580"/>
      <c r="N88" s="1147"/>
      <c r="O88" s="1147"/>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5.75" thickTop="1">
      <c r="A90" s="552"/>
      <c r="B90" s="537">
        <f>B27</f>
        <v>111</v>
      </c>
      <c r="C90" s="553"/>
      <c r="D90" s="553"/>
      <c r="E90" s="553"/>
      <c r="F90" s="553"/>
      <c r="G90" s="553"/>
      <c r="H90" s="554"/>
      <c r="I90" s="554"/>
      <c r="J90" s="554"/>
      <c r="K90" s="554"/>
      <c r="L90" s="555"/>
      <c r="M90" s="556"/>
      <c r="N90" s="1150"/>
      <c r="O90" s="1150"/>
      <c r="P90" s="2624"/>
      <c r="Q90" s="558"/>
    </row>
    <row r="91" spans="1:17" s="470" customFormat="1" ht="15.75" thickBot="1">
      <c r="A91" s="552"/>
      <c r="B91" s="542"/>
      <c r="C91" s="559"/>
      <c r="D91" s="559"/>
      <c r="E91" s="559"/>
      <c r="F91" s="559"/>
      <c r="G91" s="559"/>
      <c r="H91" s="561"/>
      <c r="I91" s="561"/>
      <c r="J91" s="561"/>
      <c r="K91" s="561"/>
      <c r="L91" s="561"/>
      <c r="M91" s="562"/>
      <c r="N91" s="1150"/>
      <c r="O91" s="1150"/>
      <c r="P91" s="2624"/>
      <c r="Q91" s="558"/>
    </row>
    <row r="92" spans="1:17" ht="15.75" thickTop="1">
      <c r="A92" s="533"/>
      <c r="B92" s="537">
        <f>B28</f>
        <v>111</v>
      </c>
      <c r="C92" s="553"/>
      <c r="D92" s="553"/>
      <c r="E92" s="553"/>
      <c r="F92" s="553"/>
      <c r="G92" s="582"/>
      <c r="H92" s="582"/>
      <c r="I92" s="582"/>
      <c r="J92" s="582"/>
      <c r="K92" s="583"/>
      <c r="L92" s="584"/>
      <c r="M92" s="585"/>
      <c r="N92" s="1148"/>
      <c r="O92" s="1148"/>
      <c r="P92" s="2623"/>
      <c r="Q92" s="503"/>
    </row>
    <row r="93" spans="1:17" ht="15.75" thickBot="1">
      <c r="A93" s="533"/>
      <c r="B93" s="542"/>
      <c r="C93" s="559"/>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59"/>
      <c r="E95" s="559"/>
      <c r="F95" s="559"/>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69"/>
      <c r="D97" s="569"/>
      <c r="E97" s="569"/>
      <c r="F97" s="569"/>
      <c r="G97" s="535"/>
      <c r="H97" s="535"/>
      <c r="I97" s="535"/>
      <c r="J97" s="535"/>
      <c r="K97" s="535"/>
      <c r="L97" s="535"/>
      <c r="M97" s="536"/>
      <c r="N97" s="1149"/>
      <c r="O97" s="1149"/>
      <c r="P97" s="2623"/>
      <c r="Q97" s="503"/>
    </row>
    <row r="98" spans="1:17" ht="15.75" thickTop="1">
      <c r="A98" s="533"/>
      <c r="B98" s="545">
        <f>B31</f>
        <v>111</v>
      </c>
      <c r="C98" s="586"/>
      <c r="D98" s="586"/>
      <c r="E98" s="586"/>
      <c r="F98" s="586"/>
      <c r="G98" s="586"/>
      <c r="H98" s="586"/>
      <c r="I98" s="586"/>
      <c r="J98" s="586"/>
      <c r="K98" s="587"/>
      <c r="L98" s="588"/>
      <c r="M98" s="589"/>
      <c r="N98" s="1148"/>
      <c r="O98" s="1148"/>
      <c r="P98" s="2623"/>
      <c r="Q98" s="503"/>
    </row>
    <row r="99" spans="1:17" ht="15.75" thickBot="1">
      <c r="A99" s="2629"/>
      <c r="B99" s="568"/>
      <c r="C99" s="590"/>
      <c r="D99" s="590"/>
      <c r="E99" s="590"/>
      <c r="F99" s="590"/>
      <c r="G99" s="590"/>
      <c r="H99" s="590"/>
      <c r="I99" s="590"/>
      <c r="J99" s="590"/>
      <c r="K99" s="590"/>
      <c r="L99" s="590"/>
      <c r="M99" s="591"/>
      <c r="N99" s="1149"/>
      <c r="O99" s="1149"/>
      <c r="P99" s="2623"/>
      <c r="Q99" s="503"/>
    </row>
    <row r="100" spans="1:17">
      <c r="A100" s="526" t="s">
        <v>2555</v>
      </c>
      <c r="B100" s="527" t="s">
        <v>2604</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2606</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2607</v>
      </c>
      <c r="C107" s="582"/>
      <c r="D107" s="582"/>
      <c r="E107" s="582"/>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2608</v>
      </c>
      <c r="C109" s="553"/>
      <c r="D109" s="553"/>
      <c r="E109" s="553"/>
      <c r="F109" s="582"/>
      <c r="G109" s="582"/>
      <c r="H109" s="582"/>
      <c r="I109" s="582"/>
      <c r="J109" s="582"/>
      <c r="K109" s="583"/>
      <c r="L109" s="584"/>
      <c r="M109" s="585"/>
      <c r="N109" s="1148"/>
      <c r="O109" s="1148"/>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4"/>
      <c r="Q113" s="558"/>
    </row>
    <row r="114" spans="1:17" ht="15" thickTop="1">
      <c r="A114" s="598"/>
      <c r="B114" s="537" t="s">
        <v>2609</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2610</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2611</v>
      </c>
      <c r="C118" s="582"/>
      <c r="D118" s="582"/>
      <c r="E118" s="582"/>
      <c r="F118" s="582"/>
      <c r="G118" s="582"/>
      <c r="H118" s="582"/>
      <c r="I118" s="582"/>
      <c r="J118" s="582"/>
      <c r="K118" s="583"/>
      <c r="L118" s="584"/>
      <c r="M118" s="585"/>
      <c r="N118" s="1148"/>
      <c r="O118" s="1148"/>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8.5" thickTop="1">
      <c r="A120" s="592"/>
      <c r="B120" s="537" t="s">
        <v>2566</v>
      </c>
      <c r="C120" s="553"/>
      <c r="D120" s="553"/>
      <c r="E120" s="553"/>
      <c r="F120" s="553"/>
      <c r="G120" s="553"/>
      <c r="H120" s="553"/>
      <c r="I120" s="553"/>
      <c r="J120" s="553"/>
      <c r="K120" s="553"/>
      <c r="L120" s="579"/>
      <c r="M120" s="580"/>
      <c r="N120" s="1150"/>
      <c r="O120" s="1150"/>
      <c r="P120" s="2624"/>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2612</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3"/>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59"/>
      <c r="E129" s="559"/>
      <c r="F129" s="559"/>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2614</v>
      </c>
    </row>
    <row r="137" spans="1:17" ht="15">
      <c r="B137" s="2631" t="s">
        <v>2615</v>
      </c>
      <c r="C137" s="2632"/>
      <c r="D137" s="2632"/>
      <c r="E137" s="2632"/>
      <c r="F137" s="2632"/>
      <c r="G137" s="2633"/>
      <c r="H137" s="2634"/>
      <c r="I137" s="2635" t="s">
        <v>2616</v>
      </c>
      <c r="J137" s="2632"/>
      <c r="K137" s="2636"/>
    </row>
    <row r="138" spans="1:17" ht="15">
      <c r="B138" s="2637"/>
      <c r="C138" s="145" t="s">
        <v>2617</v>
      </c>
      <c r="D138" s="145" t="s">
        <v>2618</v>
      </c>
      <c r="E138" s="2638" t="s">
        <v>2619</v>
      </c>
      <c r="F138" s="2639" t="s">
        <v>2620</v>
      </c>
      <c r="G138" s="145" t="s">
        <v>2618</v>
      </c>
      <c r="H138" s="146" t="s">
        <v>2619</v>
      </c>
      <c r="I138" s="2640"/>
      <c r="J138" s="145" t="s">
        <v>2621</v>
      </c>
      <c r="K138" s="146" t="s">
        <v>2622</v>
      </c>
    </row>
    <row r="139" spans="1:17" ht="15">
      <c r="B139" s="1080">
        <v>6</v>
      </c>
      <c r="C139" s="1081">
        <v>96</v>
      </c>
      <c r="D139" s="2641" t="s">
        <v>2623</v>
      </c>
      <c r="E139" s="1082">
        <v>100</v>
      </c>
      <c r="F139" s="1083">
        <v>102.5</v>
      </c>
      <c r="G139" s="2641" t="s">
        <v>2623</v>
      </c>
      <c r="H139" s="1084">
        <v>105</v>
      </c>
      <c r="I139" s="2642" t="s">
        <v>2624</v>
      </c>
      <c r="J139" s="1081">
        <v>20</v>
      </c>
      <c r="K139" s="1085">
        <f>C145/(J139-2)</f>
        <v>4.0555555555555553E-3</v>
      </c>
    </row>
    <row r="140" spans="1:17" ht="15">
      <c r="B140" s="1086">
        <v>5</v>
      </c>
      <c r="C140" s="1087">
        <v>100</v>
      </c>
      <c r="D140" s="1087"/>
      <c r="E140" s="1088"/>
      <c r="F140" s="1089">
        <v>102</v>
      </c>
      <c r="G140" s="1087"/>
      <c r="H140" s="1090"/>
      <c r="I140" s="2643" t="s">
        <v>2625</v>
      </c>
      <c r="J140" s="314">
        <f>ROUNDUP((J139-1)/2,0)</f>
        <v>10</v>
      </c>
      <c r="K140" s="1091">
        <v>100</v>
      </c>
    </row>
    <row r="141" spans="1:17" ht="15">
      <c r="B141" s="1086">
        <v>4</v>
      </c>
      <c r="C141" s="1087">
        <v>102</v>
      </c>
      <c r="D141" s="1087"/>
      <c r="E141" s="1088"/>
      <c r="F141" s="1089">
        <v>101.5</v>
      </c>
      <c r="G141" s="1087"/>
      <c r="H141" s="1090"/>
      <c r="I141" s="2643" t="s">
        <v>2626</v>
      </c>
      <c r="J141" s="314">
        <v>1</v>
      </c>
      <c r="K141" s="1092">
        <f>ROUND(100+(J141-J140)*K139*100,1)</f>
        <v>96.4</v>
      </c>
    </row>
    <row r="142" spans="1:17" ht="15">
      <c r="B142" s="1086">
        <v>3</v>
      </c>
      <c r="C142" s="1087">
        <v>103</v>
      </c>
      <c r="D142" s="1087"/>
      <c r="E142" s="1088"/>
      <c r="F142" s="1089">
        <v>101</v>
      </c>
      <c r="G142" s="1087"/>
      <c r="H142" s="1090"/>
      <c r="I142" s="2643" t="s">
        <v>2627</v>
      </c>
      <c r="J142" s="314">
        <f>J139</f>
        <v>20</v>
      </c>
      <c r="K142" s="1093">
        <v>95</v>
      </c>
    </row>
    <row r="143" spans="1:17" ht="15">
      <c r="B143" s="1086">
        <v>2</v>
      </c>
      <c r="C143" s="1087">
        <v>100</v>
      </c>
      <c r="D143" s="1087"/>
      <c r="E143" s="1088"/>
      <c r="F143" s="1089">
        <v>100.5</v>
      </c>
      <c r="G143" s="1087"/>
      <c r="H143" s="1090"/>
      <c r="I143" s="2643" t="s">
        <v>2628</v>
      </c>
      <c r="J143" s="1087">
        <v>15</v>
      </c>
      <c r="K143" s="1092">
        <f>ROUND(100+(J143-J140)*K139*100,1)</f>
        <v>102</v>
      </c>
    </row>
    <row r="144" spans="1:17" ht="15">
      <c r="B144" s="1086">
        <v>1</v>
      </c>
      <c r="C144" s="1087">
        <v>98</v>
      </c>
      <c r="D144" s="2644" t="s">
        <v>2629</v>
      </c>
      <c r="E144" s="1088">
        <v>102</v>
      </c>
      <c r="F144" s="1094">
        <v>100</v>
      </c>
      <c r="G144" s="2644" t="s">
        <v>2629</v>
      </c>
      <c r="H144" s="1090">
        <v>105</v>
      </c>
      <c r="I144" s="2643" t="s">
        <v>2628</v>
      </c>
      <c r="J144" s="1087">
        <v>18</v>
      </c>
      <c r="K144" s="1092">
        <f>ROUND(100+(J144-J140)*K139*100,1)</f>
        <v>103.2</v>
      </c>
    </row>
    <row r="145" spans="2:11" ht="15.75" thickBot="1">
      <c r="B145" s="2645" t="s">
        <v>2630</v>
      </c>
      <c r="C145" s="1095">
        <f>ROUND(MAX(C139:C144)/MIN(C139:C144)-1,3)</f>
        <v>7.2999999999999995E-2</v>
      </c>
      <c r="D145" s="1096"/>
      <c r="E145" s="1096"/>
      <c r="F145" s="2646" t="s">
        <v>2631</v>
      </c>
      <c r="G145" s="2647"/>
      <c r="H145" s="2648"/>
      <c r="I145" s="2649" t="s">
        <v>2628</v>
      </c>
      <c r="J145" s="1097">
        <v>8</v>
      </c>
      <c r="K145" s="1098">
        <f>ROUND(100+(J145-J140)*K139*100,1)</f>
        <v>99.2</v>
      </c>
    </row>
    <row r="147" spans="2:11">
      <c r="B147" s="2630" t="s">
        <v>2632</v>
      </c>
    </row>
    <row r="148" spans="2:11">
      <c r="B148" s="2630"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9" sqref="J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3288</v>
      </c>
      <c r="D1" s="1816" t="s">
        <v>70</v>
      </c>
      <c r="E1" s="1817" t="s">
        <v>1387</v>
      </c>
      <c r="F1" s="1279">
        <f ca="1">J53</f>
        <v>35.729999999999997</v>
      </c>
      <c r="G1" s="1832">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46615</v>
      </c>
      <c r="C2" s="1841" t="s">
        <v>1516</v>
      </c>
      <c r="D2" s="1841"/>
      <c r="E2" s="1842"/>
      <c r="F2" s="1843"/>
      <c r="G2" s="1844"/>
      <c r="H2" s="1836"/>
      <c r="I2" s="1836"/>
      <c r="J2" s="1836"/>
      <c r="K2" s="1837"/>
      <c r="L2" s="1836"/>
      <c r="M2" s="1836"/>
    </row>
    <row r="3" spans="1:37" ht="18" customHeight="1" thickBot="1">
      <c r="A3" s="1845" t="s">
        <v>1517</v>
      </c>
      <c r="B3" s="1846">
        <f ca="1">IF(ISERROR(B2*10000/F43),0,ROUND(B2*10000/F43,0))</f>
        <v>16008</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3166</v>
      </c>
      <c r="D5" s="1818" t="s">
        <v>1402</v>
      </c>
      <c r="E5" s="1289"/>
      <c r="F5" s="1290"/>
      <c r="G5" s="1847"/>
      <c r="H5" s="343">
        <v>1</v>
      </c>
      <c r="I5" s="344" t="s">
        <v>1401</v>
      </c>
      <c r="J5" s="1288">
        <f ca="1">J6+J10+J12</f>
        <v>0</v>
      </c>
      <c r="K5" s="1818" t="s">
        <v>1402</v>
      </c>
      <c r="L5" s="1289"/>
      <c r="M5" s="1290"/>
    </row>
    <row r="6" spans="1:37" ht="18" customHeight="1">
      <c r="A6" s="1287" t="s">
        <v>1035</v>
      </c>
      <c r="B6" s="3248" t="s">
        <v>1403</v>
      </c>
      <c r="C6" s="1292">
        <f ca="1">ROUND(F6*F8*F7*(1-F9)/10000,0)</f>
        <v>3162</v>
      </c>
      <c r="D6" s="163" t="s">
        <v>3024</v>
      </c>
      <c r="E6" s="346" t="s">
        <v>1405</v>
      </c>
      <c r="F6" s="347">
        <f ca="1">INDIRECT("'数据-取费表'!u"&amp;$G$1)</f>
        <v>3.5</v>
      </c>
      <c r="G6" s="1847"/>
      <c r="H6" s="1287" t="s">
        <v>1035</v>
      </c>
      <c r="I6" s="3248" t="s">
        <v>1403</v>
      </c>
      <c r="J6" s="345">
        <f ca="1">ROUND(M6*M8*M7*(1-M9)/10000,0)</f>
        <v>0</v>
      </c>
      <c r="K6" s="163" t="s">
        <v>3023</v>
      </c>
      <c r="L6" s="346" t="s">
        <v>1405</v>
      </c>
      <c r="M6" s="347">
        <f ca="1">INDIRECT("'数据-取费表'!z"&amp;$G$1)</f>
        <v>0</v>
      </c>
    </row>
    <row r="7" spans="1:37" ht="18" customHeight="1">
      <c r="A7" s="1291"/>
      <c r="B7" s="3249"/>
      <c r="C7" s="1293"/>
      <c r="D7" s="351"/>
      <c r="E7" s="2965" t="s">
        <v>1406</v>
      </c>
      <c r="F7" s="347">
        <f ca="1">IF(INDIRECT("'数据-取费表'!ah"&amp;$G$1)="",INDIRECT("'数据-取费表'!k"&amp;$G$1),INDIRECT("'数据-取费表'!ah"&amp;$G$1))</f>
        <v>29119</v>
      </c>
      <c r="G7" s="1847"/>
      <c r="H7" s="348"/>
      <c r="I7" s="3249"/>
      <c r="J7" s="350"/>
      <c r="K7" s="351"/>
      <c r="L7" s="346" t="s">
        <v>1406</v>
      </c>
      <c r="M7" s="347">
        <f ca="1">F7</f>
        <v>29119</v>
      </c>
    </row>
    <row r="8" spans="1:37" ht="18" customHeight="1">
      <c r="A8" s="348"/>
      <c r="B8" s="3249"/>
      <c r="C8" s="350"/>
      <c r="D8" s="351"/>
      <c r="E8" s="346" t="s">
        <v>1407</v>
      </c>
      <c r="F8" s="347">
        <f ca="1">INDIRECT("'数据-取费表'!ai"&amp;$G$1)</f>
        <v>365</v>
      </c>
      <c r="G8" s="1847"/>
      <c r="H8" s="348"/>
      <c r="I8" s="3249"/>
      <c r="J8" s="350"/>
      <c r="K8" s="351"/>
      <c r="L8" s="346" t="s">
        <v>1407</v>
      </c>
      <c r="M8" s="347">
        <f ca="1">INDIRECT("'数据-取费表'!ai"&amp;$G$1)</f>
        <v>365</v>
      </c>
    </row>
    <row r="9" spans="1:37" ht="18" customHeight="1">
      <c r="A9" s="348"/>
      <c r="B9" s="3250"/>
      <c r="C9" s="350"/>
      <c r="D9" s="351"/>
      <c r="E9" s="346" t="s">
        <v>1408</v>
      </c>
      <c r="F9" s="356">
        <f ca="1">INDIRECT("'数据-取费表'!w"&amp;$G$1)</f>
        <v>0.15</v>
      </c>
      <c r="G9" s="1847"/>
      <c r="H9" s="348"/>
      <c r="I9" s="3250"/>
      <c r="J9" s="350"/>
      <c r="K9" s="351"/>
      <c r="L9" s="357" t="s">
        <v>1408</v>
      </c>
      <c r="M9" s="358">
        <f ca="1">INDIRECT("'数据-取费表'!ab"&amp;$G$1)</f>
        <v>0</v>
      </c>
    </row>
    <row r="10" spans="1:37" ht="18" customHeight="1">
      <c r="A10" s="1287" t="s">
        <v>1039</v>
      </c>
      <c r="B10" s="1819" t="s">
        <v>1409</v>
      </c>
      <c r="C10" s="360">
        <f ca="1">ROUND(IF(F10="押一",C6/12*F11,IF(F10="押二",C6/12*2*F11,IF(F10="押三",C6/12*3*F11,C11*F11))),0)</f>
        <v>4</v>
      </c>
      <c r="D10" s="1820" t="s">
        <v>3032</v>
      </c>
      <c r="E10" s="357" t="s">
        <v>1410</v>
      </c>
      <c r="F10" s="1362" t="s">
        <v>3275</v>
      </c>
      <c r="G10" s="1847"/>
      <c r="H10" s="1287" t="s">
        <v>1039</v>
      </c>
      <c r="I10" s="1819" t="s">
        <v>1409</v>
      </c>
      <c r="J10" s="345">
        <f ca="1">ROUND(IF(M10="押一",J6/12*M11,IF(M10="押二",J6/12*2*M11,IF(M10="押三",J6/12*3*M11,J11*M11))),0)</f>
        <v>0</v>
      </c>
      <c r="K10" s="1820" t="s">
        <v>3032</v>
      </c>
      <c r="L10" s="357" t="s">
        <v>1410</v>
      </c>
      <c r="M10" s="1362" t="s">
        <v>1411</v>
      </c>
    </row>
    <row r="11" spans="1:37" ht="18" customHeight="1">
      <c r="A11" s="352"/>
      <c r="B11" s="1821" t="s">
        <v>1388</v>
      </c>
      <c r="C11" s="1174"/>
      <c r="D11" s="1822"/>
      <c r="E11" s="357" t="s">
        <v>1412</v>
      </c>
      <c r="F11" s="358">
        <f ca="1">'数据-取费表'!B39</f>
        <v>1.4999999999999999E-2</v>
      </c>
      <c r="G11" s="1847"/>
      <c r="H11" s="1295"/>
      <c r="I11" s="1821" t="s">
        <v>1388</v>
      </c>
      <c r="J11" s="1174"/>
      <c r="K11" s="747"/>
      <c r="L11" s="357"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4">
        <f ca="1">ROUND(C29*F13,0)</f>
        <v>17203</v>
      </c>
      <c r="D13" s="1327" t="s">
        <v>1415</v>
      </c>
      <c r="E13" s="1327" t="s">
        <v>1416</v>
      </c>
      <c r="F13" s="1328">
        <f ca="1">INDIRECT("'数据-取费表'!y"&amp;$G$1)</f>
        <v>1</v>
      </c>
      <c r="G13" s="1847"/>
      <c r="H13" s="1325">
        <v>2</v>
      </c>
      <c r="I13" s="1326" t="s">
        <v>1414</v>
      </c>
      <c r="J13" s="1286">
        <f ca="1">ROUND(J14*J15,0)</f>
        <v>0</v>
      </c>
      <c r="K13" s="1333" t="s">
        <v>1415</v>
      </c>
      <c r="L13" s="1848"/>
      <c r="M13" s="1849"/>
    </row>
    <row r="14" spans="1:37" ht="18" customHeight="1">
      <c r="A14" s="1197" t="s">
        <v>1034</v>
      </c>
      <c r="B14" s="346" t="s">
        <v>1417</v>
      </c>
      <c r="C14" s="362">
        <f ca="1">INDIRECT("'数据-取费表'!m"&amp;$G$1)+INDIRECT("'数据-取费表'!t"&amp;$G$1)</f>
        <v>10638</v>
      </c>
      <c r="D14" s="2968" t="s">
        <v>1418</v>
      </c>
      <c r="E14" s="2967"/>
      <c r="F14" s="363"/>
      <c r="G14" s="1847"/>
      <c r="H14" s="1197" t="s">
        <v>1035</v>
      </c>
      <c r="I14" s="346" t="s">
        <v>1419</v>
      </c>
      <c r="J14" s="24">
        <f ca="1">C29</f>
        <v>17203</v>
      </c>
      <c r="K14" s="2964"/>
      <c r="L14" s="975"/>
      <c r="M14" s="976"/>
    </row>
    <row r="15" spans="1:37" s="1854" customFormat="1" ht="18" customHeight="1" thickBot="1">
      <c r="A15" s="1197" t="s">
        <v>1036</v>
      </c>
      <c r="B15" s="346" t="s">
        <v>1420</v>
      </c>
      <c r="C15" s="24">
        <f ca="1">ROUND(C14*F15,0)</f>
        <v>319</v>
      </c>
      <c r="D15" s="364" t="s">
        <v>1421</v>
      </c>
      <c r="E15" s="364" t="s">
        <v>1422</v>
      </c>
      <c r="F15" s="365">
        <f>'数据-取费表'!B33</f>
        <v>0.03</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1423</v>
      </c>
      <c r="C16" s="24">
        <f ca="1">ROUND(INDIRECT("'数据-取费表'!m"&amp;$G$1)*F16,0)</f>
        <v>0</v>
      </c>
      <c r="D16" s="346" t="s">
        <v>1421</v>
      </c>
      <c r="E16" s="346" t="s">
        <v>1422</v>
      </c>
      <c r="F16" s="366">
        <f ca="1">IF(INDIRECT("'数据-取费表'!c"&amp;$G$1)="住宅",'数据-取费表'!B34,0)</f>
        <v>0</v>
      </c>
      <c r="G16" s="1847"/>
      <c r="H16" s="1325" t="s">
        <v>1030</v>
      </c>
      <c r="I16" s="1326" t="s">
        <v>1424</v>
      </c>
      <c r="J16" s="354">
        <f ca="1">ROUND(J17+J22+J23+J24,0)</f>
        <v>499</v>
      </c>
      <c r="K16" s="1333" t="s">
        <v>1425</v>
      </c>
      <c r="L16" s="2970"/>
      <c r="M16" s="1290"/>
    </row>
    <row r="17" spans="1:37" s="1854" customFormat="1" ht="18" customHeight="1">
      <c r="A17" s="1197" t="s">
        <v>1390</v>
      </c>
      <c r="B17" s="346" t="s">
        <v>1426</v>
      </c>
      <c r="C17" s="24">
        <f ca="1">ROUND(F17*(F43+INDIRECT("'数据-取费表'!S"&amp;$G$1))/10000,0)</f>
        <v>623</v>
      </c>
      <c r="D17" s="346" t="s">
        <v>1427</v>
      </c>
      <c r="E17" s="346" t="s">
        <v>1428</v>
      </c>
      <c r="F17" s="26">
        <f>'数据-取费表'!B35</f>
        <v>200</v>
      </c>
      <c r="G17" s="1850"/>
      <c r="H17" s="1197" t="s">
        <v>1035</v>
      </c>
      <c r="I17" s="346" t="s">
        <v>1429</v>
      </c>
      <c r="J17" s="24">
        <f ca="1">ROUND(IF(项目基本情况!B11="自然人",J5*M17,J18+J19+J20),1)</f>
        <v>155.30000000000001</v>
      </c>
      <c r="K17" s="2968" t="s">
        <v>1430</v>
      </c>
      <c r="L17" s="2969"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1432</v>
      </c>
      <c r="C18" s="24">
        <f ca="1">ROUND(C14*F18,0)</f>
        <v>160</v>
      </c>
      <c r="D18" s="346" t="s">
        <v>1421</v>
      </c>
      <c r="E18" s="346" t="s">
        <v>1422</v>
      </c>
      <c r="F18" s="366">
        <f>'数据-取费表'!B36</f>
        <v>1.4999999999999999E-2</v>
      </c>
      <c r="G18" s="1850"/>
      <c r="H18" s="1197" t="s">
        <v>1034</v>
      </c>
      <c r="I18" s="346" t="s">
        <v>1433</v>
      </c>
      <c r="J18" s="24">
        <f ca="1">ROUND(J5*M18/(1+'数据-取费表'!C42),2)</f>
        <v>0</v>
      </c>
      <c r="K18" s="2969"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1435</v>
      </c>
      <c r="C19" s="24">
        <f ca="1">SUM(C14:C18)</f>
        <v>11740</v>
      </c>
      <c r="D19" s="139" t="s">
        <v>1436</v>
      </c>
      <c r="E19" s="2963"/>
      <c r="F19" s="26"/>
      <c r="G19" s="1847"/>
      <c r="H19" s="1197" t="s">
        <v>1036</v>
      </c>
      <c r="I19" s="346" t="s">
        <v>1437</v>
      </c>
      <c r="J19" s="24">
        <f ca="1">IF(K19="按租金收入计税",ROUND(J5*M19,2),ROUND(C29*M19*0.7,2))</f>
        <v>144.51</v>
      </c>
      <c r="K19" s="1824" t="s">
        <v>1438</v>
      </c>
      <c r="L19" s="346" t="s">
        <v>1422</v>
      </c>
      <c r="M19" s="366">
        <f>IF(K19="按租金收入计税",'数据-取费表'!B51,'数据-取费表'!B50)</f>
        <v>1.2E-2</v>
      </c>
    </row>
    <row r="20" spans="1:37" s="1854" customFormat="1" ht="18" customHeight="1">
      <c r="A20" s="1197" t="s">
        <v>1039</v>
      </c>
      <c r="B20" s="346" t="s">
        <v>1439</v>
      </c>
      <c r="C20" s="24">
        <f ca="1">ROUND(C19*F20,0)</f>
        <v>235</v>
      </c>
      <c r="D20" s="368" t="s">
        <v>1440</v>
      </c>
      <c r="E20" s="346" t="s">
        <v>1422</v>
      </c>
      <c r="F20" s="366">
        <f>'数据-取费表'!B37</f>
        <v>0.02</v>
      </c>
      <c r="G20" s="1850"/>
      <c r="H20" s="1197" t="s">
        <v>1389</v>
      </c>
      <c r="I20" s="163" t="s">
        <v>1441</v>
      </c>
      <c r="J20" s="25">
        <f ca="1">ROUND(M20*M21/10000,2)</f>
        <v>10.78</v>
      </c>
      <c r="K20" s="369" t="s">
        <v>1442</v>
      </c>
      <c r="L20" s="346" t="s">
        <v>1443</v>
      </c>
      <c r="M20" s="370">
        <f>'数据-取费表'!B52</f>
        <v>14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1444</v>
      </c>
      <c r="C21" s="24" t="s">
        <v>18</v>
      </c>
      <c r="D21" s="368" t="s">
        <v>1445</v>
      </c>
      <c r="E21" s="346" t="s">
        <v>1446</v>
      </c>
      <c r="F21" s="366">
        <f>'数据-取费表'!B38</f>
        <v>0.02</v>
      </c>
      <c r="G21" s="1850"/>
      <c r="H21" s="371"/>
      <c r="I21" s="355"/>
      <c r="J21" s="29"/>
      <c r="K21" s="372"/>
      <c r="L21" s="346" t="s">
        <v>1447</v>
      </c>
      <c r="M21" s="347">
        <f ca="1">INDIRECT("'数据-取费表'!r"&amp;$G$1)</f>
        <v>7696.9699999999993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1448</v>
      </c>
      <c r="C22" s="24"/>
      <c r="D22" s="139" t="str">
        <f>IF(F23&lt;=1,"单利计息。","复利计息。")&amp;"建造成本、管理费用、销售费用产生的利息。"</f>
        <v>复利计息。建造成本、管理费用、销售费用产生的利息。</v>
      </c>
      <c r="E22" s="2963"/>
      <c r="F22" s="26"/>
      <c r="G22" s="1847"/>
      <c r="H22" s="1197" t="s">
        <v>1039</v>
      </c>
      <c r="I22" s="346" t="s">
        <v>1449</v>
      </c>
      <c r="J22" s="24">
        <f ca="1">ROUND(J14*M22,1)</f>
        <v>344.1</v>
      </c>
      <c r="K22" s="2969" t="s">
        <v>1450</v>
      </c>
      <c r="L22" s="346" t="s">
        <v>1422</v>
      </c>
      <c r="M22" s="373">
        <f ca="1">INDIRECT("'数据-取费表'!Ak"&amp;$G$1)</f>
        <v>0.02</v>
      </c>
    </row>
    <row r="23" spans="1:37" s="1854" customFormat="1" ht="18" customHeight="1">
      <c r="A23" s="1197" t="s">
        <v>1034</v>
      </c>
      <c r="B23" s="346" t="s">
        <v>1451</v>
      </c>
      <c r="C23" s="24">
        <f ca="1">IF('数据-取费表'!B22&lt;=1,ROUND(C19*F24*F23/2,0)+ROUND(C20*F24*F23/2,0),ROUND(C19*(POWER((1+F24),F23/2)-1),0)+ROUND(C20*(POWER((1+F24),F23/2)-1),0))</f>
        <v>863</v>
      </c>
      <c r="D23" s="374" t="str">
        <f>IF(F23&lt;=1,"(建造成本+管理费用)×利率×(建设周期÷2)","(建造成本+管理费用)×((1+利率)^(建设周期÷2)-1)")</f>
        <v>(建造成本+管理费用)×((1+利率)^(建设周期÷2)-1)</v>
      </c>
      <c r="E23" s="346" t="s">
        <v>1452</v>
      </c>
      <c r="F23" s="370">
        <f>'数据-取费表'!B20</f>
        <v>3</v>
      </c>
      <c r="G23" s="1850"/>
      <c r="H23" s="1197" t="s">
        <v>1075</v>
      </c>
      <c r="I23" s="346" t="s">
        <v>1453</v>
      </c>
      <c r="J23" s="24">
        <f ca="1">ROUND(J13*M23,1)</f>
        <v>0</v>
      </c>
      <c r="K23" s="2969" t="s">
        <v>1454</v>
      </c>
      <c r="L23" s="346" t="s">
        <v>1422</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0"/>
      <c r="H24" s="1335" t="s">
        <v>1392</v>
      </c>
      <c r="I24" s="1336" t="s">
        <v>1439</v>
      </c>
      <c r="J24" s="1337">
        <f ca="1">ROUND(J5*M24,1)</f>
        <v>0</v>
      </c>
      <c r="K24" s="1338" t="s">
        <v>1459</v>
      </c>
      <c r="L24" s="1336" t="s">
        <v>1422</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6" t="s">
        <v>1461</v>
      </c>
      <c r="C25" s="24"/>
      <c r="D25" s="139" t="s">
        <v>1462</v>
      </c>
      <c r="E25" s="2963"/>
      <c r="F25" s="26"/>
      <c r="G25" s="1847"/>
      <c r="H25" s="1325" t="s">
        <v>1031</v>
      </c>
      <c r="I25" s="1340" t="s">
        <v>1463</v>
      </c>
      <c r="J25" s="354">
        <f ca="1">J5-J16</f>
        <v>-499</v>
      </c>
      <c r="K25" s="1341" t="s">
        <v>1464</v>
      </c>
      <c r="L25" s="1342"/>
      <c r="M25" s="1343"/>
    </row>
    <row r="26" spans="1:37">
      <c r="A26" s="1197" t="s">
        <v>1034</v>
      </c>
      <c r="B26" s="346" t="s">
        <v>1465</v>
      </c>
      <c r="C26" s="24">
        <f ca="1">ROUND((C19+C20)*F26,0)</f>
        <v>2994</v>
      </c>
      <c r="D26" s="368" t="s">
        <v>1466</v>
      </c>
      <c r="E26" s="357" t="s">
        <v>1467</v>
      </c>
      <c r="F26" s="356">
        <f ca="1">INDIRECT("'数据-取费表'!q"&amp;$G$1)</f>
        <v>0.25</v>
      </c>
      <c r="G26" s="1847"/>
      <c r="H26" s="343" t="s">
        <v>1032</v>
      </c>
      <c r="I26" s="344" t="s">
        <v>1468</v>
      </c>
      <c r="J26" s="345">
        <f ca="1">IF(J5&lt;&gt;0,ROUND(J25*(1-((1+M28)/(1+M26))^M27)/(M26-M28),0),0)</f>
        <v>0</v>
      </c>
      <c r="K26" s="369" t="s">
        <v>1469</v>
      </c>
      <c r="L26" s="346" t="s">
        <v>1470</v>
      </c>
      <c r="M26" s="356">
        <f ca="1">INDIRECT("'数据-取费表'!I"&amp;$G$1)</f>
        <v>0.06</v>
      </c>
    </row>
    <row r="27" spans="1:37" ht="18" customHeight="1">
      <c r="A27" s="1197" t="s">
        <v>1036</v>
      </c>
      <c r="B27" s="346" t="s">
        <v>1471</v>
      </c>
      <c r="C27" s="24">
        <f ca="1">ROUND(F21*F26,4)</f>
        <v>5.0000000000000001E-3</v>
      </c>
      <c r="D27" s="368" t="s">
        <v>1472</v>
      </c>
      <c r="E27" s="364"/>
      <c r="F27" s="365"/>
      <c r="G27" s="1847"/>
      <c r="H27" s="348"/>
      <c r="I27" s="349"/>
      <c r="J27" s="350"/>
      <c r="K27" s="377" t="s">
        <v>1473</v>
      </c>
      <c r="L27" s="346" t="s">
        <v>1474</v>
      </c>
      <c r="M27" s="378">
        <f ca="1">INDIRECT("'数据-取费表'!ag"&amp;$G$1)</f>
        <v>0</v>
      </c>
    </row>
    <row r="28" spans="1:37" s="1854" customFormat="1" ht="18" customHeight="1">
      <c r="A28" s="1197"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17203</v>
      </c>
      <c r="D29" s="1338"/>
      <c r="E29" s="1336"/>
      <c r="F29" s="1339"/>
      <c r="G29" s="1850"/>
      <c r="H29" s="379" t="s">
        <v>1033</v>
      </c>
      <c r="I29" s="380" t="s">
        <v>1479</v>
      </c>
      <c r="J29" s="381">
        <f ca="1">ROUND(J26/(1+F40)^F41,0)</f>
        <v>0</v>
      </c>
      <c r="K29" s="382" t="s">
        <v>1480</v>
      </c>
      <c r="L29" s="383"/>
      <c r="M29" s="384">
        <f ca="1">INDIRECT("'数据-取费表'!k"&amp;$G$1)</f>
        <v>29119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4">
        <f ca="1">ROUND(C31+C36+C37+C38,0)</f>
        <v>1001</v>
      </c>
      <c r="D30" s="1333" t="s">
        <v>1425</v>
      </c>
      <c r="E30" s="2970"/>
      <c r="F30" s="1290"/>
      <c r="G30" s="1847"/>
      <c r="H30" s="744"/>
      <c r="I30" s="745"/>
      <c r="J30" s="746"/>
      <c r="K30" s="747"/>
      <c r="L30" s="748"/>
      <c r="M30" s="749"/>
    </row>
    <row r="31" spans="1:37" ht="18" customHeight="1">
      <c r="A31" s="1197" t="s">
        <v>1035</v>
      </c>
      <c r="B31" s="346" t="s">
        <v>1429</v>
      </c>
      <c r="C31" s="24">
        <f ca="1">ROUND(IF(项目基本情况!B11="自然人",C5*F31,C32+C33+C34),1)</f>
        <v>559.6</v>
      </c>
      <c r="D31" s="2968" t="s">
        <v>1430</v>
      </c>
      <c r="E31" s="2969"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1433</v>
      </c>
      <c r="C32" s="24">
        <f ca="1">IF(项目基本情况!B11="自然人","——",ROUND(C5*F32/(1+'数据-取费表'!C42),2))</f>
        <v>168.85</v>
      </c>
      <c r="D32" s="2969" t="s">
        <v>1434</v>
      </c>
      <c r="E32" s="346" t="s">
        <v>1422</v>
      </c>
      <c r="F32" s="376">
        <f>'数据-取费表'!B41</f>
        <v>5.6000000000000001E-2</v>
      </c>
      <c r="G32" s="1847"/>
      <c r="H32" s="744"/>
      <c r="I32" s="745"/>
      <c r="J32" s="746"/>
      <c r="K32" s="747"/>
      <c r="L32" s="748"/>
      <c r="M32" s="749"/>
    </row>
    <row r="33" spans="1:18" ht="18" customHeight="1">
      <c r="A33" s="1197" t="s">
        <v>1036</v>
      </c>
      <c r="B33" s="346" t="s">
        <v>1437</v>
      </c>
      <c r="C33" s="24">
        <f ca="1">IF(项目基本情况!B11="自然人","——",IF(D33="按租金收入计税",ROUND(C5*F33,2),IF(D33="按房产原值计税",ROUND(C29*F33*0.7,2),INDIRECT("'数据-取费表'!Aj"&amp;$G$1))))</f>
        <v>379.92</v>
      </c>
      <c r="D33" s="1824" t="s">
        <v>3274</v>
      </c>
      <c r="E33" s="346" t="s">
        <v>1422</v>
      </c>
      <c r="F33" s="366">
        <f>IF(D33="按票据","——",IF(D33="按租金收入计税",'数据-取费表'!B51,'数据-取费表'!B50))</f>
        <v>0.12</v>
      </c>
      <c r="G33" s="1847"/>
      <c r="H33" s="1855"/>
      <c r="I33" s="1856"/>
      <c r="J33" s="1857"/>
      <c r="K33" s="1858"/>
      <c r="L33" s="1855"/>
      <c r="M33" s="1855"/>
    </row>
    <row r="34" spans="1:18" ht="18" customHeight="1">
      <c r="A34" s="1287" t="s">
        <v>1389</v>
      </c>
      <c r="B34" s="163" t="s">
        <v>1441</v>
      </c>
      <c r="C34" s="25">
        <f ca="1">IF(项目基本情况!B11="自然人","——",ROUND(F34*F35/10000,2))</f>
        <v>10.78</v>
      </c>
      <c r="D34" s="369" t="s">
        <v>1442</v>
      </c>
      <c r="E34" s="346" t="s">
        <v>1443</v>
      </c>
      <c r="F34" s="370">
        <f>'数据-取费表'!B52</f>
        <v>14</v>
      </c>
      <c r="G34" s="1847"/>
      <c r="H34" s="744"/>
      <c r="I34" s="1856"/>
      <c r="J34" s="1857"/>
      <c r="K34" s="1859"/>
      <c r="L34" s="1860"/>
      <c r="M34" s="1860"/>
    </row>
    <row r="35" spans="1:18" ht="18" customHeight="1">
      <c r="A35" s="1349"/>
      <c r="B35" s="1347"/>
      <c r="C35" s="29"/>
      <c r="D35" s="372"/>
      <c r="E35" s="346" t="s">
        <v>1447</v>
      </c>
      <c r="F35" s="347">
        <f ca="1">INDIRECT("'数据-取费表'!r"&amp;$G$1)</f>
        <v>7696.9699999999993</v>
      </c>
      <c r="G35" s="1847"/>
      <c r="H35" s="744"/>
      <c r="I35" s="1856"/>
      <c r="J35" s="1857"/>
      <c r="K35" s="1858"/>
      <c r="L35" s="1855"/>
      <c r="M35" s="1855"/>
    </row>
    <row r="36" spans="1:18" ht="18" customHeight="1">
      <c r="A36" s="1348" t="s">
        <v>1039</v>
      </c>
      <c r="B36" s="346" t="s">
        <v>1449</v>
      </c>
      <c r="C36" s="24">
        <f ca="1">ROUND(C29*F36,1)</f>
        <v>344.1</v>
      </c>
      <c r="D36" s="2969" t="s">
        <v>1482</v>
      </c>
      <c r="E36" s="346" t="s">
        <v>1422</v>
      </c>
      <c r="F36" s="373">
        <f ca="1">INDIRECT("'数据-取费表'!Ak"&amp;$G$1)</f>
        <v>0.02</v>
      </c>
      <c r="G36" s="1847"/>
      <c r="H36" s="1855"/>
      <c r="I36" s="1856"/>
      <c r="J36" s="1857"/>
      <c r="K36" s="750"/>
      <c r="L36" s="1855"/>
      <c r="M36" s="1855"/>
    </row>
    <row r="37" spans="1:18" ht="18" customHeight="1">
      <c r="A37" s="1197" t="s">
        <v>1075</v>
      </c>
      <c r="B37" s="346" t="s">
        <v>1453</v>
      </c>
      <c r="C37" s="24">
        <f ca="1">ROUND(C13*F37,1)</f>
        <v>34.4</v>
      </c>
      <c r="D37" s="2969" t="s">
        <v>1454</v>
      </c>
      <c r="E37" s="346" t="s">
        <v>1422</v>
      </c>
      <c r="F37" s="375">
        <f ca="1">INDIRECT("'数据-取费表'!Al"&amp;$G$1)</f>
        <v>2E-3</v>
      </c>
      <c r="G37" s="1847"/>
      <c r="H37" s="1855"/>
      <c r="I37" s="1856"/>
      <c r="J37" s="1857"/>
      <c r="K37" s="750"/>
      <c r="L37" s="1855"/>
      <c r="M37" s="1855"/>
    </row>
    <row r="38" spans="1:18" ht="18" customHeight="1" thickBot="1">
      <c r="A38" s="1335" t="s">
        <v>1392</v>
      </c>
      <c r="B38" s="1336" t="s">
        <v>1439</v>
      </c>
      <c r="C38" s="1337">
        <f ca="1">ROUND(C5*F38,1)</f>
        <v>63.3</v>
      </c>
      <c r="D38" s="1338" t="s">
        <v>1459</v>
      </c>
      <c r="E38" s="1336" t="s">
        <v>1422</v>
      </c>
      <c r="F38" s="1332">
        <f ca="1">INDIRECT("'数据-取费表'!Am"&amp;$G$1)</f>
        <v>0.02</v>
      </c>
      <c r="G38" s="1847"/>
      <c r="H38" s="1855"/>
      <c r="I38" s="1856"/>
      <c r="J38" s="1857"/>
      <c r="K38" s="1861"/>
      <c r="L38" s="1855"/>
      <c r="M38" s="1855"/>
    </row>
    <row r="39" spans="1:18" ht="24.6" customHeight="1" thickTop="1">
      <c r="A39" s="1325" t="s">
        <v>1031</v>
      </c>
      <c r="B39" s="1340" t="s">
        <v>1463</v>
      </c>
      <c r="C39" s="354">
        <f ca="1">C5-C30</f>
        <v>2165</v>
      </c>
      <c r="D39" s="1341" t="s">
        <v>1464</v>
      </c>
      <c r="E39" s="1342"/>
      <c r="F39" s="1343"/>
      <c r="G39" s="1847"/>
      <c r="H39" s="1855"/>
      <c r="I39" s="1856"/>
      <c r="J39" s="1857"/>
      <c r="K39" s="1861"/>
      <c r="L39" s="1855"/>
      <c r="M39" s="1855"/>
    </row>
    <row r="40" spans="1:18" ht="18" customHeight="1">
      <c r="A40" s="343" t="s">
        <v>1032</v>
      </c>
      <c r="B40" s="344" t="s">
        <v>1485</v>
      </c>
      <c r="C40" s="345">
        <f ca="1">ROUND(C39*(1-((1+F42)/(1+F40))^F41)/(F40-F42),0)</f>
        <v>46295</v>
      </c>
      <c r="D40" s="369" t="s">
        <v>1469</v>
      </c>
      <c r="E40" s="346" t="s">
        <v>1470</v>
      </c>
      <c r="F40" s="356">
        <f ca="1">INDIRECT("'数据-取费表'!I"&amp;$G$1)</f>
        <v>0.06</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35.729999999999997</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15899</v>
      </c>
      <c r="D43" s="382" t="s">
        <v>1488</v>
      </c>
      <c r="E43" s="383" t="s">
        <v>1489</v>
      </c>
      <c r="F43" s="384">
        <f ca="1">INDIRECT("'数据-取费表'!k"&amp;$G$1)</f>
        <v>29119</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-73050</v>
      </c>
      <c r="D46" s="1868" t="str">
        <f>C2</f>
        <v>万元</v>
      </c>
      <c r="E46" s="1862"/>
      <c r="F46" s="1862"/>
      <c r="I46" s="1869" t="s">
        <v>1521</v>
      </c>
      <c r="J46" s="1870"/>
      <c r="K46" s="1871"/>
      <c r="L46" s="1872">
        <f ca="1">IF(M47="住宅",0,IF(L48&gt;J51,L60,J60))</f>
        <v>320</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91"/>
      <c r="I47" s="1876" t="s">
        <v>1526</v>
      </c>
      <c r="J47" s="1877" t="s">
        <v>3272</v>
      </c>
      <c r="K47" s="1878" t="s">
        <v>1527</v>
      </c>
      <c r="L47" s="1879">
        <f ca="1">INDIRECT("'数据-取费表'!d"&amp;$G$1)</f>
        <v>40</v>
      </c>
      <c r="M47" s="1834" t="str">
        <f>IF(ISNUMBER(FIND("住宅",C1)),"住宅","非住宅")</f>
        <v>非住宅</v>
      </c>
      <c r="O47" s="1880" t="s">
        <v>1040</v>
      </c>
      <c r="P47" s="1881" t="s">
        <v>1528</v>
      </c>
      <c r="Q47" s="1882">
        <f ca="1">C40+J29</f>
        <v>46295</v>
      </c>
      <c r="R47" s="1882" t="s">
        <v>1529</v>
      </c>
    </row>
    <row r="48" spans="1:18" s="1838" customFormat="1" ht="28.5" thickBot="1">
      <c r="A48" s="1356" t="s">
        <v>1135</v>
      </c>
      <c r="B48" s="344" t="s">
        <v>1401</v>
      </c>
      <c r="C48" s="2962">
        <f ca="1">C49+C53+C55</f>
        <v>0</v>
      </c>
      <c r="D48" s="1358"/>
      <c r="E48" s="1359"/>
      <c r="F48" s="1177"/>
      <c r="G48" s="791"/>
      <c r="H48" s="792"/>
      <c r="I48" s="1883" t="s">
        <v>1530</v>
      </c>
      <c r="J48" s="1884" t="s">
        <v>3273</v>
      </c>
      <c r="K48" s="1885" t="s">
        <v>1531</v>
      </c>
      <c r="L48" s="1886">
        <f ca="1">INDIRECT("'数据-取费表'!f"&amp;$G$1)</f>
        <v>35.729999999999997</v>
      </c>
      <c r="O48" s="1880" t="s">
        <v>1041</v>
      </c>
      <c r="P48" s="1881" t="s">
        <v>1532</v>
      </c>
      <c r="Q48" s="1882">
        <f ca="1">J60</f>
        <v>320</v>
      </c>
      <c r="R48" s="1882" t="s">
        <v>1533</v>
      </c>
    </row>
    <row r="49" spans="1:18" s="1838" customFormat="1" ht="13.5" thickBot="1">
      <c r="A49" s="1190" t="s">
        <v>1136</v>
      </c>
      <c r="B49" s="1825" t="s">
        <v>1490</v>
      </c>
      <c r="C49" s="1360">
        <f ca="1">ROUND(F49*F51*F50*(1-F52)/10000,0)</f>
        <v>0</v>
      </c>
      <c r="D49" s="1272" t="s">
        <v>3023</v>
      </c>
      <c r="E49" s="1826" t="s">
        <v>1491</v>
      </c>
      <c r="F49" s="1277"/>
      <c r="G49" s="1887"/>
      <c r="H49" s="792"/>
      <c r="I49" s="1883" t="s">
        <v>1534</v>
      </c>
      <c r="J49" s="1889">
        <v>2018</v>
      </c>
      <c r="K49" s="1885" t="s">
        <v>1535</v>
      </c>
      <c r="L49" s="1889"/>
      <c r="O49" s="1890" t="s">
        <v>1042</v>
      </c>
      <c r="P49" s="1881" t="s">
        <v>1536</v>
      </c>
      <c r="Q49" s="1882">
        <f ca="1">C29</f>
        <v>17203</v>
      </c>
      <c r="R49" s="1882" t="s">
        <v>1529</v>
      </c>
    </row>
    <row r="50" spans="1:18" s="1838" customFormat="1" ht="13.5" thickBot="1">
      <c r="A50" s="1191"/>
      <c r="B50" s="1194"/>
      <c r="C50" s="1364"/>
      <c r="D50" s="1168"/>
      <c r="E50" s="1273" t="s">
        <v>1406</v>
      </c>
      <c r="F50" s="1274">
        <f ca="1">F7</f>
        <v>29119</v>
      </c>
      <c r="H50" s="792"/>
      <c r="I50" s="1883" t="s">
        <v>1537</v>
      </c>
      <c r="J50" s="1891">
        <f>SUMPRODUCT((I63:I65=J47)*(J62:L62=J48)*(J63:L65))</f>
        <v>60</v>
      </c>
      <c r="K50" s="1885" t="s">
        <v>1538</v>
      </c>
      <c r="L50" s="1889"/>
      <c r="M50" s="1892"/>
      <c r="O50" s="1890" t="s">
        <v>1043</v>
      </c>
      <c r="P50" s="1881" t="s">
        <v>1539</v>
      </c>
      <c r="Q50" s="1893">
        <f ca="1">J58</f>
        <v>0.40500000000000003</v>
      </c>
      <c r="R50" s="1882"/>
    </row>
    <row r="51" spans="1:18" s="1838" customFormat="1" ht="13.5" thickBot="1">
      <c r="A51" s="1192"/>
      <c r="B51" s="1194"/>
      <c r="C51" s="1195"/>
      <c r="D51" s="1168"/>
      <c r="E51" s="1196" t="s">
        <v>1407</v>
      </c>
      <c r="F51" s="347">
        <f ca="1">F8</f>
        <v>365</v>
      </c>
      <c r="I51" s="1894" t="s">
        <v>1540</v>
      </c>
      <c r="J51" s="1895">
        <f>IF(J49="",J50,J49+J50-YEAR('数据-取费表'!B2))</f>
        <v>60</v>
      </c>
      <c r="K51" s="1896" t="s">
        <v>1541</v>
      </c>
      <c r="L51" s="1897">
        <f ca="1">ROUND(-PV(INDIRECT("'数据-取费表'!h"&amp;$G$1),L48,(C39-C13*C76),0),0)</f>
        <v>11596</v>
      </c>
      <c r="M51" s="1898"/>
      <c r="O51" s="1890" t="s">
        <v>1044</v>
      </c>
      <c r="P51" s="1881" t="s">
        <v>1542</v>
      </c>
      <c r="Q51" s="1893">
        <f>J52</f>
        <v>0.09</v>
      </c>
      <c r="R51" s="1882"/>
    </row>
    <row r="52" spans="1:18" s="1838" customFormat="1" ht="13.5" thickBot="1">
      <c r="A52" s="1192"/>
      <c r="B52" s="1194"/>
      <c r="C52" s="1195"/>
      <c r="D52" s="1168"/>
      <c r="E52" s="1196" t="s">
        <v>1408</v>
      </c>
      <c r="F52" s="1271"/>
      <c r="I52" s="1899" t="s">
        <v>1543</v>
      </c>
      <c r="J52" s="1900">
        <v>0.09</v>
      </c>
      <c r="K52" s="1899" t="s">
        <v>1544</v>
      </c>
      <c r="L52" s="1900"/>
      <c r="O52" s="1890" t="s">
        <v>1045</v>
      </c>
      <c r="P52" s="1881" t="s">
        <v>1545</v>
      </c>
      <c r="Q52" s="1882">
        <f ca="1">J53</f>
        <v>35.729999999999997</v>
      </c>
      <c r="R52" s="1882" t="s">
        <v>1546</v>
      </c>
    </row>
    <row r="53" spans="1:18" s="1838" customFormat="1" ht="24.75" thickBot="1">
      <c r="A53" s="1401" t="s">
        <v>1137</v>
      </c>
      <c r="B53" s="1827" t="s">
        <v>1409</v>
      </c>
      <c r="C53" s="360">
        <f ca="1">ROUND(IF(F53="押一",C49/12*F11,IF(F53="押二",C49/12*2*F11,IF(F53="押三",C49/12*3*F11,C54*F11))),0)</f>
        <v>0</v>
      </c>
      <c r="D53" s="1820" t="s">
        <v>3032</v>
      </c>
      <c r="E53" s="357" t="s">
        <v>1410</v>
      </c>
      <c r="F53" s="1362"/>
      <c r="I53" s="1901" t="s">
        <v>1547</v>
      </c>
      <c r="J53" s="1902">
        <f ca="1">IF(M47="住宅",IF(D1="——",MAX(J51,L48),IF(D1="在建（套用方法）",MAX(J51,L48-'数据-取费表'!B24),MAX(J51,L48-'数据-取费表'!B20))),IF(D1="——",MIN(J51,L48),IF(D1="在建（套用方法）",MIN(J51,L48-'数据-取费表'!B24),IF(D1="土地（套用方法）",MIN(J51,L48-'数据-取费表'!B20)))))</f>
        <v>35.729999999999997</v>
      </c>
      <c r="K53" s="3246" t="s">
        <v>1548</v>
      </c>
      <c r="L53" s="3247"/>
      <c r="O53" s="1880" t="s">
        <v>1046</v>
      </c>
      <c r="P53" s="1881" t="s">
        <v>1549</v>
      </c>
      <c r="Q53" s="1882">
        <f ca="1">Q47+Q48</f>
        <v>46615</v>
      </c>
      <c r="R53" s="1882" t="s">
        <v>1047</v>
      </c>
    </row>
    <row r="54" spans="1:18" s="1838" customFormat="1" ht="13.5" thickBot="1">
      <c r="A54" s="1402"/>
      <c r="B54" s="1821" t="s">
        <v>1388</v>
      </c>
      <c r="C54" s="1174"/>
      <c r="D54" s="1820"/>
      <c r="E54" s="296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2966"/>
      <c r="F55" s="1903"/>
      <c r="I55" s="1906" t="s">
        <v>1551</v>
      </c>
      <c r="J55" s="1907">
        <f ca="1">ROUND(IF(J47="钢混",J57/J50,1-(1-2%)*(J50-J57)/J50),3)</f>
        <v>0.40500000000000003</v>
      </c>
      <c r="K55" s="1908" t="s">
        <v>1552</v>
      </c>
      <c r="L55" s="1909" t="s">
        <v>1553</v>
      </c>
      <c r="O55" s="1873" t="s">
        <v>1522</v>
      </c>
      <c r="P55" s="1874" t="s">
        <v>1523</v>
      </c>
      <c r="Q55" s="1875" t="s">
        <v>1524</v>
      </c>
      <c r="R55" s="1875" t="s">
        <v>1525</v>
      </c>
    </row>
    <row r="56" spans="1:18" s="1838" customFormat="1" ht="25.5" thickTop="1" thickBot="1">
      <c r="A56" s="1172">
        <v>2</v>
      </c>
      <c r="B56" s="1173" t="s">
        <v>1414</v>
      </c>
      <c r="C56" s="275">
        <f ca="1">C13</f>
        <v>17203</v>
      </c>
      <c r="D56" s="1910"/>
      <c r="E56" s="1911"/>
      <c r="F56" s="1903"/>
      <c r="I56" s="1912" t="s">
        <v>1554</v>
      </c>
      <c r="J56" s="1913" t="s">
        <v>3198</v>
      </c>
      <c r="K56" s="1883" t="s">
        <v>1555</v>
      </c>
      <c r="L56" s="1886" t="str">
        <f ca="1">IF(L48&lt;J51,"——",L48-J53)</f>
        <v>——</v>
      </c>
      <c r="O56" s="1880" t="s">
        <v>1040</v>
      </c>
      <c r="P56" s="1881" t="s">
        <v>1528</v>
      </c>
      <c r="Q56" s="1882">
        <f ca="1">C40+J29</f>
        <v>46295</v>
      </c>
      <c r="R56" s="1882" t="s">
        <v>1529</v>
      </c>
    </row>
    <row r="57" spans="1:18" s="1838" customFormat="1" ht="24.75" thickBot="1">
      <c r="A57" s="1914"/>
      <c r="B57" s="1165" t="s">
        <v>1478</v>
      </c>
      <c r="C57" s="281">
        <f ca="1">C29</f>
        <v>17203</v>
      </c>
      <c r="D57" s="1915"/>
      <c r="E57" s="1916"/>
      <c r="F57" s="1917"/>
      <c r="I57" s="1918" t="s">
        <v>1556</v>
      </c>
      <c r="J57" s="1919">
        <f ca="1">IF(OR(M47="住宅",J51&lt;L48,J56="是"),"——",J51-L48)</f>
        <v>24.270000000000003</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1424</v>
      </c>
      <c r="C58" s="360">
        <f ca="1">ROUND(C59+C64+C65+C66,0)</f>
        <v>1834</v>
      </c>
      <c r="D58" s="1175" t="s">
        <v>1425</v>
      </c>
      <c r="E58" s="1176"/>
      <c r="F58" s="1177"/>
      <c r="I58" s="1918" t="s">
        <v>1560</v>
      </c>
      <c r="J58" s="1920">
        <f ca="1">IF(J55&lt;0.4,0.4,J55)</f>
        <v>0.40500000000000003</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1455.8</v>
      </c>
      <c r="D59" s="1178" t="s">
        <v>1430</v>
      </c>
      <c r="E59" s="1179" t="s">
        <v>1431</v>
      </c>
      <c r="F59" s="367" t="str">
        <f ca="1">IF(项目基本情况!B11="企业","",IF(INDIRECT("'数据-取费表'!c"&amp;$G$1)="住宅",5%,IF(F49*F50*F51/12/(1+'数据-取费表'!C42)&gt;20000,12%,7%)))</f>
        <v/>
      </c>
      <c r="I59" s="1918" t="s">
        <v>1563</v>
      </c>
      <c r="J59" s="1919">
        <f ca="1">IF(OR(M47="住宅",J51&lt;L48,J56="是"),"——",ROUND(C29*J58,0))</f>
        <v>6967</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6">
        <f t="shared" ref="F60:F66" si="0">F32</f>
        <v>5.6000000000000001E-2</v>
      </c>
      <c r="I60" s="1921" t="s">
        <v>1565</v>
      </c>
      <c r="J60" s="1922">
        <f ca="1">IF(OR(M47="住宅",J51&lt;L48,J56="是"),"0",ROUND(J59/(1+J52)^J53,0))</f>
        <v>320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1492</v>
      </c>
      <c r="B61" s="1165" t="s">
        <v>1437</v>
      </c>
      <c r="C61" s="24">
        <f ca="1">IF(项目基本情况!B11="自然人","——",IF(D61="按租金收入计税",ROUND(C48*F61,2),IF(D61="按房产原值计税",ROUND(C57*F61*0.7,2),INDIRECT("'数据-取费表'!Aj"&amp;$G$1))))</f>
        <v>1445.05</v>
      </c>
      <c r="D61" s="1824" t="s">
        <v>1438</v>
      </c>
      <c r="E61" s="1165" t="s">
        <v>1422</v>
      </c>
      <c r="F61" s="366">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1495</v>
      </c>
      <c r="B62" s="1164" t="s">
        <v>1441</v>
      </c>
      <c r="C62" s="25">
        <f ca="1">IF(项目基本情况!B11="自然人","——",ROUND(F62*F63/10000,2))</f>
        <v>10.78</v>
      </c>
      <c r="D62" s="1180" t="s">
        <v>1442</v>
      </c>
      <c r="E62" s="1165" t="s">
        <v>1443</v>
      </c>
      <c r="F62" s="370">
        <f t="shared" si="0"/>
        <v>14</v>
      </c>
      <c r="I62" s="1925" t="s">
        <v>1570</v>
      </c>
      <c r="J62" s="1926" t="s">
        <v>1571</v>
      </c>
      <c r="K62" s="1926" t="s">
        <v>1572</v>
      </c>
      <c r="L62" s="1926" t="s">
        <v>1573</v>
      </c>
      <c r="M62" s="1927" t="s">
        <v>1574</v>
      </c>
      <c r="O62" s="1880" t="s">
        <v>1046</v>
      </c>
      <c r="P62" s="1881" t="s">
        <v>1549</v>
      </c>
      <c r="Q62" s="1882">
        <f ca="1">Q56+Q57</f>
        <v>46295</v>
      </c>
      <c r="R62" s="1882" t="s">
        <v>1047</v>
      </c>
    </row>
    <row r="63" spans="1:18" s="1838" customFormat="1" ht="13.5" thickBot="1">
      <c r="A63" s="371"/>
      <c r="B63" s="1171"/>
      <c r="C63" s="29"/>
      <c r="D63" s="1181"/>
      <c r="E63" s="1165" t="s">
        <v>1447</v>
      </c>
      <c r="F63" s="347">
        <f t="shared" ca="1" si="0"/>
        <v>7696.9699999999993</v>
      </c>
      <c r="I63" s="1925" t="s">
        <v>1576</v>
      </c>
      <c r="J63" s="1926">
        <v>70</v>
      </c>
      <c r="K63" s="1926">
        <v>50</v>
      </c>
      <c r="L63" s="1926">
        <v>80</v>
      </c>
      <c r="M63" s="1928">
        <v>0.02</v>
      </c>
      <c r="O63" s="1865" t="s">
        <v>1577</v>
      </c>
      <c r="P63" s="1835"/>
      <c r="Q63" s="1835"/>
      <c r="R63" s="1835"/>
    </row>
    <row r="64" spans="1:18" s="1838" customFormat="1" ht="13.5" thickBot="1">
      <c r="A64" s="1197" t="s">
        <v>1039</v>
      </c>
      <c r="B64" s="1165" t="s">
        <v>1449</v>
      </c>
      <c r="C64" s="24">
        <f ca="1">ROUND(C57*F64,1)</f>
        <v>344.1</v>
      </c>
      <c r="D64" s="1179" t="s">
        <v>1482</v>
      </c>
      <c r="E64" s="1165" t="s">
        <v>1422</v>
      </c>
      <c r="F64" s="373">
        <f t="shared" ca="1" si="0"/>
        <v>0.02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34.4</v>
      </c>
      <c r="D65" s="1179" t="s">
        <v>1454</v>
      </c>
      <c r="E65" s="1165" t="s">
        <v>1422</v>
      </c>
      <c r="F65" s="375">
        <f t="shared" ca="1" si="0"/>
        <v>2E-3</v>
      </c>
      <c r="I65" s="1925" t="s">
        <v>1579</v>
      </c>
      <c r="J65" s="1926">
        <v>40</v>
      </c>
      <c r="K65" s="1926">
        <v>30</v>
      </c>
      <c r="L65" s="1926">
        <v>50</v>
      </c>
      <c r="M65" s="1928">
        <v>0.02</v>
      </c>
      <c r="O65" s="1880" t="s">
        <v>1040</v>
      </c>
      <c r="P65" s="1881" t="s">
        <v>1528</v>
      </c>
      <c r="Q65" s="1882">
        <f ca="1">C40+J29</f>
        <v>46295</v>
      </c>
      <c r="R65" s="1882" t="s">
        <v>1529</v>
      </c>
    </row>
    <row r="66" spans="1:18" s="1838" customFormat="1" ht="16.5" thickBot="1">
      <c r="A66" s="1197" t="s">
        <v>1504</v>
      </c>
      <c r="B66" s="1165" t="s">
        <v>1439</v>
      </c>
      <c r="C66" s="24">
        <f ca="1">ROUND(C48*F66,1)</f>
        <v>0</v>
      </c>
      <c r="D66" s="1179" t="s">
        <v>1459</v>
      </c>
      <c r="E66" s="1165" t="s">
        <v>1422</v>
      </c>
      <c r="F66" s="356">
        <f t="shared" ca="1" si="0"/>
        <v>0.02</v>
      </c>
      <c r="O66" s="1880" t="s">
        <v>1041</v>
      </c>
      <c r="P66" s="1881" t="s">
        <v>1558</v>
      </c>
      <c r="Q66" s="1882">
        <f ca="1">L60</f>
        <v>0</v>
      </c>
      <c r="R66" s="1882" t="s">
        <v>1581</v>
      </c>
    </row>
    <row r="67" spans="1:18" s="1838" customFormat="1" ht="16.5" thickBot="1">
      <c r="A67" s="1172" t="s">
        <v>1031</v>
      </c>
      <c r="B67" s="1182" t="s">
        <v>1463</v>
      </c>
      <c r="C67" s="360">
        <f ca="1">C48-C58</f>
        <v>-1834</v>
      </c>
      <c r="D67" s="1178" t="s">
        <v>1464</v>
      </c>
      <c r="E67" s="1183"/>
      <c r="F67" s="1184"/>
      <c r="O67" s="1890" t="s">
        <v>1042</v>
      </c>
      <c r="P67" s="1881" t="s">
        <v>1562</v>
      </c>
      <c r="Q67" s="1929">
        <f ca="1">L51</f>
        <v>11596</v>
      </c>
      <c r="R67" s="1882" t="s">
        <v>1582</v>
      </c>
    </row>
    <row r="68" spans="1:18" s="1838" customFormat="1" ht="16.5" thickBot="1">
      <c r="A68" s="1162" t="s">
        <v>1032</v>
      </c>
      <c r="B68" s="1163" t="s">
        <v>1485</v>
      </c>
      <c r="C68" s="345">
        <f ca="1">ROUND(C67*(1-((1+F70)/(1+F68))^F69)/(F68-F70),0)</f>
        <v>-26755</v>
      </c>
      <c r="D68" s="1180" t="s">
        <v>1469</v>
      </c>
      <c r="E68" s="1165" t="s">
        <v>1470</v>
      </c>
      <c r="F68" s="356">
        <f ca="1">F40</f>
        <v>0.06</v>
      </c>
      <c r="O68" s="1890" t="s">
        <v>1043</v>
      </c>
      <c r="P68" s="1930" t="s">
        <v>1583</v>
      </c>
      <c r="Q68" s="1882">
        <f ca="1">ROUND(Q69-Q70*Q71,0)</f>
        <v>703</v>
      </c>
      <c r="R68" s="1882" t="s">
        <v>1051</v>
      </c>
    </row>
    <row r="69" spans="1:18" s="1838" customFormat="1" ht="13.5" thickBot="1">
      <c r="A69" s="1166"/>
      <c r="B69" s="1167"/>
      <c r="C69" s="350"/>
      <c r="D69" s="1185" t="s">
        <v>1473</v>
      </c>
      <c r="E69" s="1165" t="s">
        <v>1474</v>
      </c>
      <c r="F69" s="378">
        <f ca="1">F41</f>
        <v>35.729999999999997</v>
      </c>
      <c r="O69" s="1890" t="s">
        <v>1048</v>
      </c>
      <c r="P69" s="1930" t="s">
        <v>1584</v>
      </c>
      <c r="Q69" s="1882">
        <f ca="1">C39</f>
        <v>2165</v>
      </c>
      <c r="R69" s="1882" t="s">
        <v>1529</v>
      </c>
    </row>
    <row r="70" spans="1:18" s="1838" customFormat="1" ht="13.5" thickBot="1">
      <c r="A70" s="1169"/>
      <c r="B70" s="1170"/>
      <c r="C70" s="354"/>
      <c r="D70" s="1181"/>
      <c r="E70" s="1165" t="s">
        <v>1477</v>
      </c>
      <c r="F70" s="1271"/>
      <c r="O70" s="1890" t="s">
        <v>1049</v>
      </c>
      <c r="P70" s="1930" t="s">
        <v>1585</v>
      </c>
      <c r="Q70" s="1882">
        <f ca="1">C13</f>
        <v>17203</v>
      </c>
      <c r="R70" s="1882" t="s">
        <v>1529</v>
      </c>
    </row>
    <row r="71" spans="1:18" s="1838" customFormat="1" ht="13.5" thickBot="1">
      <c r="A71" s="1186" t="s">
        <v>1033</v>
      </c>
      <c r="B71" s="1187" t="s">
        <v>1487</v>
      </c>
      <c r="C71" s="381">
        <f ca="1">ROUND(C68*10000/F71,0)</f>
        <v>-9188</v>
      </c>
      <c r="D71" s="1188" t="s">
        <v>1488</v>
      </c>
      <c r="E71" s="1189" t="s">
        <v>1489</v>
      </c>
      <c r="F71" s="384">
        <f ca="1">F43</f>
        <v>29119</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1506</v>
      </c>
      <c r="C75" s="386">
        <f ca="1">ROUND(C13*C76,0)</f>
        <v>1462</v>
      </c>
      <c r="D75" s="1838"/>
      <c r="E75" s="1838"/>
      <c r="F75" s="1838"/>
      <c r="K75" s="1864"/>
      <c r="L75" s="1838"/>
      <c r="O75" s="1880" t="s">
        <v>1046</v>
      </c>
      <c r="P75" s="1881" t="s">
        <v>1549</v>
      </c>
      <c r="Q75" s="1882">
        <f ca="1">Q65+Q66</f>
        <v>46295</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0.32499999999999996</v>
      </c>
    </row>
    <row r="80" spans="1:18">
      <c r="B80" s="385" t="s">
        <v>1511</v>
      </c>
      <c r="C80" s="317">
        <f ca="1">ROUND(C75/C39,3)</f>
        <v>0.67500000000000004</v>
      </c>
    </row>
    <row r="81" spans="2:3">
      <c r="B81" s="313" t="s">
        <v>1512</v>
      </c>
      <c r="C81" s="281"/>
    </row>
    <row r="82" spans="2:3">
      <c r="B82" s="316" t="s">
        <v>1513</v>
      </c>
      <c r="C82" s="318">
        <f ca="1">1-C83</f>
        <v>0.628</v>
      </c>
    </row>
    <row r="83" spans="2:3">
      <c r="B83" s="316" t="s">
        <v>1514</v>
      </c>
      <c r="C83" s="317">
        <f ca="1">ROUND(C13/C40,3)</f>
        <v>0.372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3" sqref="B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3215</v>
      </c>
      <c r="D1" s="1816" t="s">
        <v>70</v>
      </c>
      <c r="E1" s="1817" t="s">
        <v>1387</v>
      </c>
      <c r="F1" s="1279">
        <f ca="1">J53</f>
        <v>35.729999999999997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13895</v>
      </c>
      <c r="C2" s="1841" t="s">
        <v>1516</v>
      </c>
      <c r="D2" s="1841"/>
      <c r="E2" s="1842"/>
      <c r="F2" s="1843"/>
      <c r="G2" s="1844"/>
      <c r="H2" s="1836"/>
      <c r="I2" s="1836"/>
      <c r="J2" s="1836"/>
      <c r="K2" s="1837"/>
      <c r="L2" s="1836"/>
      <c r="M2" s="1836"/>
    </row>
    <row r="3" spans="1:37" ht="18" customHeight="1" thickBot="1">
      <c r="A3" s="1845" t="s">
        <v>1517</v>
      </c>
      <c r="B3" s="1846">
        <f ca="1">IF(ISERROR(B2*10000/F43),0,ROUND(B2*10000/F43,0))</f>
        <v>17011</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806</v>
      </c>
      <c r="D5" s="1818" t="s">
        <v>1402</v>
      </c>
      <c r="E5" s="1289"/>
      <c r="F5" s="1290"/>
      <c r="G5" s="1847"/>
      <c r="H5" s="343">
        <v>1</v>
      </c>
      <c r="I5" s="344" t="s">
        <v>1401</v>
      </c>
      <c r="J5" s="1288">
        <f ca="1">J6+J10+J12</f>
        <v>0</v>
      </c>
      <c r="K5" s="1818" t="s">
        <v>1402</v>
      </c>
      <c r="L5" s="1289"/>
      <c r="M5" s="1290"/>
    </row>
    <row r="6" spans="1:37" ht="18" customHeight="1">
      <c r="A6" s="1287" t="s">
        <v>1035</v>
      </c>
      <c r="B6" s="3248" t="s">
        <v>1403</v>
      </c>
      <c r="C6" s="1292">
        <f ca="1">ROUND(F6*F8*F7*(1-F9)/10000,0)</f>
        <v>805</v>
      </c>
      <c r="D6" s="163" t="s">
        <v>3024</v>
      </c>
      <c r="E6" s="346" t="s">
        <v>1405</v>
      </c>
      <c r="F6" s="347">
        <f ca="1">INDIRECT("'数据-取费表'!u"&amp;$G$1)</f>
        <v>3</v>
      </c>
      <c r="G6" s="1847"/>
      <c r="H6" s="1287" t="s">
        <v>1035</v>
      </c>
      <c r="I6" s="3248" t="s">
        <v>1403</v>
      </c>
      <c r="J6" s="345">
        <f ca="1">ROUND(M6*M8*M7*(1-M9)/10000,0)</f>
        <v>0</v>
      </c>
      <c r="K6" s="163" t="s">
        <v>3023</v>
      </c>
      <c r="L6" s="346" t="s">
        <v>1405</v>
      </c>
      <c r="M6" s="347">
        <f ca="1">INDIRECT("'数据-取费表'!z"&amp;$G$1)</f>
        <v>0</v>
      </c>
    </row>
    <row r="7" spans="1:37" ht="18" customHeight="1">
      <c r="A7" s="1291"/>
      <c r="B7" s="3249"/>
      <c r="C7" s="1293"/>
      <c r="D7" s="351"/>
      <c r="E7" s="2951" t="s">
        <v>1406</v>
      </c>
      <c r="F7" s="347">
        <f ca="1">IF(INDIRECT("'数据-取费表'!ah"&amp;$G$1)="",INDIRECT("'数据-取费表'!k"&amp;$G$1),INDIRECT("'数据-取费表'!ah"&amp;$G$1))</f>
        <v>8168.1599999999971</v>
      </c>
      <c r="G7" s="1847"/>
      <c r="H7" s="348"/>
      <c r="I7" s="3249"/>
      <c r="J7" s="350"/>
      <c r="K7" s="351"/>
      <c r="L7" s="346" t="s">
        <v>1406</v>
      </c>
      <c r="M7" s="347">
        <f ca="1">F7</f>
        <v>8168.1599999999971</v>
      </c>
    </row>
    <row r="8" spans="1:37" ht="18" customHeight="1">
      <c r="A8" s="348"/>
      <c r="B8" s="3249"/>
      <c r="C8" s="350"/>
      <c r="D8" s="351"/>
      <c r="E8" s="346" t="s">
        <v>1407</v>
      </c>
      <c r="F8" s="347">
        <f ca="1">INDIRECT("'数据-取费表'!ai"&amp;$G$1)</f>
        <v>365</v>
      </c>
      <c r="G8" s="1847"/>
      <c r="H8" s="348"/>
      <c r="I8" s="3249"/>
      <c r="J8" s="350"/>
      <c r="K8" s="351"/>
      <c r="L8" s="346" t="s">
        <v>1407</v>
      </c>
      <c r="M8" s="347">
        <f ca="1">INDIRECT("'数据-取费表'!ai"&amp;$G$1)</f>
        <v>365</v>
      </c>
    </row>
    <row r="9" spans="1:37" ht="18" customHeight="1">
      <c r="A9" s="348"/>
      <c r="B9" s="3250"/>
      <c r="C9" s="350"/>
      <c r="D9" s="351"/>
      <c r="E9" s="346" t="s">
        <v>1408</v>
      </c>
      <c r="F9" s="356">
        <f ca="1">INDIRECT("'数据-取费表'!w"&amp;$G$1)</f>
        <v>0.1</v>
      </c>
      <c r="G9" s="1847"/>
      <c r="H9" s="348"/>
      <c r="I9" s="3250"/>
      <c r="J9" s="350"/>
      <c r="K9" s="351"/>
      <c r="L9" s="357" t="s">
        <v>1408</v>
      </c>
      <c r="M9" s="358">
        <f ca="1">INDIRECT("'数据-取费表'!ab"&amp;$G$1)</f>
        <v>0</v>
      </c>
    </row>
    <row r="10" spans="1:37" ht="18" customHeight="1">
      <c r="A10" s="1287" t="s">
        <v>1039</v>
      </c>
      <c r="B10" s="1819" t="s">
        <v>1409</v>
      </c>
      <c r="C10" s="360">
        <f ca="1">ROUND(IF(F10="押一",C6/12*F11,IF(F10="押二",C6/12*2*F11,IF(F10="押三",C6/12*3*F11,C11*F11))),0)</f>
        <v>1</v>
      </c>
      <c r="D10" s="1820" t="s">
        <v>3033</v>
      </c>
      <c r="E10" s="357" t="s">
        <v>1410</v>
      </c>
      <c r="F10" s="1362" t="s">
        <v>3275</v>
      </c>
      <c r="G10" s="1847"/>
      <c r="H10" s="1287" t="s">
        <v>1039</v>
      </c>
      <c r="I10" s="1819" t="s">
        <v>1409</v>
      </c>
      <c r="J10" s="345">
        <f ca="1">ROUND(IF(M10="押一",J6/12*M11,IF(M10="押二",J6/12*2*M11,IF(M10="押三",J6/12*3*M11,J11*M11))),0)</f>
        <v>0</v>
      </c>
      <c r="K10" s="1820" t="s">
        <v>3032</v>
      </c>
      <c r="L10" s="357" t="s">
        <v>1410</v>
      </c>
      <c r="M10" s="1362" t="s">
        <v>1411</v>
      </c>
    </row>
    <row r="11" spans="1:37" ht="18" customHeight="1">
      <c r="A11" s="352"/>
      <c r="B11" s="1821" t="s">
        <v>1388</v>
      </c>
      <c r="C11" s="1174"/>
      <c r="D11" s="1822"/>
      <c r="E11" s="357" t="s">
        <v>1412</v>
      </c>
      <c r="F11" s="358">
        <f ca="1">'数据-取费表'!B39</f>
        <v>1.4999999999999999E-2</v>
      </c>
      <c r="G11" s="1847"/>
      <c r="H11" s="1295"/>
      <c r="I11" s="1821" t="s">
        <v>1388</v>
      </c>
      <c r="J11" s="1174"/>
      <c r="K11" s="747"/>
      <c r="L11" s="357"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4">
        <f ca="1">ROUND(C29*F13,0)</f>
        <v>4037</v>
      </c>
      <c r="D13" s="1327" t="s">
        <v>1415</v>
      </c>
      <c r="E13" s="1327" t="s">
        <v>1416</v>
      </c>
      <c r="F13" s="1328">
        <f ca="1">INDIRECT("'数据-取费表'!y"&amp;$G$1)</f>
        <v>1</v>
      </c>
      <c r="G13" s="1847"/>
      <c r="H13" s="1325">
        <v>2</v>
      </c>
      <c r="I13" s="1326" t="s">
        <v>1414</v>
      </c>
      <c r="J13" s="1286">
        <f ca="1">ROUND(J14*J15,0)</f>
        <v>0</v>
      </c>
      <c r="K13" s="1333" t="s">
        <v>1415</v>
      </c>
      <c r="L13" s="1848"/>
      <c r="M13" s="1849"/>
    </row>
    <row r="14" spans="1:37" ht="18" customHeight="1">
      <c r="A14" s="1197" t="s">
        <v>1034</v>
      </c>
      <c r="B14" s="346" t="s">
        <v>1417</v>
      </c>
      <c r="C14" s="362">
        <f ca="1">INDIRECT("'数据-取费表'!m"&amp;$G$1)+INDIRECT("'数据-取费表'!t"&amp;$G$1)</f>
        <v>2575</v>
      </c>
      <c r="D14" s="2945" t="s">
        <v>1418</v>
      </c>
      <c r="E14" s="2943"/>
      <c r="F14" s="363"/>
      <c r="G14" s="1847"/>
      <c r="H14" s="1197" t="s">
        <v>1035</v>
      </c>
      <c r="I14" s="346" t="s">
        <v>1419</v>
      </c>
      <c r="J14" s="24">
        <f ca="1">C29</f>
        <v>4037</v>
      </c>
      <c r="K14" s="2950"/>
      <c r="L14" s="975"/>
      <c r="M14" s="976"/>
    </row>
    <row r="15" spans="1:37" s="1854" customFormat="1" ht="18" customHeight="1" thickBot="1">
      <c r="A15" s="1197" t="s">
        <v>1036</v>
      </c>
      <c r="B15" s="346" t="s">
        <v>1420</v>
      </c>
      <c r="C15" s="24">
        <f ca="1">ROUND(C14*F15,0)</f>
        <v>77</v>
      </c>
      <c r="D15" s="364" t="s">
        <v>1421</v>
      </c>
      <c r="E15" s="364" t="s">
        <v>1422</v>
      </c>
      <c r="F15" s="365">
        <f>'数据-取费表'!B33</f>
        <v>0.03</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1423</v>
      </c>
      <c r="C16" s="24">
        <f ca="1">ROUND(INDIRECT("'数据-取费表'!m"&amp;$G$1)*F16,0)</f>
        <v>0</v>
      </c>
      <c r="D16" s="346" t="s">
        <v>1421</v>
      </c>
      <c r="E16" s="346" t="s">
        <v>1422</v>
      </c>
      <c r="F16" s="366">
        <f ca="1">IF(INDIRECT("'数据-取费表'!c"&amp;$G$1)="住宅",'数据-取费表'!B34,0)</f>
        <v>0</v>
      </c>
      <c r="G16" s="1847"/>
      <c r="H16" s="1325" t="s">
        <v>1030</v>
      </c>
      <c r="I16" s="1326" t="s">
        <v>1424</v>
      </c>
      <c r="J16" s="354">
        <f ca="1">ROUND(J17+J22+J23+J24,0)</f>
        <v>118</v>
      </c>
      <c r="K16" s="1333" t="s">
        <v>1425</v>
      </c>
      <c r="L16" s="2946"/>
      <c r="M16" s="1290"/>
    </row>
    <row r="17" spans="1:37" s="1854" customFormat="1" ht="18" customHeight="1">
      <c r="A17" s="1197" t="s">
        <v>1390</v>
      </c>
      <c r="B17" s="346" t="s">
        <v>1426</v>
      </c>
      <c r="C17" s="24">
        <f ca="1">ROUND(F17*(F43+INDIRECT("'数据-取费表'!S"&amp;$G$1))/10000,0)</f>
        <v>175</v>
      </c>
      <c r="D17" s="346" t="s">
        <v>1427</v>
      </c>
      <c r="E17" s="346" t="s">
        <v>1428</v>
      </c>
      <c r="F17" s="26">
        <f>'数据-取费表'!B35</f>
        <v>200</v>
      </c>
      <c r="G17" s="1850"/>
      <c r="H17" s="1197" t="s">
        <v>1035</v>
      </c>
      <c r="I17" s="346" t="s">
        <v>1429</v>
      </c>
      <c r="J17" s="24">
        <f ca="1">ROUND(IF(项目基本情况!B11="自然人",J5*M17,J18+J19+J20),1)</f>
        <v>36.9</v>
      </c>
      <c r="K17" s="2945" t="s">
        <v>1430</v>
      </c>
      <c r="L17" s="294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1432</v>
      </c>
      <c r="C18" s="24">
        <f ca="1">ROUND(C14*F18,0)</f>
        <v>39</v>
      </c>
      <c r="D18" s="346" t="s">
        <v>1421</v>
      </c>
      <c r="E18" s="346" t="s">
        <v>1422</v>
      </c>
      <c r="F18" s="366">
        <f>'数据-取费表'!B36</f>
        <v>1.4999999999999999E-2</v>
      </c>
      <c r="G18" s="1850"/>
      <c r="H18" s="1197" t="s">
        <v>1034</v>
      </c>
      <c r="I18" s="346" t="s">
        <v>1433</v>
      </c>
      <c r="J18" s="24">
        <f ca="1">ROUND(J5*M18/(1+'数据-取费表'!C42),2)</f>
        <v>0</v>
      </c>
      <c r="K18" s="294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1435</v>
      </c>
      <c r="C19" s="24">
        <f ca="1">SUM(C14:C18)</f>
        <v>2866</v>
      </c>
      <c r="D19" s="139" t="s">
        <v>1436</v>
      </c>
      <c r="E19" s="2949"/>
      <c r="F19" s="26"/>
      <c r="G19" s="1847"/>
      <c r="H19" s="1197" t="s">
        <v>1036</v>
      </c>
      <c r="I19" s="346" t="s">
        <v>1437</v>
      </c>
      <c r="J19" s="24">
        <f ca="1">IF(K19="按租金收入计税",ROUND(J5*M19,2),ROUND(C29*M19*0.7,2))</f>
        <v>33.909999999999997</v>
      </c>
      <c r="K19" s="1824" t="s">
        <v>1438</v>
      </c>
      <c r="L19" s="346" t="s">
        <v>1422</v>
      </c>
      <c r="M19" s="366">
        <f>IF(K19="按租金收入计税",'数据-取费表'!B51,'数据-取费表'!B50)</f>
        <v>1.2E-2</v>
      </c>
    </row>
    <row r="20" spans="1:37" s="1854" customFormat="1" ht="18" customHeight="1">
      <c r="A20" s="1197" t="s">
        <v>1039</v>
      </c>
      <c r="B20" s="346" t="s">
        <v>1439</v>
      </c>
      <c r="C20" s="24">
        <f ca="1">ROUND(C19*F20,0)</f>
        <v>57</v>
      </c>
      <c r="D20" s="368" t="s">
        <v>1440</v>
      </c>
      <c r="E20" s="346" t="s">
        <v>1422</v>
      </c>
      <c r="F20" s="366">
        <f>'数据-取费表'!B37</f>
        <v>0.02</v>
      </c>
      <c r="G20" s="1850"/>
      <c r="H20" s="1197" t="s">
        <v>1389</v>
      </c>
      <c r="I20" s="163" t="s">
        <v>1441</v>
      </c>
      <c r="J20" s="25">
        <f ca="1">ROUND(M20*M21/10000,2)</f>
        <v>3.02</v>
      </c>
      <c r="K20" s="369" t="s">
        <v>1442</v>
      </c>
      <c r="L20" s="346" t="s">
        <v>1443</v>
      </c>
      <c r="M20" s="370">
        <f>'数据-取费表'!B52</f>
        <v>14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1444</v>
      </c>
      <c r="C21" s="24" t="s">
        <v>18</v>
      </c>
      <c r="D21" s="368" t="s">
        <v>1445</v>
      </c>
      <c r="E21" s="346" t="s">
        <v>1446</v>
      </c>
      <c r="F21" s="366">
        <f>'数据-取费表'!B38</f>
        <v>0.02</v>
      </c>
      <c r="G21" s="1850"/>
      <c r="H21" s="371"/>
      <c r="I21" s="355"/>
      <c r="J21" s="29"/>
      <c r="K21" s="372"/>
      <c r="L21" s="346" t="s">
        <v>1447</v>
      </c>
      <c r="M21" s="347">
        <f ca="1">INDIRECT("'数据-取费表'!r"&amp;$G$1)</f>
        <v>2159.0699999999997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1448</v>
      </c>
      <c r="C22" s="24"/>
      <c r="D22" s="139" t="str">
        <f>IF(F23&lt;=1,"单利计息。","复利计息。")&amp;"建造成本、管理费用、销售费用产生的利息。"</f>
        <v>复利计息。建造成本、管理费用、销售费用产生的利息。</v>
      </c>
      <c r="E22" s="2949"/>
      <c r="F22" s="26"/>
      <c r="G22" s="1847"/>
      <c r="H22" s="1197" t="s">
        <v>1039</v>
      </c>
      <c r="I22" s="346" t="s">
        <v>1449</v>
      </c>
      <c r="J22" s="24">
        <f ca="1">ROUND(J14*M22,1)</f>
        <v>80.7</v>
      </c>
      <c r="K22" s="2944" t="s">
        <v>1450</v>
      </c>
      <c r="L22" s="346" t="s">
        <v>1422</v>
      </c>
      <c r="M22" s="373">
        <f ca="1">INDIRECT("'数据-取费表'!Ak"&amp;$G$1)</f>
        <v>0.02</v>
      </c>
    </row>
    <row r="23" spans="1:37" s="1854" customFormat="1" ht="18" customHeight="1">
      <c r="A23" s="1197" t="s">
        <v>1034</v>
      </c>
      <c r="B23" s="346" t="s">
        <v>1451</v>
      </c>
      <c r="C23" s="24">
        <f ca="1">IF('数据-取费表'!B22&lt;=1,ROUND(C19*F24*F23/2,0)+ROUND(C20*F24*F23/2,0),ROUND(C19*(POWER((1+F24),F23/2)-1),0)+ROUND(C20*(POWER((1+F24),F23/2)-1),0))</f>
        <v>211</v>
      </c>
      <c r="D23" s="374" t="str">
        <f>IF(F23&lt;=1,"(建造成本+管理费用)×利率×(建设周期÷2)","(建造成本+管理费用)×((1+利率)^(建设周期÷2)-1)")</f>
        <v>(建造成本+管理费用)×((1+利率)^(建设周期÷2)-1)</v>
      </c>
      <c r="E23" s="346" t="s">
        <v>1452</v>
      </c>
      <c r="F23" s="370">
        <f>'数据-取费表'!B20</f>
        <v>3</v>
      </c>
      <c r="G23" s="1850"/>
      <c r="H23" s="1197" t="s">
        <v>1075</v>
      </c>
      <c r="I23" s="346" t="s">
        <v>1453</v>
      </c>
      <c r="J23" s="24">
        <f ca="1">ROUND(J13*M23,1)</f>
        <v>0</v>
      </c>
      <c r="K23" s="2944" t="s">
        <v>1454</v>
      </c>
      <c r="L23" s="346" t="s">
        <v>1422</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0"/>
      <c r="H24" s="1335" t="s">
        <v>1393</v>
      </c>
      <c r="I24" s="1336" t="s">
        <v>1439</v>
      </c>
      <c r="J24" s="1337">
        <f ca="1">ROUND(J5*M24,1)</f>
        <v>0</v>
      </c>
      <c r="K24" s="1338" t="s">
        <v>1459</v>
      </c>
      <c r="L24" s="1336" t="s">
        <v>1422</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6" t="s">
        <v>1461</v>
      </c>
      <c r="C25" s="24"/>
      <c r="D25" s="139" t="s">
        <v>1462</v>
      </c>
      <c r="E25" s="2949"/>
      <c r="F25" s="26"/>
      <c r="G25" s="1847"/>
      <c r="H25" s="1325" t="s">
        <v>1031</v>
      </c>
      <c r="I25" s="1340" t="s">
        <v>1463</v>
      </c>
      <c r="J25" s="354">
        <f ca="1">J5-J16</f>
        <v>-118</v>
      </c>
      <c r="K25" s="1341" t="s">
        <v>1464</v>
      </c>
      <c r="L25" s="1342"/>
      <c r="M25" s="1343"/>
    </row>
    <row r="26" spans="1:37">
      <c r="A26" s="1197" t="s">
        <v>1034</v>
      </c>
      <c r="B26" s="346" t="s">
        <v>1465</v>
      </c>
      <c r="C26" s="24">
        <f ca="1">ROUND((C19+C20)*F26,0)</f>
        <v>585</v>
      </c>
      <c r="D26" s="368" t="s">
        <v>1466</v>
      </c>
      <c r="E26" s="357" t="s">
        <v>1467</v>
      </c>
      <c r="F26" s="356">
        <f ca="1">INDIRECT("'数据-取费表'!q"&amp;$G$1)</f>
        <v>0.2</v>
      </c>
      <c r="G26" s="1847"/>
      <c r="H26" s="343" t="s">
        <v>1032</v>
      </c>
      <c r="I26" s="344" t="s">
        <v>1468</v>
      </c>
      <c r="J26" s="345">
        <f ca="1">IF(J5&lt;&gt;0,ROUND(J25*(1-((1+M28)/(1+M26))^M27)/(M26-M28),0),0)</f>
        <v>0</v>
      </c>
      <c r="K26" s="369" t="s">
        <v>1469</v>
      </c>
      <c r="L26" s="346" t="s">
        <v>1470</v>
      </c>
      <c r="M26" s="356">
        <f ca="1">INDIRECT("'数据-取费表'!I"&amp;$G$1)</f>
        <v>5.5E-2</v>
      </c>
    </row>
    <row r="27" spans="1:37" ht="18" customHeight="1">
      <c r="A27" s="1197" t="s">
        <v>1036</v>
      </c>
      <c r="B27" s="346" t="s">
        <v>1471</v>
      </c>
      <c r="C27" s="24">
        <f ca="1">ROUND(F21*F26,4)</f>
        <v>4.0000000000000001E-3</v>
      </c>
      <c r="D27" s="368" t="s">
        <v>1472</v>
      </c>
      <c r="E27" s="364"/>
      <c r="F27" s="365"/>
      <c r="G27" s="1847"/>
      <c r="H27" s="348"/>
      <c r="I27" s="349"/>
      <c r="J27" s="350"/>
      <c r="K27" s="377" t="s">
        <v>1473</v>
      </c>
      <c r="L27" s="346" t="s">
        <v>1474</v>
      </c>
      <c r="M27" s="378">
        <f ca="1">INDIRECT("'数据-取费表'!ag"&amp;$G$1)</f>
        <v>0</v>
      </c>
    </row>
    <row r="28" spans="1:37" s="1854" customFormat="1" ht="18" customHeight="1">
      <c r="A28" s="1197"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4037</v>
      </c>
      <c r="D29" s="1338"/>
      <c r="E29" s="1336"/>
      <c r="F29" s="1339"/>
      <c r="G29" s="1850"/>
      <c r="H29" s="379" t="s">
        <v>1033</v>
      </c>
      <c r="I29" s="380" t="s">
        <v>1479</v>
      </c>
      <c r="J29" s="381">
        <f ca="1">ROUND(J26/(1+F40)^F41,0)</f>
        <v>0</v>
      </c>
      <c r="K29" s="382" t="s">
        <v>1480</v>
      </c>
      <c r="L29" s="383"/>
      <c r="M29" s="384">
        <f ca="1">INDIRECT("'数据-取费表'!k"&amp;$G$1)</f>
        <v>8168.1599999999971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4">
        <f ca="1">ROUND(C31+C36+C37+C38,0)</f>
        <v>248</v>
      </c>
      <c r="D30" s="1333" t="s">
        <v>1425</v>
      </c>
      <c r="E30" s="2946"/>
      <c r="F30" s="1290"/>
      <c r="G30" s="1847"/>
      <c r="H30" s="744"/>
      <c r="I30" s="745"/>
      <c r="J30" s="746"/>
      <c r="K30" s="747"/>
      <c r="L30" s="748"/>
      <c r="M30" s="749"/>
    </row>
    <row r="31" spans="1:37" ht="18" customHeight="1">
      <c r="A31" s="1197" t="s">
        <v>1035</v>
      </c>
      <c r="B31" s="346" t="s">
        <v>1429</v>
      </c>
      <c r="C31" s="24">
        <f ca="1">ROUND(IF(项目基本情况!B11="自然人",C5*F31,C32+C33+C34),1)</f>
        <v>142.69999999999999</v>
      </c>
      <c r="D31" s="2945" t="s">
        <v>1430</v>
      </c>
      <c r="E31" s="294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1433</v>
      </c>
      <c r="C32" s="24">
        <f ca="1">IF(项目基本情况!B11="自然人","——",ROUND(C5*F32/(1+'数据-取费表'!C42),2))</f>
        <v>42.99</v>
      </c>
      <c r="D32" s="2944" t="s">
        <v>1434</v>
      </c>
      <c r="E32" s="346" t="s">
        <v>1422</v>
      </c>
      <c r="F32" s="376">
        <f>'数据-取费表'!B41</f>
        <v>5.6000000000000001E-2</v>
      </c>
      <c r="G32" s="1847"/>
      <c r="H32" s="744"/>
      <c r="I32" s="745"/>
      <c r="J32" s="746"/>
      <c r="K32" s="747"/>
      <c r="L32" s="748"/>
      <c r="M32" s="749"/>
    </row>
    <row r="33" spans="1:18" ht="18" customHeight="1">
      <c r="A33" s="1197" t="s">
        <v>1036</v>
      </c>
      <c r="B33" s="346" t="s">
        <v>1437</v>
      </c>
      <c r="C33" s="24">
        <f ca="1">IF(项目基本情况!B11="自然人","——",IF(D33="按租金收入计税",ROUND(C5*F33,2),IF(D33="按房产原值计税",ROUND(C29*F33*0.7,2),INDIRECT("'数据-取费表'!Aj"&amp;$G$1))))</f>
        <v>96.72</v>
      </c>
      <c r="D33" s="1824" t="s">
        <v>3274</v>
      </c>
      <c r="E33" s="346" t="s">
        <v>1422</v>
      </c>
      <c r="F33" s="366">
        <f>IF(D33="按票据","——",IF(D33="按租金收入计税",'数据-取费表'!B51,'数据-取费表'!B50))</f>
        <v>0.12</v>
      </c>
      <c r="G33" s="1847"/>
      <c r="H33" s="1855"/>
      <c r="I33" s="1856"/>
      <c r="J33" s="1857"/>
      <c r="K33" s="1858"/>
      <c r="L33" s="1855"/>
      <c r="M33" s="1855"/>
    </row>
    <row r="34" spans="1:18" ht="18" customHeight="1">
      <c r="A34" s="1287" t="s">
        <v>1389</v>
      </c>
      <c r="B34" s="163" t="s">
        <v>1441</v>
      </c>
      <c r="C34" s="25">
        <f ca="1">IF(项目基本情况!B11="自然人","——",ROUND(F34*F35/10000,2))</f>
        <v>3.02</v>
      </c>
      <c r="D34" s="369" t="s">
        <v>1442</v>
      </c>
      <c r="E34" s="346" t="s">
        <v>1443</v>
      </c>
      <c r="F34" s="370">
        <f>'数据-取费表'!B52</f>
        <v>14</v>
      </c>
      <c r="G34" s="1847"/>
      <c r="H34" s="744"/>
      <c r="I34" s="1856"/>
      <c r="J34" s="1857"/>
      <c r="K34" s="1859"/>
      <c r="L34" s="1860"/>
      <c r="M34" s="1860"/>
    </row>
    <row r="35" spans="1:18" ht="18" customHeight="1">
      <c r="A35" s="1349"/>
      <c r="B35" s="1347"/>
      <c r="C35" s="29"/>
      <c r="D35" s="372"/>
      <c r="E35" s="346" t="s">
        <v>1447</v>
      </c>
      <c r="F35" s="347">
        <f ca="1">INDIRECT("'数据-取费表'!r"&amp;$G$1)</f>
        <v>2159.0699999999997</v>
      </c>
      <c r="G35" s="1847"/>
      <c r="H35" s="744"/>
      <c r="I35" s="1856"/>
      <c r="J35" s="1857"/>
      <c r="K35" s="1858"/>
      <c r="L35" s="1855"/>
      <c r="M35" s="1855"/>
    </row>
    <row r="36" spans="1:18" ht="18" customHeight="1">
      <c r="A36" s="1348" t="s">
        <v>1039</v>
      </c>
      <c r="B36" s="346" t="s">
        <v>1449</v>
      </c>
      <c r="C36" s="24">
        <f ca="1">ROUND(C29*F36,1)</f>
        <v>80.7</v>
      </c>
      <c r="D36" s="2944" t="s">
        <v>1482</v>
      </c>
      <c r="E36" s="346" t="s">
        <v>1422</v>
      </c>
      <c r="F36" s="373">
        <f ca="1">INDIRECT("'数据-取费表'!Ak"&amp;$G$1)</f>
        <v>0.02</v>
      </c>
      <c r="G36" s="1847"/>
      <c r="H36" s="1855"/>
      <c r="I36" s="1856"/>
      <c r="J36" s="1857"/>
      <c r="K36" s="750"/>
      <c r="L36" s="1855"/>
      <c r="M36" s="1855"/>
    </row>
    <row r="37" spans="1:18" ht="18" customHeight="1">
      <c r="A37" s="1197" t="s">
        <v>1075</v>
      </c>
      <c r="B37" s="346" t="s">
        <v>1453</v>
      </c>
      <c r="C37" s="24">
        <f ca="1">ROUND(C13*F37,1)</f>
        <v>8.1</v>
      </c>
      <c r="D37" s="2944" t="s">
        <v>1454</v>
      </c>
      <c r="E37" s="346" t="s">
        <v>1422</v>
      </c>
      <c r="F37" s="375">
        <f ca="1">INDIRECT("'数据-取费表'!Al"&amp;$G$1)</f>
        <v>2E-3</v>
      </c>
      <c r="G37" s="1847"/>
      <c r="H37" s="1855"/>
      <c r="I37" s="1856"/>
      <c r="J37" s="1857"/>
      <c r="K37" s="750"/>
      <c r="L37" s="1855"/>
      <c r="M37" s="1855"/>
    </row>
    <row r="38" spans="1:18" ht="18" customHeight="1" thickBot="1">
      <c r="A38" s="1335" t="s">
        <v>1393</v>
      </c>
      <c r="B38" s="1336" t="s">
        <v>1439</v>
      </c>
      <c r="C38" s="1337">
        <f ca="1">ROUND(C5*F38,1)</f>
        <v>16.100000000000001</v>
      </c>
      <c r="D38" s="1338" t="s">
        <v>1459</v>
      </c>
      <c r="E38" s="1336" t="s">
        <v>1422</v>
      </c>
      <c r="F38" s="1332">
        <f ca="1">INDIRECT("'数据-取费表'!Am"&amp;$G$1)</f>
        <v>0.02</v>
      </c>
      <c r="G38" s="1847"/>
      <c r="H38" s="1855"/>
      <c r="I38" s="1856"/>
      <c r="J38" s="1857"/>
      <c r="K38" s="1861"/>
      <c r="L38" s="1855"/>
      <c r="M38" s="1855"/>
    </row>
    <row r="39" spans="1:18" ht="24.6" customHeight="1" thickTop="1">
      <c r="A39" s="1325" t="s">
        <v>1031</v>
      </c>
      <c r="B39" s="1340" t="s">
        <v>1463</v>
      </c>
      <c r="C39" s="354">
        <f ca="1">C5-C30</f>
        <v>558</v>
      </c>
      <c r="D39" s="1341" t="s">
        <v>1464</v>
      </c>
      <c r="E39" s="1342"/>
      <c r="F39" s="1343"/>
      <c r="G39" s="1847"/>
      <c r="H39" s="1855"/>
      <c r="I39" s="1856"/>
      <c r="J39" s="1857"/>
      <c r="K39" s="1861"/>
      <c r="L39" s="1855"/>
      <c r="M39" s="1855"/>
    </row>
    <row r="40" spans="1:18" ht="18" customHeight="1">
      <c r="A40" s="343" t="s">
        <v>1032</v>
      </c>
      <c r="B40" s="344" t="s">
        <v>1485</v>
      </c>
      <c r="C40" s="345">
        <f ca="1">ROUND(C39*(1-((1+F42)/(1+F40))^F41)/(F40-F42),0)</f>
        <v>13820</v>
      </c>
      <c r="D40" s="369" t="s">
        <v>1469</v>
      </c>
      <c r="E40" s="346" t="s">
        <v>1470</v>
      </c>
      <c r="F40" s="356">
        <f ca="1">INDIRECT("'数据-取费表'!I"&amp;$G$1)</f>
        <v>5.5E-2</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35.729999999999997</v>
      </c>
      <c r="G41" s="1847"/>
      <c r="H41" s="731"/>
      <c r="I41" s="1856"/>
      <c r="J41" s="1857"/>
      <c r="K41" s="750"/>
      <c r="L41" s="731"/>
      <c r="M41" s="731"/>
    </row>
    <row r="42" spans="1:18" ht="18" customHeight="1">
      <c r="A42" s="352"/>
      <c r="B42" s="353"/>
      <c r="C42" s="354"/>
      <c r="D42" s="372"/>
      <c r="E42" s="346" t="s">
        <v>1477</v>
      </c>
      <c r="F42" s="356">
        <f ca="1">INDIRECT("'数据-取费表'!v"&amp;$G$1)</f>
        <v>3.5000000000000003E-2</v>
      </c>
      <c r="G42" s="1847"/>
      <c r="H42" s="731"/>
      <c r="I42" s="1856"/>
      <c r="J42" s="1857"/>
      <c r="K42" s="750"/>
      <c r="L42" s="731"/>
      <c r="M42" s="731"/>
    </row>
    <row r="43" spans="1:18" ht="18" customHeight="1" thickBot="1">
      <c r="A43" s="379" t="s">
        <v>1033</v>
      </c>
      <c r="B43" s="380" t="s">
        <v>1487</v>
      </c>
      <c r="C43" s="381">
        <f ca="1">ROUND(C40*10000/F43,0)</f>
        <v>16919</v>
      </c>
      <c r="D43" s="382" t="s">
        <v>1488</v>
      </c>
      <c r="E43" s="383" t="s">
        <v>1489</v>
      </c>
      <c r="F43" s="384">
        <f ca="1">INDIRECT("'数据-取费表'!k"&amp;$G$1)</f>
        <v>8168.1599999999971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-20499</v>
      </c>
      <c r="D46" s="1868" t="str">
        <f>C2</f>
        <v>万元</v>
      </c>
      <c r="E46" s="1862"/>
      <c r="F46" s="1862"/>
      <c r="I46" s="1869" t="s">
        <v>1521</v>
      </c>
      <c r="J46" s="1870"/>
      <c r="K46" s="1871"/>
      <c r="L46" s="1872">
        <f ca="1">IF(M47="住宅",0,IF(L48&gt;J51,L60,J60))</f>
        <v>75</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91"/>
      <c r="I47" s="1876" t="s">
        <v>1526</v>
      </c>
      <c r="J47" s="1877" t="s">
        <v>3272</v>
      </c>
      <c r="K47" s="1878" t="s">
        <v>1527</v>
      </c>
      <c r="L47" s="1879">
        <f ca="1">INDIRECT("'数据-取费表'!d"&amp;$G$1)</f>
        <v>40</v>
      </c>
      <c r="M47" s="1834" t="str">
        <f>IF(ISNUMBER(FIND("住宅",C1)),"住宅","非住宅")</f>
        <v>非住宅</v>
      </c>
      <c r="O47" s="1880" t="s">
        <v>1040</v>
      </c>
      <c r="P47" s="1881" t="s">
        <v>1528</v>
      </c>
      <c r="Q47" s="1882">
        <f ca="1">C40+J29</f>
        <v>13820</v>
      </c>
      <c r="R47" s="1882" t="s">
        <v>1529</v>
      </c>
    </row>
    <row r="48" spans="1:18" s="1838" customFormat="1" ht="28.5" thickBot="1">
      <c r="A48" s="1356" t="s">
        <v>1135</v>
      </c>
      <c r="B48" s="344" t="s">
        <v>1401</v>
      </c>
      <c r="C48" s="2948">
        <f ca="1">C49+C53+C55</f>
        <v>0</v>
      </c>
      <c r="D48" s="1358"/>
      <c r="E48" s="1359"/>
      <c r="F48" s="1177"/>
      <c r="G48" s="791"/>
      <c r="H48" s="792"/>
      <c r="I48" s="1883" t="s">
        <v>1530</v>
      </c>
      <c r="J48" s="1884" t="s">
        <v>3273</v>
      </c>
      <c r="K48" s="1885" t="s">
        <v>1531</v>
      </c>
      <c r="L48" s="1886">
        <f ca="1">INDIRECT("'数据-取费表'!f"&amp;$G$1)</f>
        <v>35.729999999999997</v>
      </c>
      <c r="O48" s="1880" t="s">
        <v>1041</v>
      </c>
      <c r="P48" s="1881" t="s">
        <v>1532</v>
      </c>
      <c r="Q48" s="1882">
        <f ca="1">J60</f>
        <v>75</v>
      </c>
      <c r="R48" s="1882" t="s">
        <v>1533</v>
      </c>
    </row>
    <row r="49" spans="1:18" s="1838" customFormat="1" ht="13.5" thickBot="1">
      <c r="A49" s="1190" t="s">
        <v>1136</v>
      </c>
      <c r="B49" s="1825" t="s">
        <v>1490</v>
      </c>
      <c r="C49" s="1360">
        <f ca="1">ROUND(F49*F51*F50*(1-F52)/10000,0)</f>
        <v>0</v>
      </c>
      <c r="D49" s="1272" t="s">
        <v>3025</v>
      </c>
      <c r="E49" s="1826" t="s">
        <v>1491</v>
      </c>
      <c r="F49" s="1277"/>
      <c r="G49" s="1887"/>
      <c r="H49" s="792"/>
      <c r="I49" s="1883" t="s">
        <v>1534</v>
      </c>
      <c r="J49" s="1889">
        <v>2018</v>
      </c>
      <c r="K49" s="1885" t="s">
        <v>1535</v>
      </c>
      <c r="L49" s="1889"/>
      <c r="O49" s="1890" t="s">
        <v>1042</v>
      </c>
      <c r="P49" s="1881" t="s">
        <v>1536</v>
      </c>
      <c r="Q49" s="1882">
        <f ca="1">C29</f>
        <v>4037</v>
      </c>
      <c r="R49" s="1882" t="s">
        <v>1529</v>
      </c>
    </row>
    <row r="50" spans="1:18" s="1838" customFormat="1" ht="13.5" thickBot="1">
      <c r="A50" s="1191"/>
      <c r="B50" s="1194"/>
      <c r="C50" s="1364"/>
      <c r="D50" s="1168"/>
      <c r="E50" s="1273" t="s">
        <v>1406</v>
      </c>
      <c r="F50" s="1274">
        <f ca="1">F7</f>
        <v>8168.1599999999971</v>
      </c>
      <c r="H50" s="792"/>
      <c r="I50" s="1883" t="s">
        <v>1537</v>
      </c>
      <c r="J50" s="1891">
        <f>SUMPRODUCT((I63:I65=J47)*(J62:L62=J48)*(J63:L65))</f>
        <v>60</v>
      </c>
      <c r="K50" s="1885" t="s">
        <v>1538</v>
      </c>
      <c r="L50" s="1889"/>
      <c r="M50" s="1892"/>
      <c r="O50" s="1890" t="s">
        <v>1043</v>
      </c>
      <c r="P50" s="1881" t="s">
        <v>1539</v>
      </c>
      <c r="Q50" s="1893">
        <f ca="1">J58</f>
        <v>0.40500000000000003</v>
      </c>
      <c r="R50" s="1882"/>
    </row>
    <row r="51" spans="1:18" s="1838" customFormat="1" ht="13.5" thickBot="1">
      <c r="A51" s="1192"/>
      <c r="B51" s="1194"/>
      <c r="C51" s="1195"/>
      <c r="D51" s="1168"/>
      <c r="E51" s="1196" t="s">
        <v>1407</v>
      </c>
      <c r="F51" s="347">
        <f ca="1">F8</f>
        <v>365</v>
      </c>
      <c r="I51" s="1894" t="s">
        <v>1540</v>
      </c>
      <c r="J51" s="1895">
        <f>IF(J49="",J50,J49+J50-YEAR('数据-取费表'!B2))</f>
        <v>60</v>
      </c>
      <c r="K51" s="1896" t="s">
        <v>1541</v>
      </c>
      <c r="L51" s="1897">
        <f ca="1">ROUND(-PV(INDIRECT("'数据-取费表'!h"&amp;$G$1),L48,(C39-C13*C76),0),0)</f>
        <v>3784</v>
      </c>
      <c r="M51" s="1898"/>
      <c r="O51" s="1890" t="s">
        <v>1044</v>
      </c>
      <c r="P51" s="1881" t="s">
        <v>1542</v>
      </c>
      <c r="Q51" s="1893">
        <f>J52</f>
        <v>0.09</v>
      </c>
      <c r="R51" s="1882"/>
    </row>
    <row r="52" spans="1:18" s="1838" customFormat="1" ht="13.5" thickBot="1">
      <c r="A52" s="1192"/>
      <c r="B52" s="1194"/>
      <c r="C52" s="1195"/>
      <c r="D52" s="1168"/>
      <c r="E52" s="1196" t="s">
        <v>1408</v>
      </c>
      <c r="F52" s="1271"/>
      <c r="I52" s="1899" t="s">
        <v>1543</v>
      </c>
      <c r="J52" s="1900">
        <v>0.09</v>
      </c>
      <c r="K52" s="1899" t="s">
        <v>1544</v>
      </c>
      <c r="L52" s="1900"/>
      <c r="O52" s="1890" t="s">
        <v>1045</v>
      </c>
      <c r="P52" s="1881" t="s">
        <v>1545</v>
      </c>
      <c r="Q52" s="1882">
        <f ca="1">J53</f>
        <v>35.729999999999997</v>
      </c>
      <c r="R52" s="1882" t="s">
        <v>1546</v>
      </c>
    </row>
    <row r="53" spans="1:18" s="1838" customFormat="1" ht="24.75" thickBot="1">
      <c r="A53" s="1401" t="s">
        <v>1137</v>
      </c>
      <c r="B53" s="1827" t="s">
        <v>1409</v>
      </c>
      <c r="C53" s="360">
        <f ca="1">ROUND(IF(F53="押一",C49/12*F11,IF(F53="押二",C49/12*2*F11,IF(F53="押三",C49/12*3*F11,C54*F11))),0)</f>
        <v>0</v>
      </c>
      <c r="D53" s="1820" t="s">
        <v>3032</v>
      </c>
      <c r="E53" s="357" t="s">
        <v>1410</v>
      </c>
      <c r="F53" s="1362"/>
      <c r="I53" s="1901" t="s">
        <v>1547</v>
      </c>
      <c r="J53" s="1902">
        <f ca="1">IF(M47="住宅",IF(D1="——",MAX(J51,L48),IF(D1="在建（套用方法）",MAX(J51,L48-'数据-取费表'!B24),MAX(J51,L48-'数据-取费表'!B20))),IF(D1="——",MIN(J51,L48),IF(D1="在建（套用方法）",MIN(J51,L48-'数据-取费表'!B24),IF(D1="土地（套用方法）",MIN(J51,L48-'数据-取费表'!B20)))))</f>
        <v>35.729999999999997</v>
      </c>
      <c r="K53" s="3246" t="s">
        <v>1548</v>
      </c>
      <c r="L53" s="3247"/>
      <c r="O53" s="1880" t="s">
        <v>1046</v>
      </c>
      <c r="P53" s="1881" t="s">
        <v>1549</v>
      </c>
      <c r="Q53" s="1882">
        <f ca="1">Q47+Q48</f>
        <v>13895</v>
      </c>
      <c r="R53" s="1882" t="s">
        <v>1047</v>
      </c>
    </row>
    <row r="54" spans="1:18" s="1838" customFormat="1" ht="13.5" thickBot="1">
      <c r="A54" s="1402"/>
      <c r="B54" s="1821" t="s">
        <v>1388</v>
      </c>
      <c r="C54" s="1174"/>
      <c r="D54" s="1820"/>
      <c r="E54" s="294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2947"/>
      <c r="F55" s="1903"/>
      <c r="I55" s="1906" t="s">
        <v>1551</v>
      </c>
      <c r="J55" s="1907">
        <f ca="1">ROUND(IF(J47="钢混",J57/J50,1-(1-2%)*(J50-J57)/J50),3)</f>
        <v>0.40500000000000003</v>
      </c>
      <c r="K55" s="1908" t="s">
        <v>1552</v>
      </c>
      <c r="L55" s="1909" t="s">
        <v>1553</v>
      </c>
      <c r="O55" s="1873" t="s">
        <v>1522</v>
      </c>
      <c r="P55" s="1874" t="s">
        <v>1523</v>
      </c>
      <c r="Q55" s="1875" t="s">
        <v>1524</v>
      </c>
      <c r="R55" s="1875" t="s">
        <v>1525</v>
      </c>
    </row>
    <row r="56" spans="1:18" s="1838" customFormat="1" ht="25.5" thickTop="1" thickBot="1">
      <c r="A56" s="1172">
        <v>2</v>
      </c>
      <c r="B56" s="1173" t="s">
        <v>1414</v>
      </c>
      <c r="C56" s="275">
        <f ca="1">C13</f>
        <v>4037</v>
      </c>
      <c r="D56" s="1910"/>
      <c r="E56" s="1911"/>
      <c r="F56" s="1903"/>
      <c r="I56" s="1912" t="s">
        <v>1554</v>
      </c>
      <c r="J56" s="1913" t="s">
        <v>3198</v>
      </c>
      <c r="K56" s="1883" t="s">
        <v>1555</v>
      </c>
      <c r="L56" s="1886" t="str">
        <f ca="1">IF(L48&lt;J51,"——",L48-J53)</f>
        <v>——</v>
      </c>
      <c r="O56" s="1880" t="s">
        <v>1040</v>
      </c>
      <c r="P56" s="1881" t="s">
        <v>1528</v>
      </c>
      <c r="Q56" s="1882">
        <f ca="1">C40+J29</f>
        <v>13820</v>
      </c>
      <c r="R56" s="1882" t="s">
        <v>1529</v>
      </c>
    </row>
    <row r="57" spans="1:18" s="1838" customFormat="1" ht="24.75" thickBot="1">
      <c r="A57" s="1914"/>
      <c r="B57" s="1165" t="s">
        <v>1478</v>
      </c>
      <c r="C57" s="281">
        <f ca="1">C29</f>
        <v>4037</v>
      </c>
      <c r="D57" s="1915"/>
      <c r="E57" s="1916"/>
      <c r="F57" s="1917"/>
      <c r="I57" s="1918" t="s">
        <v>1556</v>
      </c>
      <c r="J57" s="1919">
        <f ca="1">IF(OR(M47="住宅",J51&lt;L48,J56="是"),"——",J51-L48)</f>
        <v>24.270000000000003</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1424</v>
      </c>
      <c r="C58" s="360">
        <f ca="1">ROUND(C59+C64+C65+C66,0)</f>
        <v>431</v>
      </c>
      <c r="D58" s="1175" t="s">
        <v>1425</v>
      </c>
      <c r="E58" s="1176"/>
      <c r="F58" s="1177"/>
      <c r="I58" s="1918" t="s">
        <v>1560</v>
      </c>
      <c r="J58" s="1920">
        <f ca="1">IF(J55&lt;0.4,0.4,J55)</f>
        <v>0.40500000000000003</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342.1</v>
      </c>
      <c r="D59" s="1178" t="s">
        <v>1430</v>
      </c>
      <c r="E59" s="1179" t="s">
        <v>1431</v>
      </c>
      <c r="F59" s="367" t="str">
        <f ca="1">IF(项目基本情况!B11="企业","",IF(INDIRECT("'数据-取费表'!c"&amp;$G$1)="住宅",5%,IF(F49*F50*F51/12/(1+'数据-取费表'!C42)&gt;20000,12%,7%)))</f>
        <v/>
      </c>
      <c r="I59" s="1918" t="s">
        <v>1563</v>
      </c>
      <c r="J59" s="1919">
        <f ca="1">IF(OR(M47="住宅",J51&lt;L48,J56="是"),"——",ROUND(C29*J58,0))</f>
        <v>1635</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6">
        <f t="shared" ref="F60:F66" si="0">F32</f>
        <v>5.6000000000000001E-2</v>
      </c>
      <c r="I60" s="1921" t="s">
        <v>1565</v>
      </c>
      <c r="J60" s="1922">
        <f ca="1">IF(OR(M47="住宅",J51&lt;L48,J56="是"),"0",ROUND(J59/(1+J52)^J53,0))</f>
        <v>75</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1492</v>
      </c>
      <c r="B61" s="1165" t="s">
        <v>1437</v>
      </c>
      <c r="C61" s="24">
        <f ca="1">IF(项目基本情况!B11="自然人","——",IF(D61="按租金收入计税",ROUND(C48*F61,2),IF(D61="按房产原值计税",ROUND(C57*F61*0.7,2),INDIRECT("'数据-取费表'!Aj"&amp;$G$1))))</f>
        <v>339.11</v>
      </c>
      <c r="D61" s="1824" t="s">
        <v>1438</v>
      </c>
      <c r="E61" s="1165" t="s">
        <v>1422</v>
      </c>
      <c r="F61" s="366">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1495</v>
      </c>
      <c r="B62" s="1164" t="s">
        <v>1441</v>
      </c>
      <c r="C62" s="25">
        <f ca="1">IF(项目基本情况!B11="自然人","——",ROUND(F62*F63/10000,2))</f>
        <v>3.02</v>
      </c>
      <c r="D62" s="1180" t="s">
        <v>1442</v>
      </c>
      <c r="E62" s="1165" t="s">
        <v>1443</v>
      </c>
      <c r="F62" s="370">
        <f t="shared" si="0"/>
        <v>14</v>
      </c>
      <c r="I62" s="1925" t="s">
        <v>1570</v>
      </c>
      <c r="J62" s="1926" t="s">
        <v>1571</v>
      </c>
      <c r="K62" s="1926" t="s">
        <v>1572</v>
      </c>
      <c r="L62" s="1926" t="s">
        <v>1573</v>
      </c>
      <c r="M62" s="1927" t="s">
        <v>1574</v>
      </c>
      <c r="O62" s="1880" t="s">
        <v>1046</v>
      </c>
      <c r="P62" s="1881" t="s">
        <v>1575</v>
      </c>
      <c r="Q62" s="1882">
        <f ca="1">Q56+Q57</f>
        <v>13820</v>
      </c>
      <c r="R62" s="1882" t="s">
        <v>1047</v>
      </c>
    </row>
    <row r="63" spans="1:18" s="1838" customFormat="1" ht="13.5" thickBot="1">
      <c r="A63" s="371"/>
      <c r="B63" s="1171"/>
      <c r="C63" s="29"/>
      <c r="D63" s="1181"/>
      <c r="E63" s="1165" t="s">
        <v>1447</v>
      </c>
      <c r="F63" s="347">
        <f t="shared" ca="1" si="0"/>
        <v>2159.0699999999997</v>
      </c>
      <c r="I63" s="1925" t="s">
        <v>1576</v>
      </c>
      <c r="J63" s="1926">
        <v>70</v>
      </c>
      <c r="K63" s="1926">
        <v>50</v>
      </c>
      <c r="L63" s="1926">
        <v>80</v>
      </c>
      <c r="M63" s="1928">
        <v>0.02</v>
      </c>
      <c r="O63" s="1865" t="s">
        <v>1577</v>
      </c>
      <c r="P63" s="1835"/>
      <c r="Q63" s="1835"/>
      <c r="R63" s="1835"/>
    </row>
    <row r="64" spans="1:18" s="1838" customFormat="1" ht="13.5" thickBot="1">
      <c r="A64" s="1197" t="s">
        <v>1039</v>
      </c>
      <c r="B64" s="1165" t="s">
        <v>1449</v>
      </c>
      <c r="C64" s="24">
        <f ca="1">ROUND(C57*F64,1)</f>
        <v>80.7</v>
      </c>
      <c r="D64" s="1179" t="s">
        <v>1482</v>
      </c>
      <c r="E64" s="1165" t="s">
        <v>1422</v>
      </c>
      <c r="F64" s="373">
        <f t="shared" ca="1" si="0"/>
        <v>0.02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8.1</v>
      </c>
      <c r="D65" s="1179" t="s">
        <v>1454</v>
      </c>
      <c r="E65" s="1165" t="s">
        <v>1422</v>
      </c>
      <c r="F65" s="375">
        <f t="shared" ca="1" si="0"/>
        <v>2E-3</v>
      </c>
      <c r="I65" s="1925" t="s">
        <v>1579</v>
      </c>
      <c r="J65" s="1926">
        <v>40</v>
      </c>
      <c r="K65" s="1926">
        <v>30</v>
      </c>
      <c r="L65" s="1926">
        <v>50</v>
      </c>
      <c r="M65" s="1928">
        <v>0.02</v>
      </c>
      <c r="O65" s="1880" t="s">
        <v>1040</v>
      </c>
      <c r="P65" s="1881" t="s">
        <v>1528</v>
      </c>
      <c r="Q65" s="1882">
        <f ca="1">C40+J29</f>
        <v>13820</v>
      </c>
      <c r="R65" s="1882" t="s">
        <v>1529</v>
      </c>
    </row>
    <row r="66" spans="1:18" s="1838" customFormat="1" ht="16.5" thickBot="1">
      <c r="A66" s="1197" t="s">
        <v>1504</v>
      </c>
      <c r="B66" s="1165" t="s">
        <v>1439</v>
      </c>
      <c r="C66" s="24">
        <f ca="1">ROUND(C48*F66,1)</f>
        <v>0</v>
      </c>
      <c r="D66" s="1179" t="s">
        <v>1459</v>
      </c>
      <c r="E66" s="1165" t="s">
        <v>1422</v>
      </c>
      <c r="F66" s="356">
        <f t="shared" ca="1" si="0"/>
        <v>0.02</v>
      </c>
      <c r="O66" s="1880" t="s">
        <v>1041</v>
      </c>
      <c r="P66" s="1881" t="s">
        <v>1558</v>
      </c>
      <c r="Q66" s="1882">
        <f ca="1">L60</f>
        <v>0</v>
      </c>
      <c r="R66" s="1882" t="s">
        <v>1581</v>
      </c>
    </row>
    <row r="67" spans="1:18" s="1838" customFormat="1" ht="16.5" thickBot="1">
      <c r="A67" s="1172" t="s">
        <v>1031</v>
      </c>
      <c r="B67" s="1182" t="s">
        <v>1463</v>
      </c>
      <c r="C67" s="360">
        <f ca="1">C48-C58</f>
        <v>-431</v>
      </c>
      <c r="D67" s="1178" t="s">
        <v>1464</v>
      </c>
      <c r="E67" s="1183"/>
      <c r="F67" s="1184"/>
      <c r="O67" s="1890" t="s">
        <v>1042</v>
      </c>
      <c r="P67" s="1881" t="s">
        <v>1562</v>
      </c>
      <c r="Q67" s="1929">
        <f ca="1">L51</f>
        <v>3784</v>
      </c>
      <c r="R67" s="1882" t="s">
        <v>1582</v>
      </c>
    </row>
    <row r="68" spans="1:18" s="1838" customFormat="1" ht="16.5" thickBot="1">
      <c r="A68" s="1162" t="s">
        <v>1032</v>
      </c>
      <c r="B68" s="1163" t="s">
        <v>1485</v>
      </c>
      <c r="C68" s="345">
        <f ca="1">ROUND(C67*(1-((1+F70)/(1+F68))^F69)/(F68-F70),0)</f>
        <v>-6679</v>
      </c>
      <c r="D68" s="1180" t="s">
        <v>1469</v>
      </c>
      <c r="E68" s="1165" t="s">
        <v>1470</v>
      </c>
      <c r="F68" s="356">
        <f ca="1">F40</f>
        <v>5.5E-2</v>
      </c>
      <c r="O68" s="1890" t="s">
        <v>1043</v>
      </c>
      <c r="P68" s="1930" t="s">
        <v>1583</v>
      </c>
      <c r="Q68" s="1882">
        <f ca="1">ROUND(Q69-Q70*Q71,0)</f>
        <v>215</v>
      </c>
      <c r="R68" s="1882" t="s">
        <v>1051</v>
      </c>
    </row>
    <row r="69" spans="1:18" s="1838" customFormat="1" ht="13.5" thickBot="1">
      <c r="A69" s="1166"/>
      <c r="B69" s="1167"/>
      <c r="C69" s="350"/>
      <c r="D69" s="1185" t="s">
        <v>1473</v>
      </c>
      <c r="E69" s="1165" t="s">
        <v>1474</v>
      </c>
      <c r="F69" s="378">
        <f ca="1">F41</f>
        <v>35.729999999999997</v>
      </c>
      <c r="O69" s="1890" t="s">
        <v>1048</v>
      </c>
      <c r="P69" s="1930" t="s">
        <v>1584</v>
      </c>
      <c r="Q69" s="1882">
        <f ca="1">C39</f>
        <v>558</v>
      </c>
      <c r="R69" s="1882" t="s">
        <v>1529</v>
      </c>
    </row>
    <row r="70" spans="1:18" s="1838" customFormat="1" ht="13.5" thickBot="1">
      <c r="A70" s="1169"/>
      <c r="B70" s="1170"/>
      <c r="C70" s="354"/>
      <c r="D70" s="1181"/>
      <c r="E70" s="1165" t="s">
        <v>1477</v>
      </c>
      <c r="F70" s="1271"/>
      <c r="O70" s="1890" t="s">
        <v>1049</v>
      </c>
      <c r="P70" s="1930" t="s">
        <v>1585</v>
      </c>
      <c r="Q70" s="1882">
        <f ca="1">C13</f>
        <v>4037</v>
      </c>
      <c r="R70" s="1882" t="s">
        <v>1529</v>
      </c>
    </row>
    <row r="71" spans="1:18" s="1838" customFormat="1" ht="13.5" thickBot="1">
      <c r="A71" s="1186" t="s">
        <v>1033</v>
      </c>
      <c r="B71" s="1187" t="s">
        <v>1487</v>
      </c>
      <c r="C71" s="381">
        <f ca="1">ROUND(C68*10000/F71,0)</f>
        <v>-8177</v>
      </c>
      <c r="D71" s="1188" t="s">
        <v>1488</v>
      </c>
      <c r="E71" s="1189" t="s">
        <v>1489</v>
      </c>
      <c r="F71" s="384">
        <f ca="1">F43</f>
        <v>8168.1599999999971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1506</v>
      </c>
      <c r="C75" s="386">
        <f ca="1">ROUND(C13*C76,0)</f>
        <v>343</v>
      </c>
      <c r="D75" s="1838"/>
      <c r="E75" s="1838"/>
      <c r="F75" s="1838"/>
      <c r="K75" s="1864"/>
      <c r="L75" s="1838"/>
      <c r="O75" s="1880" t="s">
        <v>1046</v>
      </c>
      <c r="P75" s="1881" t="s">
        <v>1549</v>
      </c>
      <c r="Q75" s="1882">
        <f ca="1">Q65+Q66</f>
        <v>13820</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0.38500000000000001</v>
      </c>
    </row>
    <row r="80" spans="1:18">
      <c r="B80" s="385" t="s">
        <v>1511</v>
      </c>
      <c r="C80" s="317">
        <f ca="1">ROUND(C75/C39,3)</f>
        <v>0.61499999999999999</v>
      </c>
    </row>
    <row r="81" spans="2:3">
      <c r="B81" s="313" t="s">
        <v>1512</v>
      </c>
      <c r="C81" s="281"/>
    </row>
    <row r="82" spans="2:3">
      <c r="B82" s="316" t="s">
        <v>1513</v>
      </c>
      <c r="C82" s="318">
        <f ca="1">1-C83</f>
        <v>0.70799999999999996</v>
      </c>
    </row>
    <row r="83" spans="2:3">
      <c r="B83" s="316" t="s">
        <v>1514</v>
      </c>
      <c r="C83" s="317">
        <f ca="1">ROUND(C13/C40,3)</f>
        <v>0.29199999999999998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西安景恒房地产开发有限公司：</v>
      </c>
    </row>
    <row r="4" spans="1:1" ht="36">
      <c r="A4" s="1944" t="str">
        <f>"受贵公司委托，我公司对"&amp;项目基本情况!S1&amp;"进行了预评估。"</f>
        <v>受贵公司委托，我公司对陕西省西安市曲江新区雁翔路以西，春林路以南“景恒彩虹谷”项目房地产抵押价值进行了预评估。</v>
      </c>
    </row>
    <row r="5" spans="1:1" ht="18.75">
      <c r="A5" s="1945" t="s">
        <v>1612</v>
      </c>
    </row>
    <row r="6" spans="1:1" ht="18.75">
      <c r="A6" s="1946" t="s">
        <v>1613</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曲江新区雁翔路以西，春林路以南“景恒彩虹谷”项目房地产，为西安景恒房地产开发有限公司所有。根据《国有土地使用证》[市曲江国用）（2014出）第022号]，估价对象（分摊）出让国有建设用地使用权面积为27591.5平方米，建筑面积为111646.95平方米。</v>
      </c>
    </row>
    <row r="8" spans="1:1" ht="57.75">
      <c r="A8" s="1947" t="s">
        <v>1614</v>
      </c>
    </row>
    <row r="9" spans="1:1" ht="18.75">
      <c r="A9" s="1946" t="s">
        <v>1615</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曲江新区雁翔路以西，春林路以南“景恒彩虹谷”项目房地产,属西安景恒房地产开发有限公司开发建设的商业项目，该项目尚在开发建设中。根据《国有土地使用证》[市曲江国用）（2014出）第022号]，估价对象（分摊）出让国有建设用地使用权面积为27591.5平方米，规划建筑面积为111646.95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2018年6月14日（评估专业人员实地查勘之日）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14日，估价对象规划用途为商业、办公、公寓、地下车库，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公寓、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1609</v>
      </c>
    </row>
    <row r="24" spans="1:1" ht="18">
      <c r="A24" s="1951" t="str">
        <f>"本次评估采用的主估价方法为"&amp;结果表!K4&amp;"和"&amp;结果表!L4&amp;"。"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3" sqref="B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3355</v>
      </c>
      <c r="D1" s="1816" t="s">
        <v>70</v>
      </c>
      <c r="E1" s="1817" t="s">
        <v>1387</v>
      </c>
      <c r="F1" s="1279">
        <f ca="1">J53</f>
        <v>35.729999999999997</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22096</v>
      </c>
      <c r="C2" s="1841" t="s">
        <v>1516</v>
      </c>
      <c r="D2" s="1841"/>
      <c r="E2" s="1842"/>
      <c r="F2" s="1843"/>
      <c r="G2" s="1844"/>
      <c r="H2" s="1836"/>
      <c r="I2" s="1836"/>
      <c r="J2" s="1836"/>
      <c r="K2" s="1837"/>
      <c r="L2" s="1836"/>
      <c r="M2" s="1836"/>
    </row>
    <row r="3" spans="1:37" ht="18" customHeight="1" thickBot="1">
      <c r="A3" s="1845" t="s">
        <v>1517</v>
      </c>
      <c r="B3" s="1846">
        <f ca="1">IF(ISERROR(B2*10000/F43),0,ROUND(B2*10000/F43,0))</f>
        <v>14040</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1294</v>
      </c>
      <c r="D5" s="1818" t="s">
        <v>1402</v>
      </c>
      <c r="E5" s="1289"/>
      <c r="F5" s="1290"/>
      <c r="G5" s="1847"/>
      <c r="H5" s="343">
        <v>1</v>
      </c>
      <c r="I5" s="344" t="s">
        <v>1401</v>
      </c>
      <c r="J5" s="1288">
        <f ca="1">J6+J10+J12</f>
        <v>0</v>
      </c>
      <c r="K5" s="1818" t="s">
        <v>1402</v>
      </c>
      <c r="L5" s="1289"/>
      <c r="M5" s="1290"/>
    </row>
    <row r="6" spans="1:37" ht="18" customHeight="1">
      <c r="A6" s="1287" t="s">
        <v>1035</v>
      </c>
      <c r="B6" s="3248" t="s">
        <v>1403</v>
      </c>
      <c r="C6" s="1292">
        <f ca="1">ROUND(F6*F8*F7*(1-F9)/10000,0)</f>
        <v>1292</v>
      </c>
      <c r="D6" s="163" t="s">
        <v>3024</v>
      </c>
      <c r="E6" s="346" t="s">
        <v>1405</v>
      </c>
      <c r="F6" s="347">
        <f ca="1">INDIRECT("'数据-取费表'!u"&amp;$G$1)</f>
        <v>2.5</v>
      </c>
      <c r="G6" s="1847"/>
      <c r="H6" s="1287" t="s">
        <v>1035</v>
      </c>
      <c r="I6" s="3248" t="s">
        <v>1403</v>
      </c>
      <c r="J6" s="345">
        <f ca="1">ROUND(M6*M8*M7*(1-M9)/10000,0)</f>
        <v>0</v>
      </c>
      <c r="K6" s="163" t="s">
        <v>3023</v>
      </c>
      <c r="L6" s="346" t="s">
        <v>1405</v>
      </c>
      <c r="M6" s="347">
        <f ca="1">INDIRECT("'数据-取费表'!z"&amp;$G$1)</f>
        <v>0</v>
      </c>
    </row>
    <row r="7" spans="1:37" ht="18" customHeight="1">
      <c r="A7" s="1291"/>
      <c r="B7" s="3249"/>
      <c r="C7" s="1293"/>
      <c r="D7" s="351"/>
      <c r="E7" s="2951" t="s">
        <v>1406</v>
      </c>
      <c r="F7" s="347">
        <f ca="1">IF(INDIRECT("'数据-取费表'!ah"&amp;$G$1)="",INDIRECT("'数据-取费表'!k"&amp;$G$1),INDIRECT("'数据-取费表'!ah"&amp;$G$1))</f>
        <v>15737.87</v>
      </c>
      <c r="G7" s="1847"/>
      <c r="H7" s="348"/>
      <c r="I7" s="3249"/>
      <c r="J7" s="350"/>
      <c r="K7" s="351"/>
      <c r="L7" s="346" t="s">
        <v>1406</v>
      </c>
      <c r="M7" s="347">
        <f ca="1">F7</f>
        <v>15737.87</v>
      </c>
    </row>
    <row r="8" spans="1:37" ht="18" customHeight="1">
      <c r="A8" s="348"/>
      <c r="B8" s="3249"/>
      <c r="C8" s="350"/>
      <c r="D8" s="351"/>
      <c r="E8" s="346" t="s">
        <v>1407</v>
      </c>
      <c r="F8" s="347">
        <f ca="1">INDIRECT("'数据-取费表'!ai"&amp;$G$1)</f>
        <v>365</v>
      </c>
      <c r="G8" s="1847"/>
      <c r="H8" s="348"/>
      <c r="I8" s="3249"/>
      <c r="J8" s="350"/>
      <c r="K8" s="351"/>
      <c r="L8" s="346" t="s">
        <v>1407</v>
      </c>
      <c r="M8" s="347">
        <f ca="1">INDIRECT("'数据-取费表'!ai"&amp;$G$1)</f>
        <v>365</v>
      </c>
    </row>
    <row r="9" spans="1:37" ht="18" customHeight="1">
      <c r="A9" s="348"/>
      <c r="B9" s="3250"/>
      <c r="C9" s="350"/>
      <c r="D9" s="351"/>
      <c r="E9" s="346" t="s">
        <v>1408</v>
      </c>
      <c r="F9" s="356">
        <f ca="1">INDIRECT("'数据-取费表'!w"&amp;$G$1)</f>
        <v>0.1</v>
      </c>
      <c r="G9" s="1847"/>
      <c r="H9" s="348"/>
      <c r="I9" s="3250"/>
      <c r="J9" s="350"/>
      <c r="K9" s="351"/>
      <c r="L9" s="357" t="s">
        <v>1408</v>
      </c>
      <c r="M9" s="358">
        <f ca="1">INDIRECT("'数据-取费表'!ab"&amp;$G$1)</f>
        <v>0</v>
      </c>
    </row>
    <row r="10" spans="1:37" ht="18" customHeight="1">
      <c r="A10" s="1287" t="s">
        <v>1039</v>
      </c>
      <c r="B10" s="1819" t="s">
        <v>1409</v>
      </c>
      <c r="C10" s="360">
        <f ca="1">ROUND(IF(F10="押一",C6/12*F11,IF(F10="押二",C6/12*2*F11,IF(F10="押三",C6/12*3*F11,C11*F11))),0)</f>
        <v>2</v>
      </c>
      <c r="D10" s="1820" t="s">
        <v>3033</v>
      </c>
      <c r="E10" s="357" t="s">
        <v>1410</v>
      </c>
      <c r="F10" s="1362" t="s">
        <v>3275</v>
      </c>
      <c r="G10" s="1847"/>
      <c r="H10" s="1287" t="s">
        <v>1039</v>
      </c>
      <c r="I10" s="1819" t="s">
        <v>1409</v>
      </c>
      <c r="J10" s="345">
        <f ca="1">ROUND(IF(M10="押一",J6/12*M11,IF(M10="押二",J6/12*2*M11,IF(M10="押三",J6/12*3*M11,J11*M11))),0)</f>
        <v>0</v>
      </c>
      <c r="K10" s="1820" t="s">
        <v>3032</v>
      </c>
      <c r="L10" s="357" t="s">
        <v>1410</v>
      </c>
      <c r="M10" s="1362" t="s">
        <v>1411</v>
      </c>
    </row>
    <row r="11" spans="1:37" ht="18" customHeight="1">
      <c r="A11" s="352"/>
      <c r="B11" s="1821" t="s">
        <v>1388</v>
      </c>
      <c r="C11" s="1174"/>
      <c r="D11" s="1822"/>
      <c r="E11" s="357" t="s">
        <v>1412</v>
      </c>
      <c r="F11" s="358">
        <f ca="1">'数据-取费表'!B39</f>
        <v>1.4999999999999999E-2</v>
      </c>
      <c r="G11" s="1847"/>
      <c r="H11" s="1295"/>
      <c r="I11" s="1821" t="s">
        <v>1388</v>
      </c>
      <c r="J11" s="1174"/>
      <c r="K11" s="747"/>
      <c r="L11" s="357"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4">
        <f ca="1">ROUND(C29*F13,0)</f>
        <v>6851</v>
      </c>
      <c r="D13" s="1327" t="s">
        <v>1415</v>
      </c>
      <c r="E13" s="1327" t="s">
        <v>1416</v>
      </c>
      <c r="F13" s="1328">
        <f ca="1">INDIRECT("'数据-取费表'!y"&amp;$G$1)</f>
        <v>1</v>
      </c>
      <c r="G13" s="1847"/>
      <c r="H13" s="1325">
        <v>2</v>
      </c>
      <c r="I13" s="1326" t="s">
        <v>1414</v>
      </c>
      <c r="J13" s="1286">
        <f ca="1">ROUND(J14*J15,0)</f>
        <v>0</v>
      </c>
      <c r="K13" s="1333" t="s">
        <v>1415</v>
      </c>
      <c r="L13" s="1848"/>
      <c r="M13" s="1849"/>
    </row>
    <row r="14" spans="1:37" ht="18" customHeight="1">
      <c r="A14" s="1197" t="s">
        <v>1034</v>
      </c>
      <c r="B14" s="346" t="s">
        <v>1417</v>
      </c>
      <c r="C14" s="362">
        <f ca="1">INDIRECT("'数据-取费表'!m"&amp;$G$1)+INDIRECT("'数据-取费表'!t"&amp;$G$1)</f>
        <v>4333</v>
      </c>
      <c r="D14" s="2945" t="s">
        <v>1418</v>
      </c>
      <c r="E14" s="2943"/>
      <c r="F14" s="363"/>
      <c r="G14" s="1847"/>
      <c r="H14" s="1197" t="s">
        <v>1035</v>
      </c>
      <c r="I14" s="346" t="s">
        <v>1419</v>
      </c>
      <c r="J14" s="24">
        <f ca="1">C29</f>
        <v>6851</v>
      </c>
      <c r="K14" s="2950"/>
      <c r="L14" s="975"/>
      <c r="M14" s="976"/>
    </row>
    <row r="15" spans="1:37" s="1854" customFormat="1" ht="18" customHeight="1" thickBot="1">
      <c r="A15" s="1197" t="s">
        <v>1036</v>
      </c>
      <c r="B15" s="346" t="s">
        <v>1420</v>
      </c>
      <c r="C15" s="24">
        <f ca="1">ROUND(C14*F15,0)</f>
        <v>130</v>
      </c>
      <c r="D15" s="364" t="s">
        <v>1421</v>
      </c>
      <c r="E15" s="364" t="s">
        <v>1422</v>
      </c>
      <c r="F15" s="365">
        <f>'数据-取费表'!B33</f>
        <v>0.03</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1423</v>
      </c>
      <c r="C16" s="24">
        <f ca="1">ROUND(INDIRECT("'数据-取费表'!m"&amp;$G$1)*F16,0)</f>
        <v>0</v>
      </c>
      <c r="D16" s="346" t="s">
        <v>1421</v>
      </c>
      <c r="E16" s="346" t="s">
        <v>1422</v>
      </c>
      <c r="F16" s="366">
        <f ca="1">IF(INDIRECT("'数据-取费表'!c"&amp;$G$1)="住宅",'数据-取费表'!B34,0)</f>
        <v>0</v>
      </c>
      <c r="G16" s="1847"/>
      <c r="H16" s="1325" t="s">
        <v>1030</v>
      </c>
      <c r="I16" s="1326" t="s">
        <v>1424</v>
      </c>
      <c r="J16" s="354">
        <f ca="1">ROUND(J17+J22+J23+J24,0)</f>
        <v>200</v>
      </c>
      <c r="K16" s="1333" t="s">
        <v>1425</v>
      </c>
      <c r="L16" s="2946"/>
      <c r="M16" s="1290"/>
    </row>
    <row r="17" spans="1:37" s="1854" customFormat="1" ht="18" customHeight="1">
      <c r="A17" s="1197" t="s">
        <v>1390</v>
      </c>
      <c r="B17" s="346" t="s">
        <v>1426</v>
      </c>
      <c r="C17" s="24">
        <f ca="1">ROUND(F17*(F43+INDIRECT("'数据-取费表'!S"&amp;$G$1))/10000,0)</f>
        <v>337</v>
      </c>
      <c r="D17" s="346" t="s">
        <v>1427</v>
      </c>
      <c r="E17" s="346" t="s">
        <v>1428</v>
      </c>
      <c r="F17" s="26">
        <f>'数据-取费表'!B35</f>
        <v>200</v>
      </c>
      <c r="G17" s="1850"/>
      <c r="H17" s="1197" t="s">
        <v>1035</v>
      </c>
      <c r="I17" s="346" t="s">
        <v>1429</v>
      </c>
      <c r="J17" s="24">
        <f ca="1">ROUND(IF(项目基本情况!B11="自然人",J5*M17,J18+J19+J20),1)</f>
        <v>63.4</v>
      </c>
      <c r="K17" s="2945" t="s">
        <v>1430</v>
      </c>
      <c r="L17" s="294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1432</v>
      </c>
      <c r="C18" s="24">
        <f ca="1">ROUND(C14*F18,0)</f>
        <v>65</v>
      </c>
      <c r="D18" s="346" t="s">
        <v>1421</v>
      </c>
      <c r="E18" s="346" t="s">
        <v>1422</v>
      </c>
      <c r="F18" s="366">
        <f>'数据-取费表'!B36</f>
        <v>1.4999999999999999E-2</v>
      </c>
      <c r="G18" s="1850"/>
      <c r="H18" s="1197" t="s">
        <v>1034</v>
      </c>
      <c r="I18" s="346" t="s">
        <v>1433</v>
      </c>
      <c r="J18" s="24">
        <f ca="1">ROUND(J5*M18/(1+'数据-取费表'!C42),2)</f>
        <v>0</v>
      </c>
      <c r="K18" s="294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1435</v>
      </c>
      <c r="C19" s="24">
        <f ca="1">SUM(C14:C18)</f>
        <v>4865</v>
      </c>
      <c r="D19" s="139" t="s">
        <v>1436</v>
      </c>
      <c r="E19" s="2949"/>
      <c r="F19" s="26"/>
      <c r="G19" s="1847"/>
      <c r="H19" s="1197" t="s">
        <v>1036</v>
      </c>
      <c r="I19" s="346" t="s">
        <v>1437</v>
      </c>
      <c r="J19" s="24">
        <f ca="1">IF(K19="按租金收入计税",ROUND(J5*M19,2),ROUND(C29*M19*0.7,2))</f>
        <v>57.55</v>
      </c>
      <c r="K19" s="1824" t="s">
        <v>1438</v>
      </c>
      <c r="L19" s="346" t="s">
        <v>1422</v>
      </c>
      <c r="M19" s="366">
        <f>IF(K19="按租金收入计税",'数据-取费表'!B51,'数据-取费表'!B50)</f>
        <v>1.2E-2</v>
      </c>
    </row>
    <row r="20" spans="1:37" s="1854" customFormat="1" ht="18" customHeight="1">
      <c r="A20" s="1197" t="s">
        <v>1039</v>
      </c>
      <c r="B20" s="346" t="s">
        <v>1439</v>
      </c>
      <c r="C20" s="24">
        <f ca="1">ROUND(C19*F20,0)</f>
        <v>97</v>
      </c>
      <c r="D20" s="368" t="s">
        <v>1440</v>
      </c>
      <c r="E20" s="346" t="s">
        <v>1422</v>
      </c>
      <c r="F20" s="366">
        <f>'数据-取费表'!B37</f>
        <v>0.02</v>
      </c>
      <c r="G20" s="1850"/>
      <c r="H20" s="1197" t="s">
        <v>1389</v>
      </c>
      <c r="I20" s="163" t="s">
        <v>1441</v>
      </c>
      <c r="J20" s="25">
        <f ca="1">ROUND(M20*M21/10000,2)</f>
        <v>5.82</v>
      </c>
      <c r="K20" s="369" t="s">
        <v>1442</v>
      </c>
      <c r="L20" s="346" t="s">
        <v>1443</v>
      </c>
      <c r="M20" s="370">
        <f>'数据-取费表'!B52</f>
        <v>14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1444</v>
      </c>
      <c r="C21" s="24" t="s">
        <v>18</v>
      </c>
      <c r="D21" s="368" t="s">
        <v>1445</v>
      </c>
      <c r="E21" s="346" t="s">
        <v>1446</v>
      </c>
      <c r="F21" s="366">
        <f>'数据-取费表'!B38</f>
        <v>0.02</v>
      </c>
      <c r="G21" s="1850"/>
      <c r="H21" s="371"/>
      <c r="I21" s="355"/>
      <c r="J21" s="29"/>
      <c r="K21" s="372"/>
      <c r="L21" s="346" t="s">
        <v>1447</v>
      </c>
      <c r="M21" s="347">
        <f ca="1">INDIRECT("'数据-取费表'!r"&amp;$G$1)</f>
        <v>4159.97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1448</v>
      </c>
      <c r="C22" s="24"/>
      <c r="D22" s="139" t="str">
        <f>IF(F23&lt;=1,"单利计息。","复利计息。")&amp;"建造成本、管理费用、销售费用产生的利息。"</f>
        <v>复利计息。建造成本、管理费用、销售费用产生的利息。</v>
      </c>
      <c r="E22" s="2949"/>
      <c r="F22" s="26"/>
      <c r="G22" s="1847"/>
      <c r="H22" s="1197" t="s">
        <v>1039</v>
      </c>
      <c r="I22" s="346" t="s">
        <v>1449</v>
      </c>
      <c r="J22" s="24">
        <f ca="1">ROUND(J14*M22,1)</f>
        <v>137</v>
      </c>
      <c r="K22" s="2944" t="s">
        <v>1450</v>
      </c>
      <c r="L22" s="346" t="s">
        <v>1422</v>
      </c>
      <c r="M22" s="373">
        <f ca="1">INDIRECT("'数据-取费表'!Ak"&amp;$G$1)</f>
        <v>0.02</v>
      </c>
    </row>
    <row r="23" spans="1:37" s="1854" customFormat="1" ht="18" customHeight="1">
      <c r="A23" s="1197" t="s">
        <v>1034</v>
      </c>
      <c r="B23" s="346" t="s">
        <v>1451</v>
      </c>
      <c r="C23" s="24">
        <f ca="1">IF('数据-取费表'!B22&lt;=1,ROUND(C19*F24*F23/2,0)+ROUND(C20*F24*F23/2,0),ROUND(C19*(POWER((1+F24),F23/2)-1),0)+ROUND(C20*(POWER((1+F24),F23/2)-1),0))</f>
        <v>358</v>
      </c>
      <c r="D23" s="374" t="str">
        <f>IF(F23&lt;=1,"(建造成本+管理费用)×利率×(建设周期÷2)","(建造成本+管理费用)×((1+利率)^(建设周期÷2)-1)")</f>
        <v>(建造成本+管理费用)×((1+利率)^(建设周期÷2)-1)</v>
      </c>
      <c r="E23" s="346" t="s">
        <v>1452</v>
      </c>
      <c r="F23" s="370">
        <f>'数据-取费表'!B20</f>
        <v>3</v>
      </c>
      <c r="G23" s="1850"/>
      <c r="H23" s="1197" t="s">
        <v>1075</v>
      </c>
      <c r="I23" s="346" t="s">
        <v>1453</v>
      </c>
      <c r="J23" s="24">
        <f ca="1">ROUND(J13*M23,1)</f>
        <v>0</v>
      </c>
      <c r="K23" s="2944" t="s">
        <v>1454</v>
      </c>
      <c r="L23" s="346" t="s">
        <v>1422</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0"/>
      <c r="H24" s="1335" t="s">
        <v>1393</v>
      </c>
      <c r="I24" s="1336" t="s">
        <v>1439</v>
      </c>
      <c r="J24" s="1337">
        <f ca="1">ROUND(J5*M24,1)</f>
        <v>0</v>
      </c>
      <c r="K24" s="1338" t="s">
        <v>1459</v>
      </c>
      <c r="L24" s="1336" t="s">
        <v>1422</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6" t="s">
        <v>1461</v>
      </c>
      <c r="C25" s="24"/>
      <c r="D25" s="139" t="s">
        <v>1462</v>
      </c>
      <c r="E25" s="2949"/>
      <c r="F25" s="26"/>
      <c r="G25" s="1847"/>
      <c r="H25" s="1325" t="s">
        <v>1031</v>
      </c>
      <c r="I25" s="1340" t="s">
        <v>1463</v>
      </c>
      <c r="J25" s="354">
        <f ca="1">J5-J16</f>
        <v>-200</v>
      </c>
      <c r="K25" s="1341" t="s">
        <v>1464</v>
      </c>
      <c r="L25" s="1342"/>
      <c r="M25" s="1343"/>
    </row>
    <row r="26" spans="1:37">
      <c r="A26" s="1197" t="s">
        <v>1034</v>
      </c>
      <c r="B26" s="346" t="s">
        <v>1465</v>
      </c>
      <c r="C26" s="24">
        <f ca="1">ROUND((C19+C20)*F26,0)</f>
        <v>992</v>
      </c>
      <c r="D26" s="368" t="s">
        <v>1466</v>
      </c>
      <c r="E26" s="357" t="s">
        <v>1467</v>
      </c>
      <c r="F26" s="356">
        <f ca="1">INDIRECT("'数据-取费表'!q"&amp;$G$1)</f>
        <v>0.2</v>
      </c>
      <c r="G26" s="1847"/>
      <c r="H26" s="343" t="s">
        <v>1032</v>
      </c>
      <c r="I26" s="344" t="s">
        <v>1468</v>
      </c>
      <c r="J26" s="345">
        <f ca="1">IF(J5&lt;&gt;0,ROUND(J25*(1-((1+M28)/(1+M26))^M27)/(M26-M28),0),0)</f>
        <v>0</v>
      </c>
      <c r="K26" s="369" t="s">
        <v>1469</v>
      </c>
      <c r="L26" s="346" t="s">
        <v>1470</v>
      </c>
      <c r="M26" s="356">
        <f ca="1">INDIRECT("'数据-取费表'!I"&amp;$G$1)</f>
        <v>5.5E-2</v>
      </c>
    </row>
    <row r="27" spans="1:37" ht="18" customHeight="1">
      <c r="A27" s="1197" t="s">
        <v>1036</v>
      </c>
      <c r="B27" s="346" t="s">
        <v>1471</v>
      </c>
      <c r="C27" s="24">
        <f ca="1">ROUND(F21*F26,4)</f>
        <v>4.0000000000000001E-3</v>
      </c>
      <c r="D27" s="368" t="s">
        <v>1472</v>
      </c>
      <c r="E27" s="364"/>
      <c r="F27" s="365"/>
      <c r="G27" s="1847"/>
      <c r="H27" s="348"/>
      <c r="I27" s="349"/>
      <c r="J27" s="350"/>
      <c r="K27" s="377" t="s">
        <v>1473</v>
      </c>
      <c r="L27" s="346" t="s">
        <v>1474</v>
      </c>
      <c r="M27" s="378">
        <f ca="1">INDIRECT("'数据-取费表'!ag"&amp;$G$1)</f>
        <v>0</v>
      </c>
    </row>
    <row r="28" spans="1:37" s="1854" customFormat="1" ht="18" customHeight="1">
      <c r="A28" s="1197"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6851</v>
      </c>
      <c r="D29" s="1338"/>
      <c r="E29" s="1336"/>
      <c r="F29" s="1339"/>
      <c r="G29" s="1850"/>
      <c r="H29" s="379" t="s">
        <v>1033</v>
      </c>
      <c r="I29" s="380" t="s">
        <v>1479</v>
      </c>
      <c r="J29" s="381">
        <f ca="1">ROUND(J26/(1+F40)^F41,0)</f>
        <v>0</v>
      </c>
      <c r="K29" s="382" t="s">
        <v>1480</v>
      </c>
      <c r="L29" s="383"/>
      <c r="M29" s="384">
        <f ca="1">INDIRECT("'数据-取费表'!k"&amp;$G$1)</f>
        <v>15737.87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4">
        <f ca="1">ROUND(C31+C36+C37+C38,0)</f>
        <v>407</v>
      </c>
      <c r="D30" s="1333" t="s">
        <v>1425</v>
      </c>
      <c r="E30" s="2946"/>
      <c r="F30" s="1290"/>
      <c r="G30" s="1847"/>
      <c r="H30" s="744"/>
      <c r="I30" s="745"/>
      <c r="J30" s="746"/>
      <c r="K30" s="747"/>
      <c r="L30" s="748"/>
      <c r="M30" s="749"/>
    </row>
    <row r="31" spans="1:37" ht="18" customHeight="1">
      <c r="A31" s="1197" t="s">
        <v>1035</v>
      </c>
      <c r="B31" s="346" t="s">
        <v>1429</v>
      </c>
      <c r="C31" s="24">
        <f ca="1">ROUND(IF(项目基本情况!B11="自然人",C5*F31,C32+C33+C34),1)</f>
        <v>230.1</v>
      </c>
      <c r="D31" s="2945" t="s">
        <v>1430</v>
      </c>
      <c r="E31" s="294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1433</v>
      </c>
      <c r="C32" s="24">
        <f ca="1">IF(项目基本情况!B11="自然人","——",ROUND(C5*F32/(1+'数据-取费表'!C42),2))</f>
        <v>69.010000000000005</v>
      </c>
      <c r="D32" s="2944" t="s">
        <v>1434</v>
      </c>
      <c r="E32" s="346" t="s">
        <v>1422</v>
      </c>
      <c r="F32" s="376">
        <f>'数据-取费表'!B41</f>
        <v>5.6000000000000001E-2</v>
      </c>
      <c r="G32" s="1847"/>
      <c r="H32" s="744"/>
      <c r="I32" s="745"/>
      <c r="J32" s="746"/>
      <c r="K32" s="747"/>
      <c r="L32" s="748"/>
      <c r="M32" s="749"/>
    </row>
    <row r="33" spans="1:18" ht="18" customHeight="1">
      <c r="A33" s="1197" t="s">
        <v>1036</v>
      </c>
      <c r="B33" s="346" t="s">
        <v>1437</v>
      </c>
      <c r="C33" s="24">
        <f ca="1">IF(项目基本情况!B11="自然人","——",IF(D33="按租金收入计税",ROUND(C5*F33,2),IF(D33="按房产原值计税",ROUND(C29*F33*0.7,2),INDIRECT("'数据-取费表'!Aj"&amp;$G$1))))</f>
        <v>155.28</v>
      </c>
      <c r="D33" s="1824" t="s">
        <v>3274</v>
      </c>
      <c r="E33" s="346" t="s">
        <v>1422</v>
      </c>
      <c r="F33" s="366">
        <f>IF(D33="按票据","——",IF(D33="按租金收入计税",'数据-取费表'!B51,'数据-取费表'!B50))</f>
        <v>0.12</v>
      </c>
      <c r="G33" s="1847"/>
      <c r="H33" s="1855"/>
      <c r="I33" s="1856"/>
      <c r="J33" s="1857"/>
      <c r="K33" s="1858"/>
      <c r="L33" s="1855"/>
      <c r="M33" s="1855"/>
    </row>
    <row r="34" spans="1:18" ht="18" customHeight="1">
      <c r="A34" s="1287" t="s">
        <v>1389</v>
      </c>
      <c r="B34" s="163" t="s">
        <v>1441</v>
      </c>
      <c r="C34" s="25">
        <f ca="1">IF(项目基本情况!B11="自然人","——",ROUND(F34*F35/10000,2))</f>
        <v>5.82</v>
      </c>
      <c r="D34" s="369" t="s">
        <v>1442</v>
      </c>
      <c r="E34" s="346" t="s">
        <v>1443</v>
      </c>
      <c r="F34" s="370">
        <f>'数据-取费表'!B52</f>
        <v>14</v>
      </c>
      <c r="G34" s="1847"/>
      <c r="H34" s="744"/>
      <c r="I34" s="1856"/>
      <c r="J34" s="1857"/>
      <c r="K34" s="1859"/>
      <c r="L34" s="1860"/>
      <c r="M34" s="1860"/>
    </row>
    <row r="35" spans="1:18" ht="18" customHeight="1">
      <c r="A35" s="1349"/>
      <c r="B35" s="1347"/>
      <c r="C35" s="29"/>
      <c r="D35" s="372"/>
      <c r="E35" s="346" t="s">
        <v>1447</v>
      </c>
      <c r="F35" s="347">
        <f ca="1">INDIRECT("'数据-取费表'!r"&amp;$G$1)</f>
        <v>4159.97</v>
      </c>
      <c r="G35" s="1847"/>
      <c r="H35" s="744"/>
      <c r="I35" s="1856"/>
      <c r="J35" s="1857"/>
      <c r="K35" s="1858"/>
      <c r="L35" s="1855"/>
      <c r="M35" s="1855"/>
    </row>
    <row r="36" spans="1:18" ht="18" customHeight="1">
      <c r="A36" s="1348" t="s">
        <v>1039</v>
      </c>
      <c r="B36" s="346" t="s">
        <v>1449</v>
      </c>
      <c r="C36" s="24">
        <f ca="1">ROUND(C29*F36,1)</f>
        <v>137</v>
      </c>
      <c r="D36" s="2944" t="s">
        <v>1482</v>
      </c>
      <c r="E36" s="346" t="s">
        <v>1422</v>
      </c>
      <c r="F36" s="373">
        <f ca="1">INDIRECT("'数据-取费表'!Ak"&amp;$G$1)</f>
        <v>0.02</v>
      </c>
      <c r="G36" s="1847"/>
      <c r="H36" s="1855"/>
      <c r="I36" s="1856"/>
      <c r="J36" s="1857"/>
      <c r="K36" s="750"/>
      <c r="L36" s="1855"/>
      <c r="M36" s="1855"/>
    </row>
    <row r="37" spans="1:18" ht="18" customHeight="1">
      <c r="A37" s="1197" t="s">
        <v>1075</v>
      </c>
      <c r="B37" s="346" t="s">
        <v>1453</v>
      </c>
      <c r="C37" s="24">
        <f ca="1">ROUND(C13*F37,1)</f>
        <v>13.7</v>
      </c>
      <c r="D37" s="2944" t="s">
        <v>1454</v>
      </c>
      <c r="E37" s="346" t="s">
        <v>1422</v>
      </c>
      <c r="F37" s="375">
        <f ca="1">INDIRECT("'数据-取费表'!Al"&amp;$G$1)</f>
        <v>2E-3</v>
      </c>
      <c r="G37" s="1847"/>
      <c r="H37" s="1855"/>
      <c r="I37" s="1856"/>
      <c r="J37" s="1857"/>
      <c r="K37" s="750"/>
      <c r="L37" s="1855"/>
      <c r="M37" s="1855"/>
    </row>
    <row r="38" spans="1:18" ht="18" customHeight="1" thickBot="1">
      <c r="A38" s="1335" t="s">
        <v>1393</v>
      </c>
      <c r="B38" s="1336" t="s">
        <v>1439</v>
      </c>
      <c r="C38" s="1337">
        <f ca="1">ROUND(C5*F38,1)</f>
        <v>25.9</v>
      </c>
      <c r="D38" s="1338" t="s">
        <v>1459</v>
      </c>
      <c r="E38" s="1336" t="s">
        <v>1422</v>
      </c>
      <c r="F38" s="1332">
        <f ca="1">INDIRECT("'数据-取费表'!Am"&amp;$G$1)</f>
        <v>0.02</v>
      </c>
      <c r="G38" s="1847"/>
      <c r="H38" s="1855"/>
      <c r="I38" s="1856"/>
      <c r="J38" s="1857"/>
      <c r="K38" s="1861"/>
      <c r="L38" s="1855"/>
      <c r="M38" s="1855"/>
    </row>
    <row r="39" spans="1:18" ht="24.6" customHeight="1" thickTop="1">
      <c r="A39" s="1325" t="s">
        <v>1031</v>
      </c>
      <c r="B39" s="1340" t="s">
        <v>1463</v>
      </c>
      <c r="C39" s="354">
        <f ca="1">C5-C30</f>
        <v>887</v>
      </c>
      <c r="D39" s="1341" t="s">
        <v>1464</v>
      </c>
      <c r="E39" s="1342"/>
      <c r="F39" s="1343"/>
      <c r="G39" s="1847"/>
      <c r="H39" s="1855"/>
      <c r="I39" s="1856"/>
      <c r="J39" s="1857"/>
      <c r="K39" s="1861"/>
      <c r="L39" s="1855"/>
      <c r="M39" s="1855"/>
    </row>
    <row r="40" spans="1:18" ht="18" customHeight="1">
      <c r="A40" s="343" t="s">
        <v>1032</v>
      </c>
      <c r="B40" s="344" t="s">
        <v>1485</v>
      </c>
      <c r="C40" s="345">
        <f ca="1">ROUND(C39*(1-((1+F42)/(1+F40))^F41)/(F40-F42),0)</f>
        <v>21968</v>
      </c>
      <c r="D40" s="369" t="s">
        <v>1469</v>
      </c>
      <c r="E40" s="346" t="s">
        <v>1470</v>
      </c>
      <c r="F40" s="356">
        <f ca="1">INDIRECT("'数据-取费表'!I"&amp;$G$1)</f>
        <v>5.5E-2</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35.729999999999997</v>
      </c>
      <c r="G41" s="1847"/>
      <c r="H41" s="731"/>
      <c r="I41" s="1856"/>
      <c r="J41" s="1857"/>
      <c r="K41" s="750"/>
      <c r="L41" s="731"/>
      <c r="M41" s="731"/>
    </row>
    <row r="42" spans="1:18" ht="18" customHeight="1">
      <c r="A42" s="352"/>
      <c r="B42" s="353"/>
      <c r="C42" s="354"/>
      <c r="D42" s="372"/>
      <c r="E42" s="346" t="s">
        <v>1477</v>
      </c>
      <c r="F42" s="356">
        <f ca="1">INDIRECT("'数据-取费表'!v"&amp;$G$1)</f>
        <v>3.5000000000000003E-2</v>
      </c>
      <c r="G42" s="1847"/>
      <c r="H42" s="731"/>
      <c r="I42" s="1856"/>
      <c r="J42" s="1857"/>
      <c r="K42" s="750"/>
      <c r="L42" s="731"/>
      <c r="M42" s="731"/>
    </row>
    <row r="43" spans="1:18" ht="18" customHeight="1" thickBot="1">
      <c r="A43" s="379" t="s">
        <v>1033</v>
      </c>
      <c r="B43" s="380" t="s">
        <v>1487</v>
      </c>
      <c r="C43" s="381">
        <f ca="1">ROUND(C40*10000/F43,0)</f>
        <v>13959</v>
      </c>
      <c r="D43" s="382" t="s">
        <v>1488</v>
      </c>
      <c r="E43" s="383" t="s">
        <v>1489</v>
      </c>
      <c r="F43" s="384">
        <f ca="1">INDIRECT("'数据-取费表'!k"&amp;$G$1)</f>
        <v>15737.87</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-33312</v>
      </c>
      <c r="D46" s="1868" t="str">
        <f>C2</f>
        <v>万元</v>
      </c>
      <c r="E46" s="1862"/>
      <c r="F46" s="1862"/>
      <c r="I46" s="1869" t="s">
        <v>1521</v>
      </c>
      <c r="J46" s="1870"/>
      <c r="K46" s="1871"/>
      <c r="L46" s="1872">
        <f ca="1">IF(M47="住宅",0,IF(L48&gt;J51,L60,J60))</f>
        <v>128</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91"/>
      <c r="I47" s="1876" t="s">
        <v>1526</v>
      </c>
      <c r="J47" s="1877" t="s">
        <v>3272</v>
      </c>
      <c r="K47" s="1878" t="s">
        <v>1527</v>
      </c>
      <c r="L47" s="1879">
        <f ca="1">INDIRECT("'数据-取费表'!d"&amp;$G$1)</f>
        <v>40</v>
      </c>
      <c r="M47" s="1834" t="str">
        <f>IF(ISNUMBER(FIND("住宅",C1)),"住宅","非住宅")</f>
        <v>非住宅</v>
      </c>
      <c r="O47" s="1880" t="s">
        <v>1040</v>
      </c>
      <c r="P47" s="1881" t="s">
        <v>1528</v>
      </c>
      <c r="Q47" s="1882">
        <f ca="1">C40+J29</f>
        <v>21968</v>
      </c>
      <c r="R47" s="1882" t="s">
        <v>1529</v>
      </c>
    </row>
    <row r="48" spans="1:18" s="1838" customFormat="1" ht="28.5" thickBot="1">
      <c r="A48" s="1356" t="s">
        <v>1135</v>
      </c>
      <c r="B48" s="344" t="s">
        <v>1401</v>
      </c>
      <c r="C48" s="2948">
        <f ca="1">C49+C53+C55</f>
        <v>0</v>
      </c>
      <c r="D48" s="1358"/>
      <c r="E48" s="1359"/>
      <c r="F48" s="1177"/>
      <c r="G48" s="791"/>
      <c r="H48" s="792"/>
      <c r="I48" s="1883" t="s">
        <v>1530</v>
      </c>
      <c r="J48" s="1884" t="s">
        <v>3273</v>
      </c>
      <c r="K48" s="1885" t="s">
        <v>1531</v>
      </c>
      <c r="L48" s="1886">
        <f ca="1">INDIRECT("'数据-取费表'!f"&amp;$G$1)</f>
        <v>35.729999999999997</v>
      </c>
      <c r="O48" s="1880" t="s">
        <v>1041</v>
      </c>
      <c r="P48" s="1881" t="s">
        <v>1532</v>
      </c>
      <c r="Q48" s="1882">
        <f ca="1">J60</f>
        <v>128</v>
      </c>
      <c r="R48" s="1882" t="s">
        <v>1533</v>
      </c>
    </row>
    <row r="49" spans="1:18" s="1838" customFormat="1" ht="13.5" thickBot="1">
      <c r="A49" s="1190" t="s">
        <v>1136</v>
      </c>
      <c r="B49" s="1825" t="s">
        <v>1490</v>
      </c>
      <c r="C49" s="1360">
        <f ca="1">ROUND(F49*F51*F50*(1-F52)/10000,0)</f>
        <v>0</v>
      </c>
      <c r="D49" s="1272" t="s">
        <v>3025</v>
      </c>
      <c r="E49" s="1826" t="s">
        <v>1491</v>
      </c>
      <c r="F49" s="1277"/>
      <c r="G49" s="1887"/>
      <c r="H49" s="792"/>
      <c r="I49" s="1883" t="s">
        <v>1534</v>
      </c>
      <c r="J49" s="1889">
        <v>2018</v>
      </c>
      <c r="K49" s="1885" t="s">
        <v>1535</v>
      </c>
      <c r="L49" s="1889"/>
      <c r="O49" s="1890" t="s">
        <v>1042</v>
      </c>
      <c r="P49" s="1881" t="s">
        <v>1536</v>
      </c>
      <c r="Q49" s="1882">
        <f ca="1">C29</f>
        <v>6851</v>
      </c>
      <c r="R49" s="1882" t="s">
        <v>1529</v>
      </c>
    </row>
    <row r="50" spans="1:18" s="1838" customFormat="1" ht="13.5" thickBot="1">
      <c r="A50" s="1191"/>
      <c r="B50" s="1194"/>
      <c r="C50" s="1364"/>
      <c r="D50" s="1168"/>
      <c r="E50" s="1273" t="s">
        <v>1406</v>
      </c>
      <c r="F50" s="1274">
        <f ca="1">F7</f>
        <v>15737.87</v>
      </c>
      <c r="H50" s="792"/>
      <c r="I50" s="1883" t="s">
        <v>1537</v>
      </c>
      <c r="J50" s="1891">
        <f>SUMPRODUCT((I63:I65=J47)*(J62:L62=J48)*(J63:L65))</f>
        <v>60</v>
      </c>
      <c r="K50" s="1885" t="s">
        <v>1538</v>
      </c>
      <c r="L50" s="1889"/>
      <c r="M50" s="1892"/>
      <c r="O50" s="1890" t="s">
        <v>1043</v>
      </c>
      <c r="P50" s="1881" t="s">
        <v>1539</v>
      </c>
      <c r="Q50" s="1893">
        <f ca="1">J58</f>
        <v>0.40500000000000003</v>
      </c>
      <c r="R50" s="1882"/>
    </row>
    <row r="51" spans="1:18" s="1838" customFormat="1" ht="13.5" thickBot="1">
      <c r="A51" s="1192"/>
      <c r="B51" s="1194"/>
      <c r="C51" s="1195"/>
      <c r="D51" s="1168"/>
      <c r="E51" s="1196" t="s">
        <v>1407</v>
      </c>
      <c r="F51" s="347">
        <f ca="1">F8</f>
        <v>365</v>
      </c>
      <c r="I51" s="1894" t="s">
        <v>1540</v>
      </c>
      <c r="J51" s="1895">
        <f>IF(J49="",J50,J49+J50-YEAR('数据-取费表'!B2))</f>
        <v>60</v>
      </c>
      <c r="K51" s="1896" t="s">
        <v>1541</v>
      </c>
      <c r="L51" s="1897">
        <f ca="1">ROUND(-PV(INDIRECT("'数据-取费表'!h"&amp;$G$1),L48,(C39-C13*C76),0),0)</f>
        <v>5366</v>
      </c>
      <c r="M51" s="1898"/>
      <c r="O51" s="1890" t="s">
        <v>1044</v>
      </c>
      <c r="P51" s="1881" t="s">
        <v>1542</v>
      </c>
      <c r="Q51" s="1893">
        <f>J52</f>
        <v>0.09</v>
      </c>
      <c r="R51" s="1882"/>
    </row>
    <row r="52" spans="1:18" s="1838" customFormat="1" ht="13.5" thickBot="1">
      <c r="A52" s="1192"/>
      <c r="B52" s="1194"/>
      <c r="C52" s="1195"/>
      <c r="D52" s="1168"/>
      <c r="E52" s="1196" t="s">
        <v>1408</v>
      </c>
      <c r="F52" s="1271"/>
      <c r="I52" s="1899" t="s">
        <v>1543</v>
      </c>
      <c r="J52" s="1900">
        <v>0.09</v>
      </c>
      <c r="K52" s="1899" t="s">
        <v>1544</v>
      </c>
      <c r="L52" s="1900"/>
      <c r="O52" s="1890" t="s">
        <v>1045</v>
      </c>
      <c r="P52" s="1881" t="s">
        <v>1545</v>
      </c>
      <c r="Q52" s="1882">
        <f ca="1">J53</f>
        <v>35.729999999999997</v>
      </c>
      <c r="R52" s="1882" t="s">
        <v>1546</v>
      </c>
    </row>
    <row r="53" spans="1:18" s="1838" customFormat="1" ht="24.75" thickBot="1">
      <c r="A53" s="1401" t="s">
        <v>1137</v>
      </c>
      <c r="B53" s="1827" t="s">
        <v>1409</v>
      </c>
      <c r="C53" s="360">
        <f ca="1">ROUND(IF(F53="押一",C49/12*F11,IF(F53="押二",C49/12*2*F11,IF(F53="押三",C49/12*3*F11,C54*F11))),0)</f>
        <v>0</v>
      </c>
      <c r="D53" s="1820" t="s">
        <v>3032</v>
      </c>
      <c r="E53" s="357" t="s">
        <v>1410</v>
      </c>
      <c r="F53" s="1362"/>
      <c r="I53" s="1901" t="s">
        <v>1547</v>
      </c>
      <c r="J53" s="1902">
        <f ca="1">IF(M47="住宅",IF(D1="——",MAX(J51,L48),IF(D1="在建（套用方法）",MAX(J51,L48-'数据-取费表'!B24),MAX(J51,L48-'数据-取费表'!B20))),IF(D1="——",MIN(J51,L48),IF(D1="在建（套用方法）",MIN(J51,L48-'数据-取费表'!B24),IF(D1="土地（套用方法）",MIN(J51,L48-'数据-取费表'!B20)))))</f>
        <v>35.729999999999997</v>
      </c>
      <c r="K53" s="3246" t="s">
        <v>1548</v>
      </c>
      <c r="L53" s="3247"/>
      <c r="O53" s="1880" t="s">
        <v>1046</v>
      </c>
      <c r="P53" s="1881" t="s">
        <v>1549</v>
      </c>
      <c r="Q53" s="1882">
        <f ca="1">Q47+Q48</f>
        <v>22096</v>
      </c>
      <c r="R53" s="1882" t="s">
        <v>1047</v>
      </c>
    </row>
    <row r="54" spans="1:18" s="1838" customFormat="1" ht="13.5" thickBot="1">
      <c r="A54" s="1402"/>
      <c r="B54" s="1821" t="s">
        <v>1388</v>
      </c>
      <c r="C54" s="1174"/>
      <c r="D54" s="1820"/>
      <c r="E54" s="294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2947"/>
      <c r="F55" s="1903"/>
      <c r="I55" s="1906" t="s">
        <v>1551</v>
      </c>
      <c r="J55" s="1907">
        <f ca="1">ROUND(IF(J47="钢混",J57/J50,1-(1-2%)*(J50-J57)/J50),3)</f>
        <v>0.40500000000000003</v>
      </c>
      <c r="K55" s="1908" t="s">
        <v>1552</v>
      </c>
      <c r="L55" s="1909" t="s">
        <v>1553</v>
      </c>
      <c r="O55" s="1873" t="s">
        <v>1522</v>
      </c>
      <c r="P55" s="1874" t="s">
        <v>1523</v>
      </c>
      <c r="Q55" s="1875" t="s">
        <v>1524</v>
      </c>
      <c r="R55" s="1875" t="s">
        <v>1525</v>
      </c>
    </row>
    <row r="56" spans="1:18" s="1838" customFormat="1" ht="25.5" thickTop="1" thickBot="1">
      <c r="A56" s="1172">
        <v>2</v>
      </c>
      <c r="B56" s="1173" t="s">
        <v>1414</v>
      </c>
      <c r="C56" s="275">
        <f ca="1">C13</f>
        <v>6851</v>
      </c>
      <c r="D56" s="1910"/>
      <c r="E56" s="1911"/>
      <c r="F56" s="1903"/>
      <c r="I56" s="1912" t="s">
        <v>1554</v>
      </c>
      <c r="J56" s="1913" t="s">
        <v>3198</v>
      </c>
      <c r="K56" s="1883" t="s">
        <v>1555</v>
      </c>
      <c r="L56" s="1886" t="str">
        <f ca="1">IF(L48&lt;J51,"——",L48-J53)</f>
        <v>——</v>
      </c>
      <c r="O56" s="1880" t="s">
        <v>1040</v>
      </c>
      <c r="P56" s="1881" t="s">
        <v>1528</v>
      </c>
      <c r="Q56" s="1882">
        <f ca="1">C40+J29</f>
        <v>21968</v>
      </c>
      <c r="R56" s="1882" t="s">
        <v>1529</v>
      </c>
    </row>
    <row r="57" spans="1:18" s="1838" customFormat="1" ht="24.75" thickBot="1">
      <c r="A57" s="1914"/>
      <c r="B57" s="1165" t="s">
        <v>1478</v>
      </c>
      <c r="C57" s="281">
        <f ca="1">C29</f>
        <v>6851</v>
      </c>
      <c r="D57" s="1915"/>
      <c r="E57" s="1916"/>
      <c r="F57" s="1917"/>
      <c r="I57" s="1918" t="s">
        <v>1556</v>
      </c>
      <c r="J57" s="1919">
        <f ca="1">IF(OR(M47="住宅",J51&lt;L48,J56="是"),"——",J51-L48)</f>
        <v>24.270000000000003</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1424</v>
      </c>
      <c r="C58" s="360">
        <f ca="1">ROUND(C59+C64+C65+C66,0)</f>
        <v>732</v>
      </c>
      <c r="D58" s="1175" t="s">
        <v>1425</v>
      </c>
      <c r="E58" s="1176"/>
      <c r="F58" s="1177"/>
      <c r="I58" s="1918" t="s">
        <v>1560</v>
      </c>
      <c r="J58" s="1920">
        <f ca="1">IF(J55&lt;0.4,0.4,J55)</f>
        <v>0.40500000000000003</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581.29999999999995</v>
      </c>
      <c r="D59" s="1178" t="s">
        <v>1430</v>
      </c>
      <c r="E59" s="1179" t="s">
        <v>1431</v>
      </c>
      <c r="F59" s="367" t="str">
        <f ca="1">IF(项目基本情况!B11="企业","",IF(INDIRECT("'数据-取费表'!c"&amp;$G$1)="住宅",5%,IF(F49*F50*F51/12/(1+'数据-取费表'!C42)&gt;20000,12%,7%)))</f>
        <v/>
      </c>
      <c r="I59" s="1918" t="s">
        <v>1563</v>
      </c>
      <c r="J59" s="1919">
        <f ca="1">IF(OR(M47="住宅",J51&lt;L48,J56="是"),"——",ROUND(C29*J58,0))</f>
        <v>2775</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6">
        <f t="shared" ref="F60:F66" si="0">F32</f>
        <v>5.6000000000000001E-2</v>
      </c>
      <c r="I60" s="1921" t="s">
        <v>1565</v>
      </c>
      <c r="J60" s="1922">
        <f ca="1">IF(OR(M47="住宅",J51&lt;L48,J56="是"),"0",ROUND(J59/(1+J52)^J53,0))</f>
        <v>128</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1492</v>
      </c>
      <c r="B61" s="1165" t="s">
        <v>1437</v>
      </c>
      <c r="C61" s="24">
        <f ca="1">IF(项目基本情况!B11="自然人","——",IF(D61="按租金收入计税",ROUND(C48*F61,2),IF(D61="按房产原值计税",ROUND(C57*F61*0.7,2),INDIRECT("'数据-取费表'!Aj"&amp;$G$1))))</f>
        <v>575.48</v>
      </c>
      <c r="D61" s="1824" t="s">
        <v>1438</v>
      </c>
      <c r="E61" s="1165" t="s">
        <v>1422</v>
      </c>
      <c r="F61" s="366">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1495</v>
      </c>
      <c r="B62" s="1164" t="s">
        <v>1441</v>
      </c>
      <c r="C62" s="25">
        <f ca="1">IF(项目基本情况!B11="自然人","——",ROUND(F62*F63/10000,2))</f>
        <v>5.82</v>
      </c>
      <c r="D62" s="1180" t="s">
        <v>1442</v>
      </c>
      <c r="E62" s="1165" t="s">
        <v>1443</v>
      </c>
      <c r="F62" s="370">
        <f t="shared" si="0"/>
        <v>14</v>
      </c>
      <c r="I62" s="1925" t="s">
        <v>1570</v>
      </c>
      <c r="J62" s="1926" t="s">
        <v>1571</v>
      </c>
      <c r="K62" s="1926" t="s">
        <v>1572</v>
      </c>
      <c r="L62" s="1926" t="s">
        <v>1573</v>
      </c>
      <c r="M62" s="1927" t="s">
        <v>1574</v>
      </c>
      <c r="O62" s="1880" t="s">
        <v>1046</v>
      </c>
      <c r="P62" s="1881" t="s">
        <v>1575</v>
      </c>
      <c r="Q62" s="1882">
        <f ca="1">Q56+Q57</f>
        <v>21968</v>
      </c>
      <c r="R62" s="1882" t="s">
        <v>1047</v>
      </c>
    </row>
    <row r="63" spans="1:18" s="1838" customFormat="1" ht="13.5" thickBot="1">
      <c r="A63" s="371"/>
      <c r="B63" s="1171"/>
      <c r="C63" s="29"/>
      <c r="D63" s="1181"/>
      <c r="E63" s="1165" t="s">
        <v>1447</v>
      </c>
      <c r="F63" s="347">
        <f t="shared" ca="1" si="0"/>
        <v>4159.97</v>
      </c>
      <c r="I63" s="1925" t="s">
        <v>1576</v>
      </c>
      <c r="J63" s="1926">
        <v>70</v>
      </c>
      <c r="K63" s="1926">
        <v>50</v>
      </c>
      <c r="L63" s="1926">
        <v>80</v>
      </c>
      <c r="M63" s="1928">
        <v>0.02</v>
      </c>
      <c r="O63" s="1865" t="s">
        <v>1577</v>
      </c>
      <c r="P63" s="1835"/>
      <c r="Q63" s="1835"/>
      <c r="R63" s="1835"/>
    </row>
    <row r="64" spans="1:18" s="1838" customFormat="1" ht="13.5" thickBot="1">
      <c r="A64" s="1197" t="s">
        <v>1039</v>
      </c>
      <c r="B64" s="1165" t="s">
        <v>1449</v>
      </c>
      <c r="C64" s="24">
        <f ca="1">ROUND(C57*F64,1)</f>
        <v>137</v>
      </c>
      <c r="D64" s="1179" t="s">
        <v>1482</v>
      </c>
      <c r="E64" s="1165" t="s">
        <v>1422</v>
      </c>
      <c r="F64" s="373">
        <f t="shared" ca="1" si="0"/>
        <v>0.02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13.7</v>
      </c>
      <c r="D65" s="1179" t="s">
        <v>1454</v>
      </c>
      <c r="E65" s="1165" t="s">
        <v>1422</v>
      </c>
      <c r="F65" s="375">
        <f t="shared" ca="1" si="0"/>
        <v>2E-3</v>
      </c>
      <c r="I65" s="1925" t="s">
        <v>1579</v>
      </c>
      <c r="J65" s="1926">
        <v>40</v>
      </c>
      <c r="K65" s="1926">
        <v>30</v>
      </c>
      <c r="L65" s="1926">
        <v>50</v>
      </c>
      <c r="M65" s="1928">
        <v>0.02</v>
      </c>
      <c r="O65" s="1880" t="s">
        <v>1040</v>
      </c>
      <c r="P65" s="1881" t="s">
        <v>1528</v>
      </c>
      <c r="Q65" s="1882">
        <f ca="1">C40+J29</f>
        <v>21968</v>
      </c>
      <c r="R65" s="1882" t="s">
        <v>1529</v>
      </c>
    </row>
    <row r="66" spans="1:18" s="1838" customFormat="1" ht="16.5" thickBot="1">
      <c r="A66" s="1197" t="s">
        <v>1504</v>
      </c>
      <c r="B66" s="1165" t="s">
        <v>1439</v>
      </c>
      <c r="C66" s="24">
        <f ca="1">ROUND(C48*F66,1)</f>
        <v>0</v>
      </c>
      <c r="D66" s="1179" t="s">
        <v>1459</v>
      </c>
      <c r="E66" s="1165" t="s">
        <v>1422</v>
      </c>
      <c r="F66" s="356">
        <f t="shared" ca="1" si="0"/>
        <v>0.02</v>
      </c>
      <c r="O66" s="1880" t="s">
        <v>1041</v>
      </c>
      <c r="P66" s="1881" t="s">
        <v>1558</v>
      </c>
      <c r="Q66" s="1882">
        <f ca="1">L60</f>
        <v>0</v>
      </c>
      <c r="R66" s="1882" t="s">
        <v>1581</v>
      </c>
    </row>
    <row r="67" spans="1:18" s="1838" customFormat="1" ht="16.5" thickBot="1">
      <c r="A67" s="1172" t="s">
        <v>1031</v>
      </c>
      <c r="B67" s="1182" t="s">
        <v>1463</v>
      </c>
      <c r="C67" s="360">
        <f ca="1">C48-C58</f>
        <v>-732</v>
      </c>
      <c r="D67" s="1178" t="s">
        <v>1464</v>
      </c>
      <c r="E67" s="1183"/>
      <c r="F67" s="1184"/>
      <c r="O67" s="1890" t="s">
        <v>1042</v>
      </c>
      <c r="P67" s="1881" t="s">
        <v>1562</v>
      </c>
      <c r="Q67" s="1929">
        <f ca="1">L51</f>
        <v>5366</v>
      </c>
      <c r="R67" s="1882" t="s">
        <v>1582</v>
      </c>
    </row>
    <row r="68" spans="1:18" s="1838" customFormat="1" ht="16.5" thickBot="1">
      <c r="A68" s="1162" t="s">
        <v>1032</v>
      </c>
      <c r="B68" s="1163" t="s">
        <v>1485</v>
      </c>
      <c r="C68" s="345">
        <f ca="1">ROUND(C67*(1-((1+F70)/(1+F68))^F69)/(F68-F70),0)</f>
        <v>-11344</v>
      </c>
      <c r="D68" s="1180" t="s">
        <v>1469</v>
      </c>
      <c r="E68" s="1165" t="s">
        <v>1470</v>
      </c>
      <c r="F68" s="356">
        <f ca="1">F40</f>
        <v>5.5E-2</v>
      </c>
      <c r="O68" s="1890" t="s">
        <v>1043</v>
      </c>
      <c r="P68" s="1930" t="s">
        <v>1583</v>
      </c>
      <c r="Q68" s="1882">
        <f ca="1">ROUND(Q69-Q70*Q71,0)</f>
        <v>305</v>
      </c>
      <c r="R68" s="1882" t="s">
        <v>1051</v>
      </c>
    </row>
    <row r="69" spans="1:18" s="1838" customFormat="1" ht="13.5" thickBot="1">
      <c r="A69" s="1166"/>
      <c r="B69" s="1167"/>
      <c r="C69" s="350"/>
      <c r="D69" s="1185" t="s">
        <v>1473</v>
      </c>
      <c r="E69" s="1165" t="s">
        <v>1474</v>
      </c>
      <c r="F69" s="378">
        <f ca="1">F41</f>
        <v>35.729999999999997</v>
      </c>
      <c r="O69" s="1890" t="s">
        <v>1048</v>
      </c>
      <c r="P69" s="1930" t="s">
        <v>1584</v>
      </c>
      <c r="Q69" s="1882">
        <f ca="1">C39</f>
        <v>887</v>
      </c>
      <c r="R69" s="1882" t="s">
        <v>1529</v>
      </c>
    </row>
    <row r="70" spans="1:18" s="1838" customFormat="1" ht="13.5" thickBot="1">
      <c r="A70" s="1169"/>
      <c r="B70" s="1170"/>
      <c r="C70" s="354"/>
      <c r="D70" s="1181"/>
      <c r="E70" s="1165" t="s">
        <v>1477</v>
      </c>
      <c r="F70" s="1271"/>
      <c r="O70" s="1890" t="s">
        <v>1049</v>
      </c>
      <c r="P70" s="1930" t="s">
        <v>1585</v>
      </c>
      <c r="Q70" s="1882">
        <f ca="1">C13</f>
        <v>6851</v>
      </c>
      <c r="R70" s="1882" t="s">
        <v>1529</v>
      </c>
    </row>
    <row r="71" spans="1:18" s="1838" customFormat="1" ht="13.5" thickBot="1">
      <c r="A71" s="1186" t="s">
        <v>1033</v>
      </c>
      <c r="B71" s="1187" t="s">
        <v>1487</v>
      </c>
      <c r="C71" s="381">
        <f ca="1">ROUND(C68*10000/F71,0)</f>
        <v>-7208</v>
      </c>
      <c r="D71" s="1188" t="s">
        <v>1488</v>
      </c>
      <c r="E71" s="1189" t="s">
        <v>1489</v>
      </c>
      <c r="F71" s="384">
        <f ca="1">F43</f>
        <v>15737.87</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1506</v>
      </c>
      <c r="C75" s="386">
        <f ca="1">ROUND(C13*C76,0)</f>
        <v>582</v>
      </c>
      <c r="D75" s="1838"/>
      <c r="E75" s="1838"/>
      <c r="F75" s="1838"/>
      <c r="K75" s="1864"/>
      <c r="L75" s="1838"/>
      <c r="O75" s="1880" t="s">
        <v>1046</v>
      </c>
      <c r="P75" s="1881" t="s">
        <v>1549</v>
      </c>
      <c r="Q75" s="1882">
        <f ca="1">Q65+Q66</f>
        <v>21968</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0.34399999999999997</v>
      </c>
    </row>
    <row r="80" spans="1:18">
      <c r="B80" s="385" t="s">
        <v>1511</v>
      </c>
      <c r="C80" s="317">
        <f ca="1">ROUND(C75/C39,3)</f>
        <v>0.65600000000000003</v>
      </c>
    </row>
    <row r="81" spans="2:3">
      <c r="B81" s="313" t="s">
        <v>1512</v>
      </c>
      <c r="C81" s="281"/>
    </row>
    <row r="82" spans="2:3">
      <c r="B82" s="316" t="s">
        <v>1513</v>
      </c>
      <c r="C82" s="318">
        <f ca="1">1-C83</f>
        <v>0.68799999999999994</v>
      </c>
    </row>
    <row r="83" spans="2:3">
      <c r="B83" s="316" t="s">
        <v>1514</v>
      </c>
      <c r="C83" s="317">
        <f ca="1">ROUND(C13/C40,3)</f>
        <v>0.312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zoomScaleSheetLayoutView="90" workbookViewId="0">
      <selection activeCell="K49" sqref="K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48</v>
      </c>
      <c r="D1" s="1816" t="s">
        <v>70</v>
      </c>
      <c r="E1" s="1817" t="s">
        <v>1387</v>
      </c>
      <c r="F1" s="1279">
        <f ca="1">J53</f>
        <v>45.74</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11281</v>
      </c>
      <c r="C2" s="1841" t="s">
        <v>1516</v>
      </c>
      <c r="D2" s="1841"/>
      <c r="E2" s="1842"/>
      <c r="F2" s="1843"/>
      <c r="G2" s="1844"/>
      <c r="H2" s="1836"/>
      <c r="I2" s="1836"/>
      <c r="J2" s="1836"/>
      <c r="K2" s="1837"/>
      <c r="L2" s="1836"/>
      <c r="M2" s="1836"/>
    </row>
    <row r="3" spans="1:37" ht="18" customHeight="1" thickBot="1">
      <c r="A3" s="1845" t="s">
        <v>1517</v>
      </c>
      <c r="B3" s="1846">
        <f ca="1">IF(ISERROR(B2*10000/F43),0,ROUND(B2*10000/F43,0))</f>
        <v>4031</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840</v>
      </c>
      <c r="D5" s="1818" t="s">
        <v>1402</v>
      </c>
      <c r="E5" s="1289"/>
      <c r="F5" s="1290"/>
      <c r="G5" s="1847"/>
      <c r="H5" s="343">
        <v>1</v>
      </c>
      <c r="I5" s="344" t="s">
        <v>1401</v>
      </c>
      <c r="J5" s="1288">
        <f ca="1">J6+J10+J12</f>
        <v>0</v>
      </c>
      <c r="K5" s="1818" t="s">
        <v>1402</v>
      </c>
      <c r="L5" s="1289"/>
      <c r="M5" s="1290"/>
    </row>
    <row r="6" spans="1:37" ht="18" customHeight="1">
      <c r="A6" s="1287" t="s">
        <v>1035</v>
      </c>
      <c r="B6" s="3248" t="s">
        <v>1403</v>
      </c>
      <c r="C6" s="1292">
        <f ca="1">ROUND(F6*F8*F7*(1-F9)/10000,0)</f>
        <v>840</v>
      </c>
      <c r="D6" s="163" t="s">
        <v>3024</v>
      </c>
      <c r="E6" s="346" t="s">
        <v>1405</v>
      </c>
      <c r="F6" s="347">
        <f ca="1">INDIRECT("'数据-取费表'!u"&amp;$G$1)</f>
        <v>750</v>
      </c>
      <c r="G6" s="1847"/>
      <c r="H6" s="1287" t="s">
        <v>1035</v>
      </c>
      <c r="I6" s="3248" t="s">
        <v>1403</v>
      </c>
      <c r="J6" s="345">
        <f ca="1">ROUND(M6*M8*M7*(1-M9)/10000,0)</f>
        <v>0</v>
      </c>
      <c r="K6" s="163" t="s">
        <v>3023</v>
      </c>
      <c r="L6" s="346" t="s">
        <v>1405</v>
      </c>
      <c r="M6" s="347">
        <f ca="1">INDIRECT("'数据-取费表'!z"&amp;$G$1)</f>
        <v>0</v>
      </c>
    </row>
    <row r="7" spans="1:37" ht="18" customHeight="1">
      <c r="A7" s="1291"/>
      <c r="B7" s="3249"/>
      <c r="C7" s="1293"/>
      <c r="D7" s="351"/>
      <c r="E7" s="2951" t="s">
        <v>1406</v>
      </c>
      <c r="F7" s="347">
        <f ca="1">IF(INDIRECT("'数据-取费表'!ah"&amp;$G$1)="",INDIRECT("'数据-取费表'!k"&amp;$G$1),INDIRECT("'数据-取费表'!ah"&amp;$G$1))</f>
        <v>1037</v>
      </c>
      <c r="G7" s="1847"/>
      <c r="H7" s="348"/>
      <c r="I7" s="3249"/>
      <c r="J7" s="350"/>
      <c r="K7" s="351"/>
      <c r="L7" s="346" t="s">
        <v>1406</v>
      </c>
      <c r="M7" s="347">
        <f ca="1">F7</f>
        <v>1037</v>
      </c>
    </row>
    <row r="8" spans="1:37" ht="18" customHeight="1">
      <c r="A8" s="348"/>
      <c r="B8" s="3249"/>
      <c r="C8" s="350"/>
      <c r="D8" s="351"/>
      <c r="E8" s="346" t="s">
        <v>1407</v>
      </c>
      <c r="F8" s="347">
        <f ca="1">INDIRECT("'数据-取费表'!ai"&amp;$G$1)</f>
        <v>12</v>
      </c>
      <c r="G8" s="1847"/>
      <c r="H8" s="348"/>
      <c r="I8" s="3249"/>
      <c r="J8" s="350"/>
      <c r="K8" s="351"/>
      <c r="L8" s="346" t="s">
        <v>1407</v>
      </c>
      <c r="M8" s="347">
        <f ca="1">INDIRECT("'数据-取费表'!ai"&amp;$G$1)</f>
        <v>12</v>
      </c>
    </row>
    <row r="9" spans="1:37" ht="18" customHeight="1">
      <c r="A9" s="348"/>
      <c r="B9" s="3250"/>
      <c r="C9" s="350"/>
      <c r="D9" s="351"/>
      <c r="E9" s="346" t="s">
        <v>1408</v>
      </c>
      <c r="F9" s="356">
        <f ca="1">INDIRECT("'数据-取费表'!w"&amp;$G$1)</f>
        <v>0.1</v>
      </c>
      <c r="G9" s="1847"/>
      <c r="H9" s="348"/>
      <c r="I9" s="3250"/>
      <c r="J9" s="350"/>
      <c r="K9" s="351"/>
      <c r="L9" s="357" t="s">
        <v>1408</v>
      </c>
      <c r="M9" s="358">
        <f ca="1">INDIRECT("'数据-取费表'!ab"&amp;$G$1)</f>
        <v>0</v>
      </c>
    </row>
    <row r="10" spans="1:37" ht="18" customHeight="1">
      <c r="A10" s="1287" t="s">
        <v>1039</v>
      </c>
      <c r="B10" s="1819" t="s">
        <v>1409</v>
      </c>
      <c r="C10" s="360">
        <f ca="1">ROUND(IF(F10="押一",C6/12*F11,IF(F10="押二",C6/12*2*F11,IF(F10="押三",C6/12*3*F11,C11*F11))),0)</f>
        <v>0</v>
      </c>
      <c r="D10" s="1820" t="s">
        <v>3033</v>
      </c>
      <c r="E10" s="357" t="s">
        <v>1410</v>
      </c>
      <c r="F10" s="1362" t="s">
        <v>3277</v>
      </c>
      <c r="G10" s="1847"/>
      <c r="H10" s="1287" t="s">
        <v>1039</v>
      </c>
      <c r="I10" s="1819" t="s">
        <v>1409</v>
      </c>
      <c r="J10" s="345">
        <f ca="1">ROUND(IF(M10="押一",J6/12*M11,IF(M10="押二",J6/12*2*M11,IF(M10="押三",J6/12*3*M11,J11*M11))),0)</f>
        <v>0</v>
      </c>
      <c r="K10" s="1820" t="s">
        <v>3032</v>
      </c>
      <c r="L10" s="357" t="s">
        <v>1410</v>
      </c>
      <c r="M10" s="1362" t="s">
        <v>1411</v>
      </c>
    </row>
    <row r="11" spans="1:37" ht="18" customHeight="1">
      <c r="A11" s="352"/>
      <c r="B11" s="1821" t="s">
        <v>1388</v>
      </c>
      <c r="C11" s="1174"/>
      <c r="D11" s="1822"/>
      <c r="E11" s="357" t="s">
        <v>1412</v>
      </c>
      <c r="F11" s="358">
        <f ca="1">'数据-取费表'!B39</f>
        <v>1.4999999999999999E-2</v>
      </c>
      <c r="G11" s="1847"/>
      <c r="H11" s="1295"/>
      <c r="I11" s="1821" t="s">
        <v>1388</v>
      </c>
      <c r="J11" s="1174"/>
      <c r="K11" s="747"/>
      <c r="L11" s="357"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4">
        <f ca="1">ROUND(C29*F13,0)</f>
        <v>11297</v>
      </c>
      <c r="D13" s="1327" t="s">
        <v>1415</v>
      </c>
      <c r="E13" s="1327" t="s">
        <v>1416</v>
      </c>
      <c r="F13" s="1328">
        <f ca="1">INDIRECT("'数据-取费表'!y"&amp;$G$1)</f>
        <v>1</v>
      </c>
      <c r="G13" s="1847"/>
      <c r="H13" s="1325">
        <v>2</v>
      </c>
      <c r="I13" s="1326" t="s">
        <v>1414</v>
      </c>
      <c r="J13" s="1286">
        <f ca="1">ROUND(J14*J15,0)</f>
        <v>0</v>
      </c>
      <c r="K13" s="1333" t="s">
        <v>1415</v>
      </c>
      <c r="L13" s="1848"/>
      <c r="M13" s="1849"/>
    </row>
    <row r="14" spans="1:37" ht="18" customHeight="1">
      <c r="A14" s="1197" t="s">
        <v>1034</v>
      </c>
      <c r="B14" s="346" t="s">
        <v>1417</v>
      </c>
      <c r="C14" s="362">
        <f ca="1">INDIRECT("'数据-取费表'!m"&amp;$G$1)+INDIRECT("'数据-取费表'!t"&amp;$G$1)</f>
        <v>7425</v>
      </c>
      <c r="D14" s="2945" t="s">
        <v>1418</v>
      </c>
      <c r="E14" s="2943"/>
      <c r="F14" s="363"/>
      <c r="G14" s="1847"/>
      <c r="H14" s="1197" t="s">
        <v>1035</v>
      </c>
      <c r="I14" s="346" t="s">
        <v>1419</v>
      </c>
      <c r="J14" s="24">
        <f ca="1">C29</f>
        <v>11297</v>
      </c>
      <c r="K14" s="2950"/>
      <c r="L14" s="975"/>
      <c r="M14" s="976"/>
    </row>
    <row r="15" spans="1:37" s="1854" customFormat="1" ht="18" customHeight="1" thickBot="1">
      <c r="A15" s="1197" t="s">
        <v>1036</v>
      </c>
      <c r="B15" s="346" t="s">
        <v>1420</v>
      </c>
      <c r="C15" s="24">
        <f ca="1">ROUND(C14*F15,0)</f>
        <v>223</v>
      </c>
      <c r="D15" s="364" t="s">
        <v>1421</v>
      </c>
      <c r="E15" s="364" t="s">
        <v>1422</v>
      </c>
      <c r="F15" s="365">
        <f>'数据-取费表'!B33</f>
        <v>0.03</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1423</v>
      </c>
      <c r="C16" s="24">
        <f ca="1">ROUND(INDIRECT("'数据-取费表'!m"&amp;$G$1)*F16,0)</f>
        <v>0</v>
      </c>
      <c r="D16" s="346" t="s">
        <v>1421</v>
      </c>
      <c r="E16" s="346" t="s">
        <v>1422</v>
      </c>
      <c r="F16" s="366">
        <f ca="1">IF(INDIRECT("'数据-取费表'!c"&amp;$G$1)="住宅",'数据-取费表'!B34,0)</f>
        <v>0</v>
      </c>
      <c r="G16" s="1847"/>
      <c r="H16" s="1325" t="s">
        <v>1030</v>
      </c>
      <c r="I16" s="1326" t="s">
        <v>1424</v>
      </c>
      <c r="J16" s="354">
        <f ca="1">ROUND(J17+J22+J23+J24,0)</f>
        <v>331</v>
      </c>
      <c r="K16" s="1333" t="s">
        <v>1425</v>
      </c>
      <c r="L16" s="2946"/>
      <c r="M16" s="1290"/>
    </row>
    <row r="17" spans="1:37" s="1854" customFormat="1" ht="18" customHeight="1">
      <c r="A17" s="1197" t="s">
        <v>1390</v>
      </c>
      <c r="B17" s="346" t="s">
        <v>1426</v>
      </c>
      <c r="C17" s="24">
        <f ca="1">ROUND(F17*(F43+INDIRECT("'数据-取费表'!S"&amp;$G$1))/10000,0)</f>
        <v>599</v>
      </c>
      <c r="D17" s="346" t="s">
        <v>1427</v>
      </c>
      <c r="E17" s="346" t="s">
        <v>1428</v>
      </c>
      <c r="F17" s="26">
        <f>'数据-取费表'!B35</f>
        <v>200</v>
      </c>
      <c r="G17" s="1850"/>
      <c r="H17" s="1197" t="s">
        <v>1035</v>
      </c>
      <c r="I17" s="346" t="s">
        <v>1429</v>
      </c>
      <c r="J17" s="24">
        <f ca="1">ROUND(IF(项目基本情况!B11="自然人",J5*M17,J18+J19+J20),1)</f>
        <v>105.3</v>
      </c>
      <c r="K17" s="2945" t="s">
        <v>1430</v>
      </c>
      <c r="L17" s="294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1432</v>
      </c>
      <c r="C18" s="24">
        <f ca="1">ROUND(C14*F18,0)</f>
        <v>111</v>
      </c>
      <c r="D18" s="346" t="s">
        <v>1421</v>
      </c>
      <c r="E18" s="346" t="s">
        <v>1422</v>
      </c>
      <c r="F18" s="366">
        <f>'数据-取费表'!B36</f>
        <v>1.4999999999999999E-2</v>
      </c>
      <c r="G18" s="1850"/>
      <c r="H18" s="1197" t="s">
        <v>1034</v>
      </c>
      <c r="I18" s="346" t="s">
        <v>1433</v>
      </c>
      <c r="J18" s="24">
        <f ca="1">ROUND(J5*M18/(1+'数据-取费表'!C42),2)</f>
        <v>0</v>
      </c>
      <c r="K18" s="294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1435</v>
      </c>
      <c r="C19" s="24">
        <f ca="1">SUM(C14:C18)</f>
        <v>8358</v>
      </c>
      <c r="D19" s="139" t="s">
        <v>1436</v>
      </c>
      <c r="E19" s="2949"/>
      <c r="F19" s="26"/>
      <c r="G19" s="1847"/>
      <c r="H19" s="1197" t="s">
        <v>1036</v>
      </c>
      <c r="I19" s="346" t="s">
        <v>1437</v>
      </c>
      <c r="J19" s="24">
        <f ca="1">IF(K19="按租金收入计税",ROUND(J5*M19,2),ROUND(C29*M19*0.7,2))</f>
        <v>94.89</v>
      </c>
      <c r="K19" s="1824" t="s">
        <v>1438</v>
      </c>
      <c r="L19" s="346" t="s">
        <v>1422</v>
      </c>
      <c r="M19" s="366">
        <f>IF(K19="按租金收入计税",'数据-取费表'!B51,'数据-取费表'!B50)</f>
        <v>1.2E-2</v>
      </c>
    </row>
    <row r="20" spans="1:37" s="1854" customFormat="1" ht="18" customHeight="1">
      <c r="A20" s="1197" t="s">
        <v>1039</v>
      </c>
      <c r="B20" s="346" t="s">
        <v>1439</v>
      </c>
      <c r="C20" s="24">
        <f ca="1">ROUND(C19*F20,0)</f>
        <v>167</v>
      </c>
      <c r="D20" s="368" t="s">
        <v>1440</v>
      </c>
      <c r="E20" s="346" t="s">
        <v>1422</v>
      </c>
      <c r="F20" s="366">
        <f>'数据-取费表'!B37</f>
        <v>0.02</v>
      </c>
      <c r="G20" s="1850"/>
      <c r="H20" s="1197" t="s">
        <v>1389</v>
      </c>
      <c r="I20" s="163" t="s">
        <v>1441</v>
      </c>
      <c r="J20" s="25">
        <f ca="1">ROUND(M20*M21/10000,2)</f>
        <v>10.36</v>
      </c>
      <c r="K20" s="369" t="s">
        <v>1442</v>
      </c>
      <c r="L20" s="346" t="s">
        <v>1443</v>
      </c>
      <c r="M20" s="370">
        <f>'数据-取费表'!B52</f>
        <v>14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1444</v>
      </c>
      <c r="C21" s="24" t="s">
        <v>18</v>
      </c>
      <c r="D21" s="368" t="s">
        <v>1445</v>
      </c>
      <c r="E21" s="346" t="s">
        <v>1446</v>
      </c>
      <c r="F21" s="366">
        <f>'数据-取费表'!B38</f>
        <v>0.02</v>
      </c>
      <c r="G21" s="1850"/>
      <c r="H21" s="371"/>
      <c r="I21" s="355"/>
      <c r="J21" s="29"/>
      <c r="K21" s="372"/>
      <c r="L21" s="346" t="s">
        <v>1447</v>
      </c>
      <c r="M21" s="347">
        <f ca="1">INDIRECT("'数据-取费表'!r"&amp;$G$1)</f>
        <v>7397.55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1448</v>
      </c>
      <c r="C22" s="24"/>
      <c r="D22" s="139" t="str">
        <f>IF(F23&lt;=1,"单利计息。","复利计息。")&amp;"建造成本、管理费用、销售费用产生的利息。"</f>
        <v>复利计息。建造成本、管理费用、销售费用产生的利息。</v>
      </c>
      <c r="E22" s="2949"/>
      <c r="F22" s="26"/>
      <c r="G22" s="1847"/>
      <c r="H22" s="1197" t="s">
        <v>1039</v>
      </c>
      <c r="I22" s="346" t="s">
        <v>1449</v>
      </c>
      <c r="J22" s="24">
        <f ca="1">ROUND(J14*M22,1)</f>
        <v>225.9</v>
      </c>
      <c r="K22" s="2944" t="s">
        <v>1450</v>
      </c>
      <c r="L22" s="346" t="s">
        <v>1422</v>
      </c>
      <c r="M22" s="373">
        <f ca="1">INDIRECT("'数据-取费表'!Ak"&amp;$G$1)</f>
        <v>0.02</v>
      </c>
    </row>
    <row r="23" spans="1:37" s="1854" customFormat="1" ht="18" customHeight="1">
      <c r="A23" s="1197" t="s">
        <v>1034</v>
      </c>
      <c r="B23" s="346" t="s">
        <v>1451</v>
      </c>
      <c r="C23" s="24">
        <f ca="1">IF('数据-取费表'!B22&lt;=1,ROUND(C19*F24*F23/2,0)+ROUND(C20*F24*F23/2,0),ROUND(C19*(POWER((1+F24),F23/2)-1),0)+ROUND(C20*(POWER((1+F24),F23/2)-1),0))</f>
        <v>615</v>
      </c>
      <c r="D23" s="374" t="str">
        <f>IF(F23&lt;=1,"(建造成本+管理费用)×利率×(建设周期÷2)","(建造成本+管理费用)×((1+利率)^(建设周期÷2)-1)")</f>
        <v>(建造成本+管理费用)×((1+利率)^(建设周期÷2)-1)</v>
      </c>
      <c r="E23" s="346" t="s">
        <v>1452</v>
      </c>
      <c r="F23" s="370">
        <f>'数据-取费表'!B20</f>
        <v>3</v>
      </c>
      <c r="G23" s="1850"/>
      <c r="H23" s="1197" t="s">
        <v>1075</v>
      </c>
      <c r="I23" s="346" t="s">
        <v>1453</v>
      </c>
      <c r="J23" s="24">
        <f ca="1">ROUND(J13*M23,1)</f>
        <v>0</v>
      </c>
      <c r="K23" s="2944" t="s">
        <v>1454</v>
      </c>
      <c r="L23" s="346" t="s">
        <v>1422</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0"/>
      <c r="H24" s="1335" t="s">
        <v>1393</v>
      </c>
      <c r="I24" s="1336" t="s">
        <v>1439</v>
      </c>
      <c r="J24" s="1337">
        <f ca="1">ROUND(J5*M24,1)</f>
        <v>0</v>
      </c>
      <c r="K24" s="1338" t="s">
        <v>1459</v>
      </c>
      <c r="L24" s="1336" t="s">
        <v>1422</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6" t="s">
        <v>1461</v>
      </c>
      <c r="C25" s="24"/>
      <c r="D25" s="139" t="s">
        <v>1462</v>
      </c>
      <c r="E25" s="2949"/>
      <c r="F25" s="26"/>
      <c r="G25" s="1847"/>
      <c r="H25" s="1325" t="s">
        <v>1031</v>
      </c>
      <c r="I25" s="1340" t="s">
        <v>1463</v>
      </c>
      <c r="J25" s="354">
        <f ca="1">J5-J16</f>
        <v>-331</v>
      </c>
      <c r="K25" s="1341" t="s">
        <v>1464</v>
      </c>
      <c r="L25" s="1342"/>
      <c r="M25" s="1343"/>
    </row>
    <row r="26" spans="1:37">
      <c r="A26" s="1197" t="s">
        <v>1034</v>
      </c>
      <c r="B26" s="346" t="s">
        <v>1465</v>
      </c>
      <c r="C26" s="24">
        <f ca="1">ROUND((C19+C20)*F26,0)</f>
        <v>1279</v>
      </c>
      <c r="D26" s="368" t="s">
        <v>1466</v>
      </c>
      <c r="E26" s="357" t="s">
        <v>1467</v>
      </c>
      <c r="F26" s="356">
        <f ca="1">INDIRECT("'数据-取费表'!q"&amp;$G$1)</f>
        <v>0.15</v>
      </c>
      <c r="G26" s="1847"/>
      <c r="H26" s="343" t="s">
        <v>1032</v>
      </c>
      <c r="I26" s="344" t="s">
        <v>1468</v>
      </c>
      <c r="J26" s="345">
        <f ca="1">IF(J5&lt;&gt;0,ROUND(J25*(1-((1+M28)/(1+M26))^M27)/(M26-M28),0),0)</f>
        <v>0</v>
      </c>
      <c r="K26" s="369" t="s">
        <v>1469</v>
      </c>
      <c r="L26" s="346" t="s">
        <v>1470</v>
      </c>
      <c r="M26" s="356">
        <f ca="1">INDIRECT("'数据-取费表'!I"&amp;$G$1)</f>
        <v>0.05</v>
      </c>
    </row>
    <row r="27" spans="1:37" ht="18" customHeight="1">
      <c r="A27" s="1197" t="s">
        <v>1036</v>
      </c>
      <c r="B27" s="346" t="s">
        <v>1471</v>
      </c>
      <c r="C27" s="24">
        <f ca="1">ROUND(F21*F26,4)</f>
        <v>3.0000000000000001E-3</v>
      </c>
      <c r="D27" s="368" t="s">
        <v>1472</v>
      </c>
      <c r="E27" s="364"/>
      <c r="F27" s="365"/>
      <c r="G27" s="1847"/>
      <c r="H27" s="348"/>
      <c r="I27" s="349"/>
      <c r="J27" s="350"/>
      <c r="K27" s="377" t="s">
        <v>1473</v>
      </c>
      <c r="L27" s="346" t="s">
        <v>1474</v>
      </c>
      <c r="M27" s="378">
        <f ca="1">INDIRECT("'数据-取费表'!ag"&amp;$G$1)</f>
        <v>0</v>
      </c>
    </row>
    <row r="28" spans="1:37" s="1854" customFormat="1" ht="18" customHeight="1">
      <c r="A28" s="1197"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11297</v>
      </c>
      <c r="D29" s="1338"/>
      <c r="E29" s="1336"/>
      <c r="F29" s="1339"/>
      <c r="G29" s="1850"/>
      <c r="H29" s="379" t="s">
        <v>1033</v>
      </c>
      <c r="I29" s="380" t="s">
        <v>1479</v>
      </c>
      <c r="J29" s="381">
        <f ca="1">ROUND(J26/(1+F40)^F41,0)</f>
        <v>0</v>
      </c>
      <c r="K29" s="382" t="s">
        <v>1480</v>
      </c>
      <c r="L29" s="383"/>
      <c r="M29" s="384">
        <f ca="1">INDIRECT("'数据-取费表'!k"&amp;$G$1)</f>
        <v>27986.240000000002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4">
        <f ca="1">ROUND(C31+C36+C37+C38,0)</f>
        <v>421</v>
      </c>
      <c r="D30" s="1333" t="s">
        <v>1425</v>
      </c>
      <c r="E30" s="2946"/>
      <c r="F30" s="1290"/>
      <c r="G30" s="1847"/>
      <c r="H30" s="744"/>
      <c r="I30" s="745"/>
      <c r="J30" s="746"/>
      <c r="K30" s="747"/>
      <c r="L30" s="748"/>
      <c r="M30" s="749"/>
    </row>
    <row r="31" spans="1:37" ht="18" customHeight="1">
      <c r="A31" s="1197" t="s">
        <v>1035</v>
      </c>
      <c r="B31" s="346" t="s">
        <v>1429</v>
      </c>
      <c r="C31" s="24">
        <f ca="1">ROUND(IF(项目基本情况!B11="自然人",C5*F31,C32+C33+C34),1)</f>
        <v>156</v>
      </c>
      <c r="D31" s="2945" t="s">
        <v>1430</v>
      </c>
      <c r="E31" s="294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1433</v>
      </c>
      <c r="C32" s="24">
        <f ca="1">IF(项目基本情况!B11="自然人","——",ROUND(C5*F32/(1+'数据-取费表'!C42),2))</f>
        <v>44.8</v>
      </c>
      <c r="D32" s="2944" t="s">
        <v>1434</v>
      </c>
      <c r="E32" s="346" t="s">
        <v>1422</v>
      </c>
      <c r="F32" s="376">
        <f>'数据-取费表'!B41</f>
        <v>5.6000000000000001E-2</v>
      </c>
      <c r="G32" s="1847"/>
      <c r="H32" s="744"/>
      <c r="I32" s="745"/>
      <c r="J32" s="746"/>
      <c r="K32" s="747"/>
      <c r="L32" s="748"/>
      <c r="M32" s="749"/>
    </row>
    <row r="33" spans="1:18" ht="18" customHeight="1">
      <c r="A33" s="1197" t="s">
        <v>1036</v>
      </c>
      <c r="B33" s="346" t="s">
        <v>1437</v>
      </c>
      <c r="C33" s="24">
        <f ca="1">IF(项目基本情况!B11="自然人","——",IF(D33="按租金收入计税",ROUND(C5*F33,2),IF(D33="按房产原值计税",ROUND(C29*F33*0.7,2),INDIRECT("'数据-取费表'!Aj"&amp;$G$1))))</f>
        <v>100.8</v>
      </c>
      <c r="D33" s="1824" t="s">
        <v>3274</v>
      </c>
      <c r="E33" s="346" t="s">
        <v>1422</v>
      </c>
      <c r="F33" s="366">
        <f>IF(D33="按票据","——",IF(D33="按租金收入计税",'数据-取费表'!B51,'数据-取费表'!B50))</f>
        <v>0.12</v>
      </c>
      <c r="G33" s="1847"/>
      <c r="H33" s="1855"/>
      <c r="I33" s="1856"/>
      <c r="J33" s="1857"/>
      <c r="K33" s="1858"/>
      <c r="L33" s="1855"/>
      <c r="M33" s="1855"/>
    </row>
    <row r="34" spans="1:18" ht="18" customHeight="1">
      <c r="A34" s="1287" t="s">
        <v>1389</v>
      </c>
      <c r="B34" s="163" t="s">
        <v>1441</v>
      </c>
      <c r="C34" s="25">
        <f ca="1">IF(项目基本情况!B11="自然人","——",ROUND(F34*F35/10000,2))</f>
        <v>10.36</v>
      </c>
      <c r="D34" s="369" t="s">
        <v>1442</v>
      </c>
      <c r="E34" s="346" t="s">
        <v>1443</v>
      </c>
      <c r="F34" s="370">
        <f>'数据-取费表'!B52</f>
        <v>14</v>
      </c>
      <c r="G34" s="1847"/>
      <c r="H34" s="744"/>
      <c r="I34" s="1856"/>
      <c r="J34" s="1857"/>
      <c r="K34" s="1859"/>
      <c r="L34" s="1860"/>
      <c r="M34" s="1860"/>
    </row>
    <row r="35" spans="1:18" ht="18" customHeight="1">
      <c r="A35" s="1349"/>
      <c r="B35" s="1347"/>
      <c r="C35" s="29"/>
      <c r="D35" s="372"/>
      <c r="E35" s="346" t="s">
        <v>1447</v>
      </c>
      <c r="F35" s="347">
        <f ca="1">INDIRECT("'数据-取费表'!r"&amp;$G$1)</f>
        <v>7397.55</v>
      </c>
      <c r="G35" s="1847"/>
      <c r="H35" s="744"/>
      <c r="I35" s="1856"/>
      <c r="J35" s="1857"/>
      <c r="K35" s="1858"/>
      <c r="L35" s="1855"/>
      <c r="M35" s="1855"/>
    </row>
    <row r="36" spans="1:18" ht="18" customHeight="1">
      <c r="A36" s="1348" t="s">
        <v>1039</v>
      </c>
      <c r="B36" s="346" t="s">
        <v>1449</v>
      </c>
      <c r="C36" s="24">
        <f ca="1">ROUND(C29*F36,1)</f>
        <v>225.9</v>
      </c>
      <c r="D36" s="2944" t="s">
        <v>1482</v>
      </c>
      <c r="E36" s="346" t="s">
        <v>1422</v>
      </c>
      <c r="F36" s="373">
        <f ca="1">INDIRECT("'数据-取费表'!Ak"&amp;$G$1)</f>
        <v>0.02</v>
      </c>
      <c r="G36" s="1847"/>
      <c r="H36" s="1855"/>
      <c r="I36" s="1856"/>
      <c r="J36" s="1857"/>
      <c r="K36" s="750"/>
      <c r="L36" s="1855"/>
      <c r="M36" s="1855"/>
    </row>
    <row r="37" spans="1:18" ht="18" customHeight="1">
      <c r="A37" s="1197" t="s">
        <v>1075</v>
      </c>
      <c r="B37" s="346" t="s">
        <v>1453</v>
      </c>
      <c r="C37" s="24">
        <f ca="1">ROUND(C13*F37,1)</f>
        <v>22.6</v>
      </c>
      <c r="D37" s="2944" t="s">
        <v>1454</v>
      </c>
      <c r="E37" s="346" t="s">
        <v>1422</v>
      </c>
      <c r="F37" s="375">
        <f ca="1">INDIRECT("'数据-取费表'!Al"&amp;$G$1)</f>
        <v>2E-3</v>
      </c>
      <c r="G37" s="1847"/>
      <c r="H37" s="1855"/>
      <c r="I37" s="1856"/>
      <c r="J37" s="1857"/>
      <c r="K37" s="750"/>
      <c r="L37" s="1855"/>
      <c r="M37" s="1855"/>
    </row>
    <row r="38" spans="1:18" ht="18" customHeight="1" thickBot="1">
      <c r="A38" s="1335" t="s">
        <v>1393</v>
      </c>
      <c r="B38" s="1336" t="s">
        <v>1439</v>
      </c>
      <c r="C38" s="1337">
        <f ca="1">ROUND(C5*F38,1)</f>
        <v>16.8</v>
      </c>
      <c r="D38" s="1338" t="s">
        <v>1459</v>
      </c>
      <c r="E38" s="1336" t="s">
        <v>1422</v>
      </c>
      <c r="F38" s="1332">
        <f ca="1">INDIRECT("'数据-取费表'!Am"&amp;$G$1)</f>
        <v>0.02</v>
      </c>
      <c r="G38" s="1847"/>
      <c r="H38" s="1855"/>
      <c r="I38" s="1856"/>
      <c r="J38" s="1857"/>
      <c r="K38" s="1861"/>
      <c r="L38" s="1855"/>
      <c r="M38" s="1855"/>
    </row>
    <row r="39" spans="1:18" ht="24.6" customHeight="1" thickTop="1">
      <c r="A39" s="1325" t="s">
        <v>1031</v>
      </c>
      <c r="B39" s="1340" t="s">
        <v>1463</v>
      </c>
      <c r="C39" s="354">
        <f ca="1">C5-C30</f>
        <v>419</v>
      </c>
      <c r="D39" s="1341" t="s">
        <v>1464</v>
      </c>
      <c r="E39" s="1342"/>
      <c r="F39" s="1343"/>
      <c r="G39" s="1847"/>
      <c r="H39" s="1855"/>
      <c r="I39" s="1856"/>
      <c r="J39" s="1857"/>
      <c r="K39" s="1861"/>
      <c r="L39" s="1855"/>
      <c r="M39" s="1855"/>
    </row>
    <row r="40" spans="1:18" ht="18" customHeight="1">
      <c r="A40" s="343" t="s">
        <v>1032</v>
      </c>
      <c r="B40" s="344" t="s">
        <v>1485</v>
      </c>
      <c r="C40" s="345">
        <f ca="1">ROUND(C39*(1-((1+F42)/(1+F40))^F41)/(F40-F42),0)</f>
        <v>11193</v>
      </c>
      <c r="D40" s="369" t="s">
        <v>1469</v>
      </c>
      <c r="E40" s="346" t="s">
        <v>1470</v>
      </c>
      <c r="F40" s="356">
        <f ca="1">INDIRECT("'数据-取费表'!I"&amp;$G$1)</f>
        <v>0.05</v>
      </c>
      <c r="G40" s="1847"/>
      <c r="H40" s="1835"/>
      <c r="I40" s="1856"/>
      <c r="J40" s="1857"/>
      <c r="K40" s="1861"/>
      <c r="L40" s="1835"/>
      <c r="M40" s="1835"/>
    </row>
    <row r="41" spans="1:18" ht="18" customHeight="1">
      <c r="A41" s="348"/>
      <c r="B41" s="349"/>
      <c r="C41" s="350"/>
      <c r="D41" s="377" t="s">
        <v>1486</v>
      </c>
      <c r="E41" s="346" t="s">
        <v>1474</v>
      </c>
      <c r="F41" s="3003">
        <f ca="1">IF(INDIRECT("'数据-取费表'!af"&amp;$G$1)=0,INDIRECT("'数据-取费表'!ae"&amp;$G$1),INDIRECT("'数据-取费表'!af"&amp;$G$1))</f>
        <v>45.74</v>
      </c>
      <c r="G41" s="1847"/>
      <c r="H41" s="731"/>
      <c r="I41" s="1856"/>
      <c r="J41" s="1857"/>
      <c r="K41" s="750"/>
      <c r="L41" s="731"/>
      <c r="M41" s="731"/>
    </row>
    <row r="42" spans="1:18" ht="18" customHeight="1">
      <c r="A42" s="352"/>
      <c r="B42" s="353"/>
      <c r="C42" s="354"/>
      <c r="D42" s="372"/>
      <c r="E42" s="346" t="s">
        <v>1477</v>
      </c>
      <c r="F42" s="356">
        <f ca="1">INDIRECT("'数据-取费表'!v"&amp;$G$1)</f>
        <v>2.5000000000000001E-2</v>
      </c>
      <c r="G42" s="1847"/>
      <c r="H42" s="731"/>
      <c r="I42" s="1856"/>
      <c r="J42" s="1857"/>
      <c r="K42" s="750"/>
      <c r="L42" s="731"/>
      <c r="M42" s="731"/>
    </row>
    <row r="43" spans="1:18" ht="18" customHeight="1" thickBot="1">
      <c r="A43" s="379" t="s">
        <v>1033</v>
      </c>
      <c r="B43" s="380" t="s">
        <v>1487</v>
      </c>
      <c r="C43" s="381">
        <f ca="1">ROUND(C40*10000/F43,0)</f>
        <v>3999</v>
      </c>
      <c r="D43" s="382" t="s">
        <v>1488</v>
      </c>
      <c r="E43" s="383" t="s">
        <v>1489</v>
      </c>
      <c r="F43" s="384">
        <f ca="1">INDIRECT("'数据-取费表'!k"&amp;$G$1)</f>
        <v>27986.240000000002</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-32759</v>
      </c>
      <c r="D46" s="1868" t="str">
        <f>C2</f>
        <v>万元</v>
      </c>
      <c r="E46" s="1862"/>
      <c r="F46" s="1862"/>
      <c r="I46" s="1869" t="s">
        <v>1521</v>
      </c>
      <c r="J46" s="1870"/>
      <c r="K46" s="1871"/>
      <c r="L46" s="1872">
        <f ca="1">IF(M47="住宅",0,IF(L48&gt;J51,L60,J60))</f>
        <v>88</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91"/>
      <c r="I47" s="1876" t="s">
        <v>1526</v>
      </c>
      <c r="J47" s="1877" t="s">
        <v>3272</v>
      </c>
      <c r="K47" s="1878" t="s">
        <v>1527</v>
      </c>
      <c r="L47" s="1879">
        <f ca="1">INDIRECT("'数据-取费表'!d"&amp;$G$1)</f>
        <v>50</v>
      </c>
      <c r="M47" s="1834" t="str">
        <f>IF(ISNUMBER(FIND("住宅",C1)),"住宅","非住宅")</f>
        <v>非住宅</v>
      </c>
      <c r="O47" s="1880" t="s">
        <v>1040</v>
      </c>
      <c r="P47" s="1881" t="s">
        <v>1528</v>
      </c>
      <c r="Q47" s="1882">
        <f ca="1">C40+J29</f>
        <v>11193</v>
      </c>
      <c r="R47" s="1882" t="s">
        <v>1529</v>
      </c>
    </row>
    <row r="48" spans="1:18" s="1838" customFormat="1" ht="28.5" thickBot="1">
      <c r="A48" s="1356" t="s">
        <v>1135</v>
      </c>
      <c r="B48" s="344" t="s">
        <v>1401</v>
      </c>
      <c r="C48" s="2948">
        <f ca="1">C49+C53+C55</f>
        <v>0</v>
      </c>
      <c r="D48" s="1358"/>
      <c r="E48" s="1359"/>
      <c r="F48" s="1177"/>
      <c r="G48" s="791"/>
      <c r="H48" s="792"/>
      <c r="I48" s="1883" t="s">
        <v>1530</v>
      </c>
      <c r="J48" s="1884" t="s">
        <v>3273</v>
      </c>
      <c r="K48" s="1885" t="s">
        <v>1531</v>
      </c>
      <c r="L48" s="1886">
        <f ca="1">INDIRECT("'数据-取费表'!f"&amp;$G$1)</f>
        <v>45.74</v>
      </c>
      <c r="O48" s="1880" t="s">
        <v>1041</v>
      </c>
      <c r="P48" s="1881" t="s">
        <v>1532</v>
      </c>
      <c r="Q48" s="1882">
        <f ca="1">J60</f>
        <v>88</v>
      </c>
      <c r="R48" s="1882" t="s">
        <v>1533</v>
      </c>
    </row>
    <row r="49" spans="1:18" s="1838" customFormat="1" ht="13.5" thickBot="1">
      <c r="A49" s="1190" t="s">
        <v>1136</v>
      </c>
      <c r="B49" s="1825" t="s">
        <v>1490</v>
      </c>
      <c r="C49" s="1360">
        <f ca="1">ROUND(F49*F51*F50*(1-F52)/10000,0)</f>
        <v>0</v>
      </c>
      <c r="D49" s="1272" t="s">
        <v>3025</v>
      </c>
      <c r="E49" s="1826" t="s">
        <v>1491</v>
      </c>
      <c r="F49" s="1277"/>
      <c r="G49" s="1887"/>
      <c r="H49" s="792"/>
      <c r="I49" s="1883" t="s">
        <v>1534</v>
      </c>
      <c r="J49" s="1889">
        <v>2018</v>
      </c>
      <c r="K49" s="1885" t="s">
        <v>1535</v>
      </c>
      <c r="L49" s="1889"/>
      <c r="O49" s="1890" t="s">
        <v>1042</v>
      </c>
      <c r="P49" s="1881" t="s">
        <v>1536</v>
      </c>
      <c r="Q49" s="1882">
        <f ca="1">C29</f>
        <v>11297</v>
      </c>
      <c r="R49" s="1882" t="s">
        <v>1529</v>
      </c>
    </row>
    <row r="50" spans="1:18" s="1838" customFormat="1" ht="13.5" thickBot="1">
      <c r="A50" s="1191"/>
      <c r="B50" s="1194"/>
      <c r="C50" s="1364"/>
      <c r="D50" s="1168"/>
      <c r="E50" s="1273" t="s">
        <v>1406</v>
      </c>
      <c r="F50" s="1274">
        <f ca="1">F7</f>
        <v>1037</v>
      </c>
      <c r="H50" s="792"/>
      <c r="I50" s="1883" t="s">
        <v>1537</v>
      </c>
      <c r="J50" s="1891">
        <f>SUMPRODUCT((I63:I65=J47)*(J62:L62=J48)*(J63:L65))</f>
        <v>60</v>
      </c>
      <c r="K50" s="1885" t="s">
        <v>1538</v>
      </c>
      <c r="L50" s="1889"/>
      <c r="M50" s="1892"/>
      <c r="O50" s="1890" t="s">
        <v>1043</v>
      </c>
      <c r="P50" s="1881" t="s">
        <v>1539</v>
      </c>
      <c r="Q50" s="1893">
        <f ca="1">J58</f>
        <v>0.4</v>
      </c>
      <c r="R50" s="1882"/>
    </row>
    <row r="51" spans="1:18" s="1838" customFormat="1" ht="13.5" thickBot="1">
      <c r="A51" s="1192"/>
      <c r="B51" s="1194"/>
      <c r="C51" s="1195"/>
      <c r="D51" s="1168"/>
      <c r="E51" s="1196" t="s">
        <v>1407</v>
      </c>
      <c r="F51" s="347">
        <f ca="1">F8</f>
        <v>12</v>
      </c>
      <c r="I51" s="1894" t="s">
        <v>1540</v>
      </c>
      <c r="J51" s="1895">
        <f>IF(J49="",J50,J49+J50-YEAR('数据-取费表'!B2))</f>
        <v>60</v>
      </c>
      <c r="K51" s="1896" t="s">
        <v>1541</v>
      </c>
      <c r="L51" s="1897">
        <f ca="1">ROUND(-PV(INDIRECT("'数据-取费表'!h"&amp;$G$1),L48,(C39-C13*C76),0),0)</f>
        <v>-11281</v>
      </c>
      <c r="M51" s="1898"/>
      <c r="O51" s="1890" t="s">
        <v>1044</v>
      </c>
      <c r="P51" s="1881" t="s">
        <v>1542</v>
      </c>
      <c r="Q51" s="1893">
        <f>J52</f>
        <v>0.09</v>
      </c>
      <c r="R51" s="1882"/>
    </row>
    <row r="52" spans="1:18" s="1838" customFormat="1" ht="13.5" thickBot="1">
      <c r="A52" s="1192"/>
      <c r="B52" s="1194"/>
      <c r="C52" s="1195"/>
      <c r="D52" s="1168"/>
      <c r="E52" s="1196" t="s">
        <v>1408</v>
      </c>
      <c r="F52" s="1271"/>
      <c r="I52" s="1899" t="s">
        <v>1543</v>
      </c>
      <c r="J52" s="1900">
        <v>0.09</v>
      </c>
      <c r="K52" s="1899" t="s">
        <v>1544</v>
      </c>
      <c r="L52" s="1900"/>
      <c r="O52" s="1890" t="s">
        <v>1045</v>
      </c>
      <c r="P52" s="1881" t="s">
        <v>1545</v>
      </c>
      <c r="Q52" s="1882">
        <f ca="1">J53</f>
        <v>45.74</v>
      </c>
      <c r="R52" s="1882" t="s">
        <v>1546</v>
      </c>
    </row>
    <row r="53" spans="1:18" s="1838" customFormat="1" ht="24.75" thickBot="1">
      <c r="A53" s="1401" t="s">
        <v>1137</v>
      </c>
      <c r="B53" s="1827" t="s">
        <v>1409</v>
      </c>
      <c r="C53" s="360">
        <f ca="1">ROUND(IF(F53="押一",C49/12*F11,IF(F53="押二",C49/12*2*F11,IF(F53="押三",C49/12*3*F11,C54*F11))),0)</f>
        <v>0</v>
      </c>
      <c r="D53" s="1820" t="s">
        <v>3032</v>
      </c>
      <c r="E53" s="357" t="s">
        <v>1410</v>
      </c>
      <c r="F53" s="1362"/>
      <c r="I53" s="1901" t="s">
        <v>1547</v>
      </c>
      <c r="J53" s="1902">
        <f ca="1">IF(M47="住宅",IF(D1="——",MAX(J51,L48),IF(D1="在建（套用方法）",MAX(J51,L48-'数据-取费表'!B24),MAX(J51,L48-'数据-取费表'!B20))),IF(D1="——",MIN(J51,L48),IF(D1="在建（套用方法）",MIN(J51,L48-'数据-取费表'!B24),IF(D1="土地（套用方法）",MIN(J51,L48-'数据-取费表'!B20)))))</f>
        <v>45.74</v>
      </c>
      <c r="K53" s="3246" t="s">
        <v>1548</v>
      </c>
      <c r="L53" s="3247"/>
      <c r="O53" s="1880" t="s">
        <v>1046</v>
      </c>
      <c r="P53" s="1881" t="s">
        <v>1549</v>
      </c>
      <c r="Q53" s="1882">
        <f ca="1">Q47+Q48</f>
        <v>11281</v>
      </c>
      <c r="R53" s="1882" t="s">
        <v>1047</v>
      </c>
    </row>
    <row r="54" spans="1:18" s="1838" customFormat="1" ht="13.5" thickBot="1">
      <c r="A54" s="1402"/>
      <c r="B54" s="1821" t="s">
        <v>1388</v>
      </c>
      <c r="C54" s="1174"/>
      <c r="D54" s="1820"/>
      <c r="E54" s="294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2947"/>
      <c r="F55" s="1903"/>
      <c r="I55" s="1906" t="s">
        <v>1551</v>
      </c>
      <c r="J55" s="1907">
        <f ca="1">ROUND(IF(J47="钢混",J57/J50,1-(1-2%)*(J50-J57)/J50),3)</f>
        <v>0.23799999999999999</v>
      </c>
      <c r="K55" s="1908" t="s">
        <v>1552</v>
      </c>
      <c r="L55" s="1909" t="s">
        <v>1553</v>
      </c>
      <c r="O55" s="1873" t="s">
        <v>1522</v>
      </c>
      <c r="P55" s="1874" t="s">
        <v>1523</v>
      </c>
      <c r="Q55" s="1875" t="s">
        <v>1524</v>
      </c>
      <c r="R55" s="1875" t="s">
        <v>1525</v>
      </c>
    </row>
    <row r="56" spans="1:18" s="1838" customFormat="1" ht="25.5" thickTop="1" thickBot="1">
      <c r="A56" s="1172">
        <v>2</v>
      </c>
      <c r="B56" s="1173" t="s">
        <v>1414</v>
      </c>
      <c r="C56" s="275">
        <f ca="1">C13</f>
        <v>11297</v>
      </c>
      <c r="D56" s="1910"/>
      <c r="E56" s="1911"/>
      <c r="F56" s="1903"/>
      <c r="I56" s="1912" t="s">
        <v>1554</v>
      </c>
      <c r="J56" s="1913" t="s">
        <v>3198</v>
      </c>
      <c r="K56" s="1883" t="s">
        <v>1555</v>
      </c>
      <c r="L56" s="1886" t="str">
        <f ca="1">IF(L48&lt;J51,"——",L48-J53)</f>
        <v>——</v>
      </c>
      <c r="O56" s="1880" t="s">
        <v>1040</v>
      </c>
      <c r="P56" s="1881" t="s">
        <v>1528</v>
      </c>
      <c r="Q56" s="1882">
        <f ca="1">C40+J29</f>
        <v>11193</v>
      </c>
      <c r="R56" s="1882" t="s">
        <v>1529</v>
      </c>
    </row>
    <row r="57" spans="1:18" s="1838" customFormat="1" ht="24.75" thickBot="1">
      <c r="A57" s="1914"/>
      <c r="B57" s="1165" t="s">
        <v>1478</v>
      </c>
      <c r="C57" s="281">
        <f ca="1">C29</f>
        <v>11297</v>
      </c>
      <c r="D57" s="1915"/>
      <c r="E57" s="1916"/>
      <c r="F57" s="1917"/>
      <c r="I57" s="1918" t="s">
        <v>1556</v>
      </c>
      <c r="J57" s="1919">
        <f ca="1">IF(OR(M47="住宅",J51&lt;L48,J56="是"),"——",J51-L48)</f>
        <v>14.259999999999998</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1424</v>
      </c>
      <c r="C58" s="360">
        <f ca="1">ROUND(C59+C64+C65+C66,0)</f>
        <v>1208</v>
      </c>
      <c r="D58" s="1175" t="s">
        <v>1425</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959.3</v>
      </c>
      <c r="D59" s="1178" t="s">
        <v>1430</v>
      </c>
      <c r="E59" s="1179" t="s">
        <v>1431</v>
      </c>
      <c r="F59" s="367" t="str">
        <f ca="1">IF(项目基本情况!B11="企业","",IF(INDIRECT("'数据-取费表'!c"&amp;$G$1)="住宅",5%,IF(F49*F50*F51/12/(1+'数据-取费表'!C42)&gt;20000,12%,7%)))</f>
        <v/>
      </c>
      <c r="I59" s="1918" t="s">
        <v>1563</v>
      </c>
      <c r="J59" s="1919">
        <f ca="1">IF(OR(M47="住宅",J51&lt;L48,J56="是"),"——",ROUND(C29*J58,0))</f>
        <v>4519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6">
        <f t="shared" ref="F60:F66" si="0">F32</f>
        <v>5.6000000000000001E-2</v>
      </c>
      <c r="I60" s="1921" t="s">
        <v>1565</v>
      </c>
      <c r="J60" s="1922">
        <f ca="1">IF(OR(M47="住宅",J51&lt;L48,J56="是"),"0",ROUND(J59/(1+J52)^J53,0))</f>
        <v>88</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1492</v>
      </c>
      <c r="B61" s="1165" t="s">
        <v>1437</v>
      </c>
      <c r="C61" s="24">
        <f ca="1">IF(项目基本情况!B11="自然人","——",IF(D61="按租金收入计税",ROUND(C48*F61,2),IF(D61="按房产原值计税",ROUND(C57*F61*0.7,2),INDIRECT("'数据-取费表'!Aj"&amp;$G$1))))</f>
        <v>948.95</v>
      </c>
      <c r="D61" s="1824" t="s">
        <v>1438</v>
      </c>
      <c r="E61" s="1165" t="s">
        <v>1422</v>
      </c>
      <c r="F61" s="366">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1495</v>
      </c>
      <c r="B62" s="1164" t="s">
        <v>1441</v>
      </c>
      <c r="C62" s="25">
        <f ca="1">IF(项目基本情况!B11="自然人","——",ROUND(F62*F63/10000,2))</f>
        <v>10.36</v>
      </c>
      <c r="D62" s="1180" t="s">
        <v>1442</v>
      </c>
      <c r="E62" s="1165" t="s">
        <v>1443</v>
      </c>
      <c r="F62" s="370">
        <f t="shared" si="0"/>
        <v>14</v>
      </c>
      <c r="I62" s="1925" t="s">
        <v>1570</v>
      </c>
      <c r="J62" s="1926" t="s">
        <v>1571</v>
      </c>
      <c r="K62" s="1926" t="s">
        <v>1572</v>
      </c>
      <c r="L62" s="1926" t="s">
        <v>1573</v>
      </c>
      <c r="M62" s="1927" t="s">
        <v>1574</v>
      </c>
      <c r="O62" s="1880" t="s">
        <v>1046</v>
      </c>
      <c r="P62" s="1881" t="s">
        <v>1575</v>
      </c>
      <c r="Q62" s="1882">
        <f ca="1">Q56+Q57</f>
        <v>11193</v>
      </c>
      <c r="R62" s="1882" t="s">
        <v>1047</v>
      </c>
    </row>
    <row r="63" spans="1:18" s="1838" customFormat="1" ht="13.5" thickBot="1">
      <c r="A63" s="371"/>
      <c r="B63" s="1171"/>
      <c r="C63" s="29"/>
      <c r="D63" s="1181"/>
      <c r="E63" s="1165" t="s">
        <v>1447</v>
      </c>
      <c r="F63" s="347">
        <f t="shared" ca="1" si="0"/>
        <v>7397.55</v>
      </c>
      <c r="I63" s="1925" t="s">
        <v>1576</v>
      </c>
      <c r="J63" s="1926">
        <v>70</v>
      </c>
      <c r="K63" s="1926">
        <v>50</v>
      </c>
      <c r="L63" s="1926">
        <v>80</v>
      </c>
      <c r="M63" s="1928">
        <v>0.02</v>
      </c>
      <c r="O63" s="1865" t="s">
        <v>1577</v>
      </c>
      <c r="P63" s="1835"/>
      <c r="Q63" s="1835"/>
      <c r="R63" s="1835"/>
    </row>
    <row r="64" spans="1:18" s="1838" customFormat="1" ht="13.5" thickBot="1">
      <c r="A64" s="1197" t="s">
        <v>1039</v>
      </c>
      <c r="B64" s="1165" t="s">
        <v>1449</v>
      </c>
      <c r="C64" s="24">
        <f ca="1">ROUND(C57*F64,1)</f>
        <v>225.9</v>
      </c>
      <c r="D64" s="1179" t="s">
        <v>1482</v>
      </c>
      <c r="E64" s="1165" t="s">
        <v>1422</v>
      </c>
      <c r="F64" s="373">
        <f t="shared" ca="1" si="0"/>
        <v>0.02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22.6</v>
      </c>
      <c r="D65" s="1179" t="s">
        <v>1454</v>
      </c>
      <c r="E65" s="1165" t="s">
        <v>1422</v>
      </c>
      <c r="F65" s="375">
        <f t="shared" ca="1" si="0"/>
        <v>2E-3</v>
      </c>
      <c r="I65" s="1925" t="s">
        <v>1579</v>
      </c>
      <c r="J65" s="1926">
        <v>40</v>
      </c>
      <c r="K65" s="1926">
        <v>30</v>
      </c>
      <c r="L65" s="1926">
        <v>50</v>
      </c>
      <c r="M65" s="1928">
        <v>0.02</v>
      </c>
      <c r="O65" s="1880" t="s">
        <v>1040</v>
      </c>
      <c r="P65" s="1881" t="s">
        <v>1528</v>
      </c>
      <c r="Q65" s="1882">
        <f ca="1">C40+J29</f>
        <v>11193</v>
      </c>
      <c r="R65" s="1882" t="s">
        <v>1529</v>
      </c>
    </row>
    <row r="66" spans="1:18" s="1838" customFormat="1" ht="16.5" thickBot="1">
      <c r="A66" s="1197" t="s">
        <v>1504</v>
      </c>
      <c r="B66" s="1165" t="s">
        <v>1439</v>
      </c>
      <c r="C66" s="24">
        <f ca="1">ROUND(C48*F66,1)</f>
        <v>0</v>
      </c>
      <c r="D66" s="1179" t="s">
        <v>1459</v>
      </c>
      <c r="E66" s="1165" t="s">
        <v>1422</v>
      </c>
      <c r="F66" s="356">
        <f t="shared" ca="1" si="0"/>
        <v>0.02</v>
      </c>
      <c r="O66" s="1880" t="s">
        <v>1041</v>
      </c>
      <c r="P66" s="1881" t="s">
        <v>1558</v>
      </c>
      <c r="Q66" s="1882">
        <f ca="1">L60</f>
        <v>0</v>
      </c>
      <c r="R66" s="1882" t="s">
        <v>1581</v>
      </c>
    </row>
    <row r="67" spans="1:18" s="1838" customFormat="1" ht="16.5" thickBot="1">
      <c r="A67" s="1172" t="s">
        <v>1031</v>
      </c>
      <c r="B67" s="1182" t="s">
        <v>1463</v>
      </c>
      <c r="C67" s="360">
        <f ca="1">C48-C58</f>
        <v>-1208</v>
      </c>
      <c r="D67" s="1178" t="s">
        <v>1464</v>
      </c>
      <c r="E67" s="1183"/>
      <c r="F67" s="1184"/>
      <c r="O67" s="1890" t="s">
        <v>1042</v>
      </c>
      <c r="P67" s="1881" t="s">
        <v>1562</v>
      </c>
      <c r="Q67" s="1929">
        <f ca="1">L51</f>
        <v>-11281</v>
      </c>
      <c r="R67" s="1882" t="s">
        <v>1582</v>
      </c>
    </row>
    <row r="68" spans="1:18" s="1838" customFormat="1" ht="16.5" thickBot="1">
      <c r="A68" s="1162" t="s">
        <v>1032</v>
      </c>
      <c r="B68" s="1163" t="s">
        <v>1485</v>
      </c>
      <c r="C68" s="345">
        <f ca="1">ROUND(C67*(1-((1+F70)/(1+F68))^F69)/(F68-F70),0)</f>
        <v>-21566</v>
      </c>
      <c r="D68" s="1180" t="s">
        <v>1469</v>
      </c>
      <c r="E68" s="1165" t="s">
        <v>1470</v>
      </c>
      <c r="F68" s="356">
        <f ca="1">F40</f>
        <v>0.05</v>
      </c>
      <c r="O68" s="1890" t="s">
        <v>1043</v>
      </c>
      <c r="P68" s="1930" t="s">
        <v>1583</v>
      </c>
      <c r="Q68" s="1882">
        <f ca="1">ROUND(Q69-Q70*Q71,0)</f>
        <v>-541</v>
      </c>
      <c r="R68" s="1882" t="s">
        <v>1051</v>
      </c>
    </row>
    <row r="69" spans="1:18" s="1838" customFormat="1" ht="13.5" thickBot="1">
      <c r="A69" s="1166"/>
      <c r="B69" s="1167"/>
      <c r="C69" s="350"/>
      <c r="D69" s="1185" t="s">
        <v>1473</v>
      </c>
      <c r="E69" s="1165" t="s">
        <v>1474</v>
      </c>
      <c r="F69" s="378">
        <f ca="1">F41</f>
        <v>45.74</v>
      </c>
      <c r="O69" s="1890" t="s">
        <v>1048</v>
      </c>
      <c r="P69" s="1930" t="s">
        <v>1584</v>
      </c>
      <c r="Q69" s="1882">
        <f ca="1">C39</f>
        <v>419</v>
      </c>
      <c r="R69" s="1882" t="s">
        <v>1529</v>
      </c>
    </row>
    <row r="70" spans="1:18" s="1838" customFormat="1" ht="13.5" thickBot="1">
      <c r="A70" s="1169"/>
      <c r="B70" s="1170"/>
      <c r="C70" s="354"/>
      <c r="D70" s="1181"/>
      <c r="E70" s="1165" t="s">
        <v>1477</v>
      </c>
      <c r="F70" s="1271"/>
      <c r="O70" s="1890" t="s">
        <v>1049</v>
      </c>
      <c r="P70" s="1930" t="s">
        <v>1585</v>
      </c>
      <c r="Q70" s="1882">
        <f ca="1">C13</f>
        <v>11297</v>
      </c>
      <c r="R70" s="1882" t="s">
        <v>1529</v>
      </c>
    </row>
    <row r="71" spans="1:18" s="1838" customFormat="1" ht="13.5" thickBot="1">
      <c r="A71" s="1186" t="s">
        <v>1033</v>
      </c>
      <c r="B71" s="1187" t="s">
        <v>1487</v>
      </c>
      <c r="C71" s="381">
        <f ca="1">ROUND(C68*10000/F71,0)</f>
        <v>-7706</v>
      </c>
      <c r="D71" s="1188" t="s">
        <v>1488</v>
      </c>
      <c r="E71" s="1189" t="s">
        <v>1489</v>
      </c>
      <c r="F71" s="384">
        <f ca="1">F43</f>
        <v>27986.240000000002</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1506</v>
      </c>
      <c r="C75" s="386">
        <f ca="1">ROUND(C13*C76,0)</f>
        <v>960</v>
      </c>
      <c r="D75" s="1838"/>
      <c r="E75" s="1838"/>
      <c r="F75" s="1838"/>
      <c r="K75" s="1864"/>
      <c r="L75" s="1838"/>
      <c r="O75" s="1880" t="s">
        <v>1046</v>
      </c>
      <c r="P75" s="1881" t="s">
        <v>1549</v>
      </c>
      <c r="Q75" s="1882">
        <f ca="1">Q65+Q66</f>
        <v>11193</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-1.2909999999999999</v>
      </c>
    </row>
    <row r="80" spans="1:18">
      <c r="B80" s="385" t="s">
        <v>1511</v>
      </c>
      <c r="C80" s="317">
        <f ca="1">ROUND(C75/C39,3)</f>
        <v>2.2909999999999999</v>
      </c>
    </row>
    <row r="81" spans="2:3">
      <c r="B81" s="313" t="s">
        <v>1512</v>
      </c>
      <c r="C81" s="281"/>
    </row>
    <row r="82" spans="2:3">
      <c r="B82" s="316" t="s">
        <v>1513</v>
      </c>
      <c r="C82" s="318">
        <f ca="1">1-C83</f>
        <v>-8.999999999999897E-3</v>
      </c>
    </row>
    <row r="83" spans="2:3">
      <c r="B83" s="316" t="s">
        <v>1514</v>
      </c>
      <c r="C83" s="317">
        <f ca="1">ROUND(C13/C40,3)</f>
        <v>1.0089999999999999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9" sqref="J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3276</v>
      </c>
      <c r="D1" s="1816" t="s">
        <v>70</v>
      </c>
      <c r="E1" s="1817" t="s">
        <v>1387</v>
      </c>
      <c r="F1" s="1279">
        <f ca="1">J53</f>
        <v>35.729999999999997</v>
      </c>
      <c r="G1" s="1832">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1515</v>
      </c>
      <c r="B2" s="1840">
        <f ca="1">C40+J29+L46</f>
        <v>13760</v>
      </c>
      <c r="C2" s="1841" t="s">
        <v>1516</v>
      </c>
      <c r="D2" s="1841"/>
      <c r="E2" s="1842"/>
      <c r="F2" s="1843"/>
      <c r="G2" s="1844"/>
      <c r="H2" s="1836"/>
      <c r="I2" s="1836"/>
      <c r="J2" s="1836"/>
      <c r="K2" s="1837"/>
      <c r="L2" s="1836"/>
      <c r="M2" s="1836"/>
    </row>
    <row r="3" spans="1:37" ht="18" customHeight="1" thickBot="1">
      <c r="A3" s="1845" t="s">
        <v>1517</v>
      </c>
      <c r="B3" s="1846">
        <f ca="1">IF(ISERROR(B2*10000/F43),0,ROUND(B2*10000/F43,0))</f>
        <v>12051</v>
      </c>
      <c r="C3" s="1841" t="s">
        <v>1518</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901</v>
      </c>
      <c r="D5" s="1818" t="s">
        <v>1402</v>
      </c>
      <c r="E5" s="1289"/>
      <c r="F5" s="1290"/>
      <c r="G5" s="1847"/>
      <c r="H5" s="343">
        <v>1</v>
      </c>
      <c r="I5" s="344" t="s">
        <v>1401</v>
      </c>
      <c r="J5" s="1288">
        <f ca="1">J6+J10+J12</f>
        <v>0</v>
      </c>
      <c r="K5" s="1818" t="s">
        <v>1402</v>
      </c>
      <c r="L5" s="1289"/>
      <c r="M5" s="1290"/>
    </row>
    <row r="6" spans="1:37" ht="18" customHeight="1">
      <c r="A6" s="1287" t="s">
        <v>1035</v>
      </c>
      <c r="B6" s="3248" t="s">
        <v>1403</v>
      </c>
      <c r="C6" s="1292">
        <f ca="1">ROUND(F6*F8*F7*(1-F9)/10000,0)</f>
        <v>900</v>
      </c>
      <c r="D6" s="163" t="s">
        <v>3024</v>
      </c>
      <c r="E6" s="346" t="s">
        <v>1405</v>
      </c>
      <c r="F6" s="347">
        <f ca="1">INDIRECT("'数据-取费表'!u"&amp;$G$1)</f>
        <v>2.4</v>
      </c>
      <c r="G6" s="1847"/>
      <c r="H6" s="1287" t="s">
        <v>1035</v>
      </c>
      <c r="I6" s="3248" t="s">
        <v>1403</v>
      </c>
      <c r="J6" s="345">
        <f ca="1">ROUND(M6*M8*M7*(1-M9)/10000,0)</f>
        <v>0</v>
      </c>
      <c r="K6" s="163" t="s">
        <v>3023</v>
      </c>
      <c r="L6" s="346" t="s">
        <v>1405</v>
      </c>
      <c r="M6" s="347">
        <f ca="1">INDIRECT("'数据-取费表'!z"&amp;$G$1)</f>
        <v>0</v>
      </c>
    </row>
    <row r="7" spans="1:37" ht="18" customHeight="1">
      <c r="A7" s="1291"/>
      <c r="B7" s="3249"/>
      <c r="C7" s="1293"/>
      <c r="D7" s="351"/>
      <c r="E7" s="2951" t="s">
        <v>1406</v>
      </c>
      <c r="F7" s="347">
        <f ca="1">IF(INDIRECT("'数据-取费表'!ah"&amp;$G$1)="",INDIRECT("'数据-取费表'!k"&amp;$G$1),INDIRECT("'数据-取费表'!ah"&amp;$G$1))</f>
        <v>11418.03</v>
      </c>
      <c r="G7" s="1847"/>
      <c r="H7" s="348"/>
      <c r="I7" s="3249"/>
      <c r="J7" s="350"/>
      <c r="K7" s="351"/>
      <c r="L7" s="346" t="s">
        <v>1406</v>
      </c>
      <c r="M7" s="347">
        <f ca="1">F7</f>
        <v>11418.03</v>
      </c>
    </row>
    <row r="8" spans="1:37" ht="18" customHeight="1">
      <c r="A8" s="348"/>
      <c r="B8" s="3249"/>
      <c r="C8" s="350"/>
      <c r="D8" s="351"/>
      <c r="E8" s="346" t="s">
        <v>1407</v>
      </c>
      <c r="F8" s="347">
        <f ca="1">INDIRECT("'数据-取费表'!ai"&amp;$G$1)</f>
        <v>365</v>
      </c>
      <c r="G8" s="1847"/>
      <c r="H8" s="348"/>
      <c r="I8" s="3249"/>
      <c r="J8" s="350"/>
      <c r="K8" s="351"/>
      <c r="L8" s="346" t="s">
        <v>1407</v>
      </c>
      <c r="M8" s="347">
        <f ca="1">INDIRECT("'数据-取费表'!ai"&amp;$G$1)</f>
        <v>365</v>
      </c>
    </row>
    <row r="9" spans="1:37" ht="18" customHeight="1">
      <c r="A9" s="348"/>
      <c r="B9" s="3250"/>
      <c r="C9" s="350"/>
      <c r="D9" s="351"/>
      <c r="E9" s="346" t="s">
        <v>1408</v>
      </c>
      <c r="F9" s="356">
        <f ca="1">INDIRECT("'数据-取费表'!w"&amp;$G$1)</f>
        <v>0.1</v>
      </c>
      <c r="G9" s="1847"/>
      <c r="H9" s="348"/>
      <c r="I9" s="3250"/>
      <c r="J9" s="350"/>
      <c r="K9" s="351"/>
      <c r="L9" s="357" t="s">
        <v>1408</v>
      </c>
      <c r="M9" s="358">
        <f ca="1">INDIRECT("'数据-取费表'!ab"&amp;$G$1)</f>
        <v>0</v>
      </c>
    </row>
    <row r="10" spans="1:37" ht="18" customHeight="1">
      <c r="A10" s="1287" t="s">
        <v>1039</v>
      </c>
      <c r="B10" s="1819" t="s">
        <v>1409</v>
      </c>
      <c r="C10" s="360">
        <f ca="1">ROUND(IF(F10="押一",C6/12*F11,IF(F10="押二",C6/12*2*F11,IF(F10="押三",C6/12*3*F11,C11*F11))),0)</f>
        <v>1</v>
      </c>
      <c r="D10" s="1820" t="s">
        <v>3033</v>
      </c>
      <c r="E10" s="357" t="s">
        <v>1410</v>
      </c>
      <c r="F10" s="1362" t="s">
        <v>3275</v>
      </c>
      <c r="G10" s="1847"/>
      <c r="H10" s="1287" t="s">
        <v>1039</v>
      </c>
      <c r="I10" s="1819" t="s">
        <v>1409</v>
      </c>
      <c r="J10" s="345">
        <f ca="1">ROUND(IF(M10="押一",J6/12*M11,IF(M10="押二",J6/12*2*M11,IF(M10="押三",J6/12*3*M11,J11*M11))),0)</f>
        <v>0</v>
      </c>
      <c r="K10" s="1820" t="s">
        <v>3032</v>
      </c>
      <c r="L10" s="357" t="s">
        <v>1410</v>
      </c>
      <c r="M10" s="1362" t="s">
        <v>1411</v>
      </c>
    </row>
    <row r="11" spans="1:37" ht="18" customHeight="1">
      <c r="A11" s="352"/>
      <c r="B11" s="1821" t="s">
        <v>1388</v>
      </c>
      <c r="C11" s="1174"/>
      <c r="D11" s="1822"/>
      <c r="E11" s="357" t="s">
        <v>1412</v>
      </c>
      <c r="F11" s="358">
        <f ca="1">'数据-取费表'!B39</f>
        <v>1.4999999999999999E-2</v>
      </c>
      <c r="G11" s="1847"/>
      <c r="H11" s="1295"/>
      <c r="I11" s="1821" t="s">
        <v>1388</v>
      </c>
      <c r="J11" s="1174"/>
      <c r="K11" s="747"/>
      <c r="L11" s="357"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4">
        <f ca="1">ROUND(C29*F13,0)</f>
        <v>5871</v>
      </c>
      <c r="D13" s="1327" t="s">
        <v>1415</v>
      </c>
      <c r="E13" s="1327" t="s">
        <v>1416</v>
      </c>
      <c r="F13" s="1328">
        <f ca="1">INDIRECT("'数据-取费表'!y"&amp;$G$1)</f>
        <v>1</v>
      </c>
      <c r="G13" s="1847"/>
      <c r="H13" s="1325">
        <v>2</v>
      </c>
      <c r="I13" s="1326" t="s">
        <v>1414</v>
      </c>
      <c r="J13" s="1286">
        <f ca="1">ROUND(J14*J15,0)</f>
        <v>0</v>
      </c>
      <c r="K13" s="1333" t="s">
        <v>1415</v>
      </c>
      <c r="L13" s="1848"/>
      <c r="M13" s="1849"/>
    </row>
    <row r="14" spans="1:37" ht="18" customHeight="1">
      <c r="A14" s="1197" t="s">
        <v>1034</v>
      </c>
      <c r="B14" s="346" t="s">
        <v>1417</v>
      </c>
      <c r="C14" s="362">
        <f ca="1">INDIRECT("'数据-取费表'!m"&amp;$G$1)+INDIRECT("'数据-取费表'!t"&amp;$G$1)</f>
        <v>3600</v>
      </c>
      <c r="D14" s="2945" t="s">
        <v>1418</v>
      </c>
      <c r="E14" s="2943"/>
      <c r="F14" s="363"/>
      <c r="G14" s="1847"/>
      <c r="H14" s="1197" t="s">
        <v>1035</v>
      </c>
      <c r="I14" s="346" t="s">
        <v>1419</v>
      </c>
      <c r="J14" s="24">
        <f ca="1">C29</f>
        <v>5871</v>
      </c>
      <c r="K14" s="2950"/>
      <c r="L14" s="975"/>
      <c r="M14" s="976"/>
    </row>
    <row r="15" spans="1:37" s="1854" customFormat="1" ht="18" customHeight="1" thickBot="1">
      <c r="A15" s="1197" t="s">
        <v>1036</v>
      </c>
      <c r="B15" s="346" t="s">
        <v>1420</v>
      </c>
      <c r="C15" s="24">
        <f ca="1">ROUND(C14*F15,0)</f>
        <v>108</v>
      </c>
      <c r="D15" s="364" t="s">
        <v>1421</v>
      </c>
      <c r="E15" s="364" t="s">
        <v>1422</v>
      </c>
      <c r="F15" s="365">
        <f>'数据-取费表'!B33</f>
        <v>0.03</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1423</v>
      </c>
      <c r="C16" s="24">
        <f ca="1">ROUND(INDIRECT("'数据-取费表'!m"&amp;$G$1)*F16,0)</f>
        <v>0</v>
      </c>
      <c r="D16" s="346" t="s">
        <v>1421</v>
      </c>
      <c r="E16" s="346" t="s">
        <v>1422</v>
      </c>
      <c r="F16" s="366">
        <f ca="1">IF(INDIRECT("'数据-取费表'!c"&amp;$G$1)="住宅",'数据-取费表'!B34,0)</f>
        <v>0</v>
      </c>
      <c r="G16" s="1847"/>
      <c r="H16" s="1325" t="s">
        <v>1030</v>
      </c>
      <c r="I16" s="1326" t="s">
        <v>1424</v>
      </c>
      <c r="J16" s="354">
        <f ca="1">ROUND(J17+J22+J23+J24,0)</f>
        <v>171</v>
      </c>
      <c r="K16" s="1333" t="s">
        <v>1425</v>
      </c>
      <c r="L16" s="2946"/>
      <c r="M16" s="1290"/>
    </row>
    <row r="17" spans="1:37" s="1854" customFormat="1" ht="18" customHeight="1">
      <c r="A17" s="1197" t="s">
        <v>1390</v>
      </c>
      <c r="B17" s="346" t="s">
        <v>1426</v>
      </c>
      <c r="C17" s="24">
        <f ca="1">ROUND(F17*(F43+INDIRECT("'数据-取费表'!S"&amp;$G$1))/10000,0)</f>
        <v>244</v>
      </c>
      <c r="D17" s="346" t="s">
        <v>1427</v>
      </c>
      <c r="E17" s="346" t="s">
        <v>1428</v>
      </c>
      <c r="F17" s="26">
        <f>'数据-取费表'!B35</f>
        <v>200</v>
      </c>
      <c r="G17" s="1850"/>
      <c r="H17" s="1197" t="s">
        <v>1035</v>
      </c>
      <c r="I17" s="346" t="s">
        <v>1429</v>
      </c>
      <c r="J17" s="24">
        <f ca="1">ROUND(IF(项目基本情况!B11="自然人",J5*M17,J18+J19+J20),1)</f>
        <v>53.6</v>
      </c>
      <c r="K17" s="2945" t="s">
        <v>1430</v>
      </c>
      <c r="L17" s="2944" t="s">
        <v>1431</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1432</v>
      </c>
      <c r="C18" s="24">
        <f ca="1">ROUND(C14*F18,0)</f>
        <v>54</v>
      </c>
      <c r="D18" s="346" t="s">
        <v>1421</v>
      </c>
      <c r="E18" s="346" t="s">
        <v>1422</v>
      </c>
      <c r="F18" s="366">
        <f>'数据-取费表'!B36</f>
        <v>1.4999999999999999E-2</v>
      </c>
      <c r="G18" s="1850"/>
      <c r="H18" s="1197" t="s">
        <v>1034</v>
      </c>
      <c r="I18" s="346" t="s">
        <v>1433</v>
      </c>
      <c r="J18" s="24">
        <f ca="1">ROUND(J5*M18/(1+'数据-取费表'!C42),2)</f>
        <v>0</v>
      </c>
      <c r="K18" s="2944" t="s">
        <v>1434</v>
      </c>
      <c r="L18" s="346" t="s">
        <v>1422</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1435</v>
      </c>
      <c r="C19" s="24">
        <f ca="1">SUM(C14:C18)</f>
        <v>4006</v>
      </c>
      <c r="D19" s="139" t="s">
        <v>1436</v>
      </c>
      <c r="E19" s="2949"/>
      <c r="F19" s="26"/>
      <c r="G19" s="1847"/>
      <c r="H19" s="1197" t="s">
        <v>1036</v>
      </c>
      <c r="I19" s="346" t="s">
        <v>1437</v>
      </c>
      <c r="J19" s="24">
        <f ca="1">IF(K19="按租金收入计税",ROUND(J5*M19,2),ROUND(C29*M19*0.7,2))</f>
        <v>49.32</v>
      </c>
      <c r="K19" s="1824" t="s">
        <v>1438</v>
      </c>
      <c r="L19" s="346" t="s">
        <v>1422</v>
      </c>
      <c r="M19" s="366">
        <f>IF(K19="按租金收入计税",'数据-取费表'!B51,'数据-取费表'!B50)</f>
        <v>1.2E-2</v>
      </c>
    </row>
    <row r="20" spans="1:37" s="1854" customFormat="1" ht="18" customHeight="1">
      <c r="A20" s="1197" t="s">
        <v>1039</v>
      </c>
      <c r="B20" s="346" t="s">
        <v>1439</v>
      </c>
      <c r="C20" s="24">
        <f ca="1">ROUND(C19*F20,0)</f>
        <v>80</v>
      </c>
      <c r="D20" s="368" t="s">
        <v>1440</v>
      </c>
      <c r="E20" s="346" t="s">
        <v>1422</v>
      </c>
      <c r="F20" s="366">
        <f>'数据-取费表'!B37</f>
        <v>0.02</v>
      </c>
      <c r="G20" s="1850"/>
      <c r="H20" s="1197" t="s">
        <v>1389</v>
      </c>
      <c r="I20" s="163" t="s">
        <v>1441</v>
      </c>
      <c r="J20" s="25">
        <f ca="1">ROUND(M20*M21/10000,2)</f>
        <v>4.2300000000000004</v>
      </c>
      <c r="K20" s="369" t="s">
        <v>1442</v>
      </c>
      <c r="L20" s="346" t="s">
        <v>1443</v>
      </c>
      <c r="M20" s="370">
        <f>'数据-取费表'!B52</f>
        <v>14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1444</v>
      </c>
      <c r="C21" s="24" t="s">
        <v>18</v>
      </c>
      <c r="D21" s="368" t="s">
        <v>1445</v>
      </c>
      <c r="E21" s="346" t="s">
        <v>1446</v>
      </c>
      <c r="F21" s="366">
        <f>'数据-取费表'!B38</f>
        <v>0.02</v>
      </c>
      <c r="G21" s="1850"/>
      <c r="H21" s="371"/>
      <c r="I21" s="355"/>
      <c r="J21" s="29"/>
      <c r="K21" s="372"/>
      <c r="L21" s="346" t="s">
        <v>1447</v>
      </c>
      <c r="M21" s="347">
        <f ca="1">INDIRECT("'数据-取费表'!r"&amp;$G$1)</f>
        <v>3018.11</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1448</v>
      </c>
      <c r="C22" s="24"/>
      <c r="D22" s="139" t="str">
        <f>IF(F23&lt;=1,"单利计息。","复利计息。")&amp;"建造成本、管理费用、销售费用产生的利息。"</f>
        <v>复利计息。建造成本、管理费用、销售费用产生的利息。</v>
      </c>
      <c r="E22" s="2949"/>
      <c r="F22" s="26"/>
      <c r="G22" s="1847"/>
      <c r="H22" s="1197" t="s">
        <v>1039</v>
      </c>
      <c r="I22" s="346" t="s">
        <v>1449</v>
      </c>
      <c r="J22" s="24">
        <f ca="1">ROUND(J14*M22,1)</f>
        <v>117.4</v>
      </c>
      <c r="K22" s="2944" t="s">
        <v>1450</v>
      </c>
      <c r="L22" s="346" t="s">
        <v>1422</v>
      </c>
      <c r="M22" s="373">
        <f ca="1">INDIRECT("'数据-取费表'!Ak"&amp;$G$1)</f>
        <v>0.02</v>
      </c>
    </row>
    <row r="23" spans="1:37" s="1854" customFormat="1" ht="18" customHeight="1">
      <c r="A23" s="1197" t="s">
        <v>1034</v>
      </c>
      <c r="B23" s="346" t="s">
        <v>1451</v>
      </c>
      <c r="C23" s="24">
        <f ca="1">IF('数据-取费表'!B22&lt;=1,ROUND(C19*F24*F23/2,0)+ROUND(C20*F24*F23/2,0),ROUND(C19*(POWER((1+F24),F23/2)-1),0)+ROUND(C20*(POWER((1+F24),F23/2)-1),0))</f>
        <v>295</v>
      </c>
      <c r="D23" s="374" t="str">
        <f>IF(F23&lt;=1,"(建造成本+管理费用)×利率×(建设周期÷2)","(建造成本+管理费用)×((1+利率)^(建设周期÷2)-1)")</f>
        <v>(建造成本+管理费用)×((1+利率)^(建设周期÷2)-1)</v>
      </c>
      <c r="E23" s="346" t="s">
        <v>1452</v>
      </c>
      <c r="F23" s="370">
        <f>'数据-取费表'!B20</f>
        <v>3</v>
      </c>
      <c r="G23" s="1850"/>
      <c r="H23" s="1197" t="s">
        <v>1075</v>
      </c>
      <c r="I23" s="346" t="s">
        <v>1453</v>
      </c>
      <c r="J23" s="24">
        <f ca="1">ROUND(J13*M23,1)</f>
        <v>0</v>
      </c>
      <c r="K23" s="2944" t="s">
        <v>1454</v>
      </c>
      <c r="L23" s="346" t="s">
        <v>1422</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0"/>
      <c r="H24" s="1335" t="s">
        <v>1393</v>
      </c>
      <c r="I24" s="1336" t="s">
        <v>1439</v>
      </c>
      <c r="J24" s="1337">
        <f ca="1">ROUND(J5*M24,1)</f>
        <v>0</v>
      </c>
      <c r="K24" s="1338" t="s">
        <v>1459</v>
      </c>
      <c r="L24" s="1336" t="s">
        <v>1422</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6" t="s">
        <v>1461</v>
      </c>
      <c r="C25" s="24"/>
      <c r="D25" s="139" t="s">
        <v>1462</v>
      </c>
      <c r="E25" s="2949"/>
      <c r="F25" s="26"/>
      <c r="G25" s="1847"/>
      <c r="H25" s="1325" t="s">
        <v>1031</v>
      </c>
      <c r="I25" s="1340" t="s">
        <v>1463</v>
      </c>
      <c r="J25" s="354">
        <f ca="1">J5-J16</f>
        <v>-171</v>
      </c>
      <c r="K25" s="1341" t="s">
        <v>1464</v>
      </c>
      <c r="L25" s="1342"/>
      <c r="M25" s="1343"/>
    </row>
    <row r="26" spans="1:37">
      <c r="A26" s="1197" t="s">
        <v>1034</v>
      </c>
      <c r="B26" s="346" t="s">
        <v>1465</v>
      </c>
      <c r="C26" s="24">
        <f ca="1">ROUND((C19+C20)*F26,0)</f>
        <v>1022</v>
      </c>
      <c r="D26" s="368" t="s">
        <v>1466</v>
      </c>
      <c r="E26" s="357" t="s">
        <v>1467</v>
      </c>
      <c r="F26" s="356">
        <f ca="1">INDIRECT("'数据-取费表'!q"&amp;$G$1)</f>
        <v>0.25</v>
      </c>
      <c r="G26" s="1847"/>
      <c r="H26" s="343" t="s">
        <v>1032</v>
      </c>
      <c r="I26" s="344" t="s">
        <v>1468</v>
      </c>
      <c r="J26" s="345">
        <f ca="1">IF(J5&lt;&gt;0,ROUND(J25*(1-((1+M28)/(1+M26))^M27)/(M26-M28),0),0)</f>
        <v>0</v>
      </c>
      <c r="K26" s="369" t="s">
        <v>1469</v>
      </c>
      <c r="L26" s="346" t="s">
        <v>1470</v>
      </c>
      <c r="M26" s="356">
        <f ca="1">INDIRECT("'数据-取费表'!I"&amp;$G$1)</f>
        <v>5.5E-2</v>
      </c>
    </row>
    <row r="27" spans="1:37" ht="18" customHeight="1">
      <c r="A27" s="1197" t="s">
        <v>1036</v>
      </c>
      <c r="B27" s="346" t="s">
        <v>1471</v>
      </c>
      <c r="C27" s="24">
        <f ca="1">ROUND(F21*F26,4)</f>
        <v>5.0000000000000001E-3</v>
      </c>
      <c r="D27" s="368" t="s">
        <v>1472</v>
      </c>
      <c r="E27" s="364"/>
      <c r="F27" s="365"/>
      <c r="G27" s="1847"/>
      <c r="H27" s="348"/>
      <c r="I27" s="349"/>
      <c r="J27" s="350"/>
      <c r="K27" s="377" t="s">
        <v>1473</v>
      </c>
      <c r="L27" s="346" t="s">
        <v>1474</v>
      </c>
      <c r="M27" s="378">
        <f ca="1">INDIRECT("'数据-取费表'!ag"&amp;$G$1)</f>
        <v>0</v>
      </c>
    </row>
    <row r="28" spans="1:37" s="1854" customFormat="1" ht="18" customHeight="1">
      <c r="A28" s="1197" t="s">
        <v>1037</v>
      </c>
      <c r="B28" s="346" t="s">
        <v>1475</v>
      </c>
      <c r="C28" s="24">
        <f>ROUND(F28/(1+'数据-取费表'!C42),4)</f>
        <v>5.33E-2</v>
      </c>
      <c r="D28" s="368" t="s">
        <v>1476</v>
      </c>
      <c r="E28" s="346" t="s">
        <v>1422</v>
      </c>
      <c r="F28" s="366">
        <f>'数据-取费表'!B41</f>
        <v>5.6000000000000001E-2</v>
      </c>
      <c r="G28" s="1850"/>
      <c r="H28" s="352"/>
      <c r="I28" s="353"/>
      <c r="J28" s="354"/>
      <c r="K28" s="372"/>
      <c r="L28" s="346" t="s">
        <v>1477</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5871</v>
      </c>
      <c r="D29" s="1338"/>
      <c r="E29" s="1336"/>
      <c r="F29" s="1339"/>
      <c r="G29" s="1850"/>
      <c r="H29" s="379" t="s">
        <v>1033</v>
      </c>
      <c r="I29" s="380" t="s">
        <v>1479</v>
      </c>
      <c r="J29" s="381">
        <f ca="1">ROUND(J26/(1+F40)^F41,0)</f>
        <v>0</v>
      </c>
      <c r="K29" s="382" t="s">
        <v>1480</v>
      </c>
      <c r="L29" s="383"/>
      <c r="M29" s="384">
        <f ca="1">INDIRECT("'数据-取费表'!k"&amp;$G$1)</f>
        <v>11418.03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4">
        <f ca="1">ROUND(C31+C36+C37+C38,0)</f>
        <v>308</v>
      </c>
      <c r="D30" s="1333" t="s">
        <v>1425</v>
      </c>
      <c r="E30" s="2946"/>
      <c r="F30" s="1290"/>
      <c r="G30" s="1847"/>
      <c r="H30" s="744"/>
      <c r="I30" s="745"/>
      <c r="J30" s="746"/>
      <c r="K30" s="747"/>
      <c r="L30" s="748"/>
      <c r="M30" s="749"/>
    </row>
    <row r="31" spans="1:37" ht="18" customHeight="1">
      <c r="A31" s="1197" t="s">
        <v>1035</v>
      </c>
      <c r="B31" s="346" t="s">
        <v>1429</v>
      </c>
      <c r="C31" s="24">
        <f ca="1">ROUND(IF(项目基本情况!B11="自然人",C5*F31,C32+C33+C34),1)</f>
        <v>160.4</v>
      </c>
      <c r="D31" s="2945" t="s">
        <v>1430</v>
      </c>
      <c r="E31" s="2944" t="s">
        <v>1481</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1433</v>
      </c>
      <c r="C32" s="24">
        <f ca="1">IF(项目基本情况!B11="自然人","——",ROUND(C5*F32/(1+'数据-取费表'!C42),2))</f>
        <v>48.05</v>
      </c>
      <c r="D32" s="2944" t="s">
        <v>1434</v>
      </c>
      <c r="E32" s="346" t="s">
        <v>1422</v>
      </c>
      <c r="F32" s="376">
        <f>'数据-取费表'!B41</f>
        <v>5.6000000000000001E-2</v>
      </c>
      <c r="G32" s="1847"/>
      <c r="H32" s="744"/>
      <c r="I32" s="745"/>
      <c r="J32" s="746"/>
      <c r="K32" s="747"/>
      <c r="L32" s="748"/>
      <c r="M32" s="749"/>
    </row>
    <row r="33" spans="1:18" ht="18" customHeight="1">
      <c r="A33" s="1197" t="s">
        <v>1036</v>
      </c>
      <c r="B33" s="346" t="s">
        <v>1437</v>
      </c>
      <c r="C33" s="24">
        <f ca="1">IF(项目基本情况!B11="自然人","——",IF(D33="按租金收入计税",ROUND(C5*F33,2),IF(D33="按房产原值计税",ROUND(C29*F33*0.7,2),INDIRECT("'数据-取费表'!Aj"&amp;$G$1))))</f>
        <v>108.12</v>
      </c>
      <c r="D33" s="1824" t="s">
        <v>3274</v>
      </c>
      <c r="E33" s="346" t="s">
        <v>1422</v>
      </c>
      <c r="F33" s="366">
        <f>IF(D33="按票据","——",IF(D33="按租金收入计税",'数据-取费表'!B51,'数据-取费表'!B50))</f>
        <v>0.12</v>
      </c>
      <c r="G33" s="1847"/>
      <c r="H33" s="1855"/>
      <c r="I33" s="1856"/>
      <c r="J33" s="1857"/>
      <c r="K33" s="1858"/>
      <c r="L33" s="1855"/>
      <c r="M33" s="1855"/>
    </row>
    <row r="34" spans="1:18" ht="18" customHeight="1">
      <c r="A34" s="1287" t="s">
        <v>1389</v>
      </c>
      <c r="B34" s="163" t="s">
        <v>1441</v>
      </c>
      <c r="C34" s="25">
        <f ca="1">IF(项目基本情况!B11="自然人","——",ROUND(F34*F35/10000,2))</f>
        <v>4.2300000000000004</v>
      </c>
      <c r="D34" s="369" t="s">
        <v>1442</v>
      </c>
      <c r="E34" s="346" t="s">
        <v>1443</v>
      </c>
      <c r="F34" s="370">
        <f>'数据-取费表'!B52</f>
        <v>14</v>
      </c>
      <c r="G34" s="1847"/>
      <c r="H34" s="744"/>
      <c r="I34" s="1856"/>
      <c r="J34" s="1857"/>
      <c r="K34" s="1859"/>
      <c r="L34" s="1860"/>
      <c r="M34" s="1860"/>
    </row>
    <row r="35" spans="1:18" ht="18" customHeight="1">
      <c r="A35" s="1349"/>
      <c r="B35" s="1347"/>
      <c r="C35" s="29"/>
      <c r="D35" s="372"/>
      <c r="E35" s="346" t="s">
        <v>1447</v>
      </c>
      <c r="F35" s="347">
        <f ca="1">INDIRECT("'数据-取费表'!r"&amp;$G$1)</f>
        <v>3018.11</v>
      </c>
      <c r="G35" s="1847"/>
      <c r="H35" s="744"/>
      <c r="I35" s="1856"/>
      <c r="J35" s="1857"/>
      <c r="K35" s="1858"/>
      <c r="L35" s="1855"/>
      <c r="M35" s="1855"/>
    </row>
    <row r="36" spans="1:18" ht="18" customHeight="1">
      <c r="A36" s="1348" t="s">
        <v>1039</v>
      </c>
      <c r="B36" s="346" t="s">
        <v>1449</v>
      </c>
      <c r="C36" s="24">
        <f ca="1">ROUND(C29*F36,1)</f>
        <v>117.4</v>
      </c>
      <c r="D36" s="2944" t="s">
        <v>1482</v>
      </c>
      <c r="E36" s="346" t="s">
        <v>1422</v>
      </c>
      <c r="F36" s="373">
        <f ca="1">INDIRECT("'数据-取费表'!Ak"&amp;$G$1)</f>
        <v>0.02</v>
      </c>
      <c r="G36" s="1847"/>
      <c r="H36" s="1855"/>
      <c r="I36" s="1856"/>
      <c r="J36" s="1857"/>
      <c r="K36" s="750"/>
      <c r="L36" s="1855"/>
      <c r="M36" s="1855"/>
    </row>
    <row r="37" spans="1:18" ht="18" customHeight="1">
      <c r="A37" s="1197" t="s">
        <v>1075</v>
      </c>
      <c r="B37" s="346" t="s">
        <v>1453</v>
      </c>
      <c r="C37" s="24">
        <f ca="1">ROUND(C13*F37,1)</f>
        <v>11.7</v>
      </c>
      <c r="D37" s="2944" t="s">
        <v>1454</v>
      </c>
      <c r="E37" s="346" t="s">
        <v>1422</v>
      </c>
      <c r="F37" s="375">
        <f ca="1">INDIRECT("'数据-取费表'!Al"&amp;$G$1)</f>
        <v>2E-3</v>
      </c>
      <c r="G37" s="1847"/>
      <c r="H37" s="1855"/>
      <c r="I37" s="1856"/>
      <c r="J37" s="1857"/>
      <c r="K37" s="750"/>
      <c r="L37" s="1855"/>
      <c r="M37" s="1855"/>
    </row>
    <row r="38" spans="1:18" ht="18" customHeight="1" thickBot="1">
      <c r="A38" s="1335" t="s">
        <v>1393</v>
      </c>
      <c r="B38" s="1336" t="s">
        <v>1439</v>
      </c>
      <c r="C38" s="1337">
        <f ca="1">ROUND(C5*F38,1)</f>
        <v>18</v>
      </c>
      <c r="D38" s="1338" t="s">
        <v>1459</v>
      </c>
      <c r="E38" s="1336" t="s">
        <v>1422</v>
      </c>
      <c r="F38" s="1332">
        <f ca="1">INDIRECT("'数据-取费表'!Am"&amp;$G$1)</f>
        <v>0.02</v>
      </c>
      <c r="G38" s="1847"/>
      <c r="H38" s="1855"/>
      <c r="I38" s="1856"/>
      <c r="J38" s="1857"/>
      <c r="K38" s="1861"/>
      <c r="L38" s="1855"/>
      <c r="M38" s="1855"/>
    </row>
    <row r="39" spans="1:18" ht="24.6" customHeight="1" thickTop="1">
      <c r="A39" s="1325" t="s">
        <v>1031</v>
      </c>
      <c r="B39" s="1340" t="s">
        <v>1463</v>
      </c>
      <c r="C39" s="354">
        <f ca="1">C5-C30</f>
        <v>593</v>
      </c>
      <c r="D39" s="1341" t="s">
        <v>1464</v>
      </c>
      <c r="E39" s="1342"/>
      <c r="F39" s="1343"/>
      <c r="G39" s="1847"/>
      <c r="H39" s="1855"/>
      <c r="I39" s="1856"/>
      <c r="J39" s="1857"/>
      <c r="K39" s="1861"/>
      <c r="L39" s="1855"/>
      <c r="M39" s="1855"/>
    </row>
    <row r="40" spans="1:18" ht="18" customHeight="1">
      <c r="A40" s="343" t="s">
        <v>1032</v>
      </c>
      <c r="B40" s="344" t="s">
        <v>1485</v>
      </c>
      <c r="C40" s="345">
        <f ca="1">ROUND(C39*(1-((1+F42)/(1+F40))^F41)/(F40-F42),0)</f>
        <v>13651</v>
      </c>
      <c r="D40" s="369" t="s">
        <v>1469</v>
      </c>
      <c r="E40" s="346" t="s">
        <v>1470</v>
      </c>
      <c r="F40" s="356">
        <f ca="1">INDIRECT("'数据-取费表'!I"&amp;$G$1)</f>
        <v>5.5E-2</v>
      </c>
      <c r="G40" s="1847"/>
      <c r="H40" s="1835"/>
      <c r="I40" s="1856"/>
      <c r="J40" s="1857"/>
      <c r="K40" s="1861"/>
      <c r="L40" s="1835"/>
      <c r="M40" s="1835"/>
    </row>
    <row r="41" spans="1:18" ht="18" customHeight="1">
      <c r="A41" s="348"/>
      <c r="B41" s="349"/>
      <c r="C41" s="350"/>
      <c r="D41" s="377" t="s">
        <v>1486</v>
      </c>
      <c r="E41" s="346" t="s">
        <v>1474</v>
      </c>
      <c r="F41" s="378">
        <f ca="1">IF(INDIRECT("'数据-取费表'!af"&amp;$G$1)=0,INDIRECT("'数据-取费表'!ae"&amp;$G$1),INDIRECT("'数据-取费表'!af"&amp;$G$1))</f>
        <v>35.729999999999997</v>
      </c>
      <c r="G41" s="1847"/>
      <c r="H41" s="731"/>
      <c r="I41" s="1856"/>
      <c r="J41" s="1857"/>
      <c r="K41" s="750"/>
      <c r="L41" s="731"/>
      <c r="M41" s="731"/>
    </row>
    <row r="42" spans="1:18" ht="18" customHeight="1">
      <c r="A42" s="352"/>
      <c r="B42" s="353"/>
      <c r="C42" s="354"/>
      <c r="D42" s="372"/>
      <c r="E42" s="346" t="s">
        <v>1477</v>
      </c>
      <c r="F42" s="356">
        <f ca="1">INDIRECT("'数据-取费表'!v"&amp;$G$1)</f>
        <v>0.03</v>
      </c>
      <c r="G42" s="1847"/>
      <c r="H42" s="731"/>
      <c r="I42" s="1856"/>
      <c r="J42" s="1857"/>
      <c r="K42" s="750"/>
      <c r="L42" s="731"/>
      <c r="M42" s="731"/>
    </row>
    <row r="43" spans="1:18" ht="18" customHeight="1" thickBot="1">
      <c r="A43" s="379" t="s">
        <v>1033</v>
      </c>
      <c r="B43" s="380" t="s">
        <v>1487</v>
      </c>
      <c r="C43" s="381">
        <f ca="1">ROUND(C40*10000/F43,0)</f>
        <v>11956</v>
      </c>
      <c r="D43" s="382" t="s">
        <v>1488</v>
      </c>
      <c r="E43" s="383" t="s">
        <v>1489</v>
      </c>
      <c r="F43" s="384">
        <f ca="1">INDIRECT("'数据-取费表'!k"&amp;$G$1)</f>
        <v>11418.03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1519</v>
      </c>
      <c r="P45" s="1835"/>
      <c r="Q45" s="1835"/>
      <c r="R45" s="1835"/>
    </row>
    <row r="46" spans="1:18" s="1838" customFormat="1" ht="13.5" thickBot="1">
      <c r="A46" s="1866" t="s">
        <v>1520</v>
      </c>
      <c r="C46" s="1867">
        <f ca="1">C68-C40</f>
        <v>-23368</v>
      </c>
      <c r="D46" s="1868" t="str">
        <f>C2</f>
        <v>万元</v>
      </c>
      <c r="E46" s="1862"/>
      <c r="F46" s="1862"/>
      <c r="I46" s="1869" t="s">
        <v>1521</v>
      </c>
      <c r="J46" s="1870"/>
      <c r="K46" s="1871"/>
      <c r="L46" s="1872">
        <f ca="1">IF(M47="住宅",0,IF(L48&gt;J51,L60,J60))</f>
        <v>109</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91"/>
      <c r="I47" s="1876" t="s">
        <v>1526</v>
      </c>
      <c r="J47" s="1877" t="s">
        <v>3272</v>
      </c>
      <c r="K47" s="1878" t="s">
        <v>1527</v>
      </c>
      <c r="L47" s="1879">
        <f ca="1">INDIRECT("'数据-取费表'!d"&amp;$G$1)</f>
        <v>40</v>
      </c>
      <c r="M47" s="1834" t="str">
        <f>IF(ISNUMBER(FIND("住宅",C1)),"住宅","非住宅")</f>
        <v>非住宅</v>
      </c>
      <c r="O47" s="1880" t="s">
        <v>1040</v>
      </c>
      <c r="P47" s="1881" t="s">
        <v>1528</v>
      </c>
      <c r="Q47" s="1882">
        <f ca="1">C40+J29</f>
        <v>13651</v>
      </c>
      <c r="R47" s="1882" t="s">
        <v>1529</v>
      </c>
    </row>
    <row r="48" spans="1:18" s="1838" customFormat="1" ht="28.5" thickBot="1">
      <c r="A48" s="1356" t="s">
        <v>1135</v>
      </c>
      <c r="B48" s="344" t="s">
        <v>1401</v>
      </c>
      <c r="C48" s="2948">
        <f ca="1">C49+C53+C55</f>
        <v>0</v>
      </c>
      <c r="D48" s="1358"/>
      <c r="E48" s="1359"/>
      <c r="F48" s="1177"/>
      <c r="G48" s="791"/>
      <c r="H48" s="792"/>
      <c r="I48" s="1883" t="s">
        <v>1530</v>
      </c>
      <c r="J48" s="1884" t="s">
        <v>3273</v>
      </c>
      <c r="K48" s="1885" t="s">
        <v>1531</v>
      </c>
      <c r="L48" s="1886">
        <f ca="1">INDIRECT("'数据-取费表'!f"&amp;$G$1)</f>
        <v>35.729999999999997</v>
      </c>
      <c r="O48" s="1880" t="s">
        <v>1041</v>
      </c>
      <c r="P48" s="1881" t="s">
        <v>1532</v>
      </c>
      <c r="Q48" s="1882">
        <f ca="1">J60</f>
        <v>109</v>
      </c>
      <c r="R48" s="1882" t="s">
        <v>1533</v>
      </c>
    </row>
    <row r="49" spans="1:18" s="1838" customFormat="1" ht="13.5" thickBot="1">
      <c r="A49" s="1190" t="s">
        <v>1136</v>
      </c>
      <c r="B49" s="1825" t="s">
        <v>1490</v>
      </c>
      <c r="C49" s="1360">
        <f ca="1">ROUND(F49*F51*F50*(1-F52)/10000,0)</f>
        <v>0</v>
      </c>
      <c r="D49" s="1272" t="s">
        <v>3025</v>
      </c>
      <c r="E49" s="1826" t="s">
        <v>1491</v>
      </c>
      <c r="F49" s="1277"/>
      <c r="G49" s="1887"/>
      <c r="H49" s="792"/>
      <c r="I49" s="1883" t="s">
        <v>1534</v>
      </c>
      <c r="J49" s="1888">
        <v>2018</v>
      </c>
      <c r="K49" s="1885" t="s">
        <v>1535</v>
      </c>
      <c r="L49" s="1889"/>
      <c r="O49" s="1890" t="s">
        <v>1042</v>
      </c>
      <c r="P49" s="1881" t="s">
        <v>1536</v>
      </c>
      <c r="Q49" s="1882">
        <f ca="1">C29</f>
        <v>5871</v>
      </c>
      <c r="R49" s="1882" t="s">
        <v>1529</v>
      </c>
    </row>
    <row r="50" spans="1:18" s="1838" customFormat="1" ht="13.5" thickBot="1">
      <c r="A50" s="1191"/>
      <c r="B50" s="1194"/>
      <c r="C50" s="1364"/>
      <c r="D50" s="1168"/>
      <c r="E50" s="1273" t="s">
        <v>1406</v>
      </c>
      <c r="F50" s="1274">
        <f ca="1">F7</f>
        <v>11418.03</v>
      </c>
      <c r="H50" s="792"/>
      <c r="I50" s="1883" t="s">
        <v>1537</v>
      </c>
      <c r="J50" s="1891">
        <f>SUMPRODUCT((I63:I65=J47)*(J62:L62=J48)*(J63:L65))</f>
        <v>60</v>
      </c>
      <c r="K50" s="1885" t="s">
        <v>1538</v>
      </c>
      <c r="L50" s="1889"/>
      <c r="M50" s="1892"/>
      <c r="O50" s="1890" t="s">
        <v>1043</v>
      </c>
      <c r="P50" s="1881" t="s">
        <v>1539</v>
      </c>
      <c r="Q50" s="1893">
        <f ca="1">J58</f>
        <v>0.40500000000000003</v>
      </c>
      <c r="R50" s="1882"/>
    </row>
    <row r="51" spans="1:18" s="1838" customFormat="1" ht="13.5" thickBot="1">
      <c r="A51" s="1192"/>
      <c r="B51" s="1194"/>
      <c r="C51" s="1195"/>
      <c r="D51" s="1168"/>
      <c r="E51" s="1196" t="s">
        <v>1407</v>
      </c>
      <c r="F51" s="347">
        <f ca="1">F8</f>
        <v>365</v>
      </c>
      <c r="I51" s="1894" t="s">
        <v>1540</v>
      </c>
      <c r="J51" s="1895">
        <f>IF(J49="",J50,J49+J50-YEAR('数据-取费表'!B2))</f>
        <v>60</v>
      </c>
      <c r="K51" s="1896" t="s">
        <v>1541</v>
      </c>
      <c r="L51" s="1897">
        <f ca="1">ROUND(-PV(INDIRECT("'数据-取费表'!h"&amp;$G$1),L48,(C39-C13*C76),0),0)</f>
        <v>1655</v>
      </c>
      <c r="M51" s="1898"/>
      <c r="O51" s="1890" t="s">
        <v>1044</v>
      </c>
      <c r="P51" s="1881" t="s">
        <v>1542</v>
      </c>
      <c r="Q51" s="1893">
        <f>J52</f>
        <v>0.09</v>
      </c>
      <c r="R51" s="1882"/>
    </row>
    <row r="52" spans="1:18" s="1838" customFormat="1" ht="13.5" thickBot="1">
      <c r="A52" s="1192"/>
      <c r="B52" s="1194"/>
      <c r="C52" s="1195"/>
      <c r="D52" s="1168"/>
      <c r="E52" s="1196" t="s">
        <v>1408</v>
      </c>
      <c r="F52" s="1271"/>
      <c r="I52" s="1899" t="s">
        <v>1543</v>
      </c>
      <c r="J52" s="1900">
        <v>0.09</v>
      </c>
      <c r="K52" s="1899" t="s">
        <v>1544</v>
      </c>
      <c r="L52" s="1900"/>
      <c r="O52" s="1890" t="s">
        <v>1045</v>
      </c>
      <c r="P52" s="1881" t="s">
        <v>1545</v>
      </c>
      <c r="Q52" s="1882">
        <f ca="1">J53</f>
        <v>35.729999999999997</v>
      </c>
      <c r="R52" s="1882" t="s">
        <v>1546</v>
      </c>
    </row>
    <row r="53" spans="1:18" s="1838" customFormat="1" ht="24.75" thickBot="1">
      <c r="A53" s="1401" t="s">
        <v>1137</v>
      </c>
      <c r="B53" s="1827" t="s">
        <v>1409</v>
      </c>
      <c r="C53" s="360">
        <f ca="1">ROUND(IF(F53="押一",C49/12*F11,IF(F53="押二",C49/12*2*F11,IF(F53="押三",C49/12*3*F11,C54*F11))),0)</f>
        <v>0</v>
      </c>
      <c r="D53" s="1820" t="s">
        <v>3032</v>
      </c>
      <c r="E53" s="357" t="s">
        <v>1410</v>
      </c>
      <c r="F53" s="1362"/>
      <c r="I53" s="1901" t="s">
        <v>1547</v>
      </c>
      <c r="J53" s="1902">
        <f ca="1">IF(M47="住宅",IF(D1="——",MAX(J51,L48),IF(D1="在建（套用方法）",MAX(J51,L48-'数据-取费表'!B24),MAX(J51,L48-'数据-取费表'!B20))),IF(D1="——",MIN(J51,L48),IF(D1="在建（套用方法）",MIN(J51,L48-'数据-取费表'!B24),IF(D1="土地（套用方法）",MIN(J51,L48-'数据-取费表'!B20)))))</f>
        <v>35.729999999999997</v>
      </c>
      <c r="K53" s="3246" t="s">
        <v>1548</v>
      </c>
      <c r="L53" s="3247"/>
      <c r="O53" s="1880" t="s">
        <v>1046</v>
      </c>
      <c r="P53" s="1881" t="s">
        <v>1549</v>
      </c>
      <c r="Q53" s="1882">
        <f ca="1">Q47+Q48</f>
        <v>13760</v>
      </c>
      <c r="R53" s="1882" t="s">
        <v>1047</v>
      </c>
    </row>
    <row r="54" spans="1:18" s="1838" customFormat="1" ht="13.5" thickBot="1">
      <c r="A54" s="1402"/>
      <c r="B54" s="1821" t="s">
        <v>1388</v>
      </c>
      <c r="C54" s="1174"/>
      <c r="D54" s="1820"/>
      <c r="E54" s="294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2947"/>
      <c r="F55" s="1903"/>
      <c r="I55" s="1906" t="s">
        <v>1551</v>
      </c>
      <c r="J55" s="1907">
        <f ca="1">ROUND(IF(J47="钢混",J57/J50,1-(1-2%)*(J50-J57)/J50),3)</f>
        <v>0.40500000000000003</v>
      </c>
      <c r="K55" s="1908" t="s">
        <v>1552</v>
      </c>
      <c r="L55" s="1909" t="s">
        <v>1553</v>
      </c>
      <c r="O55" s="1873" t="s">
        <v>1522</v>
      </c>
      <c r="P55" s="1874" t="s">
        <v>1523</v>
      </c>
      <c r="Q55" s="1875" t="s">
        <v>1524</v>
      </c>
      <c r="R55" s="1875" t="s">
        <v>1525</v>
      </c>
    </row>
    <row r="56" spans="1:18" s="1838" customFormat="1" ht="25.5" thickTop="1" thickBot="1">
      <c r="A56" s="1172">
        <v>2</v>
      </c>
      <c r="B56" s="1173" t="s">
        <v>1414</v>
      </c>
      <c r="C56" s="275">
        <f ca="1">C13</f>
        <v>5871</v>
      </c>
      <c r="D56" s="1910"/>
      <c r="E56" s="1911"/>
      <c r="F56" s="1903"/>
      <c r="I56" s="1912" t="s">
        <v>1554</v>
      </c>
      <c r="J56" s="1913" t="s">
        <v>3198</v>
      </c>
      <c r="K56" s="1883" t="s">
        <v>1555</v>
      </c>
      <c r="L56" s="1886" t="str">
        <f ca="1">IF(L48&lt;J51,"——",L48-J53)</f>
        <v>——</v>
      </c>
      <c r="O56" s="1880" t="s">
        <v>1040</v>
      </c>
      <c r="P56" s="1881" t="s">
        <v>1528</v>
      </c>
      <c r="Q56" s="1882">
        <f ca="1">C40+J29</f>
        <v>13651</v>
      </c>
      <c r="R56" s="1882" t="s">
        <v>1529</v>
      </c>
    </row>
    <row r="57" spans="1:18" s="1838" customFormat="1" ht="24.75" thickBot="1">
      <c r="A57" s="1914"/>
      <c r="B57" s="1165" t="s">
        <v>1478</v>
      </c>
      <c r="C57" s="281">
        <f ca="1">C29</f>
        <v>5871</v>
      </c>
      <c r="D57" s="1915"/>
      <c r="E57" s="1916"/>
      <c r="F57" s="1917"/>
      <c r="I57" s="1918" t="s">
        <v>1556</v>
      </c>
      <c r="J57" s="1919">
        <f ca="1">IF(OR(M47="住宅",J51&lt;L48,J56="是"),"——",J51-L48)</f>
        <v>24.270000000000003</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1424</v>
      </c>
      <c r="C58" s="360">
        <f ca="1">ROUND(C59+C64+C65+C66,0)</f>
        <v>627</v>
      </c>
      <c r="D58" s="1175" t="s">
        <v>1425</v>
      </c>
      <c r="E58" s="1176"/>
      <c r="F58" s="1177"/>
      <c r="I58" s="1918" t="s">
        <v>1560</v>
      </c>
      <c r="J58" s="1920">
        <f ca="1">IF(J55&lt;0.4,0.4,J55)</f>
        <v>0.40500000000000003</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497.4</v>
      </c>
      <c r="D59" s="1178" t="s">
        <v>1430</v>
      </c>
      <c r="E59" s="1179" t="s">
        <v>1431</v>
      </c>
      <c r="F59" s="367" t="str">
        <f ca="1">IF(项目基本情况!B11="企业","",IF(INDIRECT("'数据-取费表'!c"&amp;$G$1)="住宅",5%,IF(F49*F50*F51/12/(1+'数据-取费表'!C42)&gt;20000,12%,7%)))</f>
        <v/>
      </c>
      <c r="I59" s="1918" t="s">
        <v>1563</v>
      </c>
      <c r="J59" s="1919">
        <f ca="1">IF(OR(M47="住宅",J51&lt;L48,J56="是"),"——",ROUND(C29*J58,0))</f>
        <v>2378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6">
        <f t="shared" ref="F60:F66" si="0">F32</f>
        <v>5.6000000000000001E-2</v>
      </c>
      <c r="I60" s="1921" t="s">
        <v>1565</v>
      </c>
      <c r="J60" s="1922">
        <f ca="1">IF(OR(M47="住宅",J51&lt;L48,J56="是"),"0",ROUND(J59/(1+J52)^J53,0))</f>
        <v>109</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1492</v>
      </c>
      <c r="B61" s="1165" t="s">
        <v>1437</v>
      </c>
      <c r="C61" s="24">
        <f ca="1">IF(项目基本情况!B11="自然人","——",IF(D61="按租金收入计税",ROUND(C48*F61,2),IF(D61="按房产原值计税",ROUND(C57*F61*0.7,2),INDIRECT("'数据-取费表'!Aj"&amp;$G$1))))</f>
        <v>493.16</v>
      </c>
      <c r="D61" s="1824" t="s">
        <v>1438</v>
      </c>
      <c r="E61" s="1165" t="s">
        <v>1422</v>
      </c>
      <c r="F61" s="366">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1495</v>
      </c>
      <c r="B62" s="1164" t="s">
        <v>1441</v>
      </c>
      <c r="C62" s="25">
        <f ca="1">IF(项目基本情况!B11="自然人","——",ROUND(F62*F63/10000,2))</f>
        <v>4.2300000000000004</v>
      </c>
      <c r="D62" s="1180" t="s">
        <v>1442</v>
      </c>
      <c r="E62" s="1165" t="s">
        <v>1443</v>
      </c>
      <c r="F62" s="370">
        <f t="shared" si="0"/>
        <v>14</v>
      </c>
      <c r="I62" s="1925" t="s">
        <v>1570</v>
      </c>
      <c r="J62" s="1926" t="s">
        <v>1571</v>
      </c>
      <c r="K62" s="1926" t="s">
        <v>1572</v>
      </c>
      <c r="L62" s="1926" t="s">
        <v>1573</v>
      </c>
      <c r="M62" s="1927" t="s">
        <v>1574</v>
      </c>
      <c r="O62" s="1880" t="s">
        <v>1046</v>
      </c>
      <c r="P62" s="1881" t="s">
        <v>1575</v>
      </c>
      <c r="Q62" s="1882">
        <f ca="1">Q56+Q57</f>
        <v>13651</v>
      </c>
      <c r="R62" s="1882" t="s">
        <v>1047</v>
      </c>
    </row>
    <row r="63" spans="1:18" s="1838" customFormat="1" ht="13.5" thickBot="1">
      <c r="A63" s="371"/>
      <c r="B63" s="1171"/>
      <c r="C63" s="29"/>
      <c r="D63" s="1181"/>
      <c r="E63" s="1165" t="s">
        <v>1447</v>
      </c>
      <c r="F63" s="347">
        <f t="shared" ca="1" si="0"/>
        <v>3018.11</v>
      </c>
      <c r="I63" s="1925" t="s">
        <v>1576</v>
      </c>
      <c r="J63" s="1926">
        <v>70</v>
      </c>
      <c r="K63" s="1926">
        <v>50</v>
      </c>
      <c r="L63" s="1926">
        <v>80</v>
      </c>
      <c r="M63" s="1928">
        <v>0.02</v>
      </c>
      <c r="O63" s="1865" t="s">
        <v>1577</v>
      </c>
      <c r="P63" s="1835"/>
      <c r="Q63" s="1835"/>
      <c r="R63" s="1835"/>
    </row>
    <row r="64" spans="1:18" s="1838" customFormat="1" ht="13.5" thickBot="1">
      <c r="A64" s="1197" t="s">
        <v>1039</v>
      </c>
      <c r="B64" s="1165" t="s">
        <v>1449</v>
      </c>
      <c r="C64" s="24">
        <f ca="1">ROUND(C57*F64,1)</f>
        <v>117.4</v>
      </c>
      <c r="D64" s="1179" t="s">
        <v>1482</v>
      </c>
      <c r="E64" s="1165" t="s">
        <v>1422</v>
      </c>
      <c r="F64" s="373">
        <f t="shared" ca="1" si="0"/>
        <v>0.02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11.7</v>
      </c>
      <c r="D65" s="1179" t="s">
        <v>1454</v>
      </c>
      <c r="E65" s="1165" t="s">
        <v>1422</v>
      </c>
      <c r="F65" s="375">
        <f t="shared" ca="1" si="0"/>
        <v>2E-3</v>
      </c>
      <c r="I65" s="1925" t="s">
        <v>1579</v>
      </c>
      <c r="J65" s="1926">
        <v>40</v>
      </c>
      <c r="K65" s="1926">
        <v>30</v>
      </c>
      <c r="L65" s="1926">
        <v>50</v>
      </c>
      <c r="M65" s="1928">
        <v>0.02</v>
      </c>
      <c r="O65" s="1880" t="s">
        <v>1040</v>
      </c>
      <c r="P65" s="1881" t="s">
        <v>1528</v>
      </c>
      <c r="Q65" s="1882">
        <f ca="1">C40+J29</f>
        <v>13651</v>
      </c>
      <c r="R65" s="1882" t="s">
        <v>1529</v>
      </c>
    </row>
    <row r="66" spans="1:18" s="1838" customFormat="1" ht="16.5" thickBot="1">
      <c r="A66" s="1197" t="s">
        <v>1504</v>
      </c>
      <c r="B66" s="1165" t="s">
        <v>1439</v>
      </c>
      <c r="C66" s="24">
        <f ca="1">ROUND(C48*F66,1)</f>
        <v>0</v>
      </c>
      <c r="D66" s="1179" t="s">
        <v>1459</v>
      </c>
      <c r="E66" s="1165" t="s">
        <v>1422</v>
      </c>
      <c r="F66" s="356">
        <f t="shared" ca="1" si="0"/>
        <v>0.02</v>
      </c>
      <c r="O66" s="1880" t="s">
        <v>1041</v>
      </c>
      <c r="P66" s="1881" t="s">
        <v>1558</v>
      </c>
      <c r="Q66" s="1882">
        <f ca="1">L60</f>
        <v>0</v>
      </c>
      <c r="R66" s="1882" t="s">
        <v>1581</v>
      </c>
    </row>
    <row r="67" spans="1:18" s="1838" customFormat="1" ht="16.5" thickBot="1">
      <c r="A67" s="1172" t="s">
        <v>1031</v>
      </c>
      <c r="B67" s="1182" t="s">
        <v>1463</v>
      </c>
      <c r="C67" s="360">
        <f ca="1">C48-C58</f>
        <v>-627</v>
      </c>
      <c r="D67" s="1178" t="s">
        <v>1464</v>
      </c>
      <c r="E67" s="1183"/>
      <c r="F67" s="1184"/>
      <c r="O67" s="1890" t="s">
        <v>1042</v>
      </c>
      <c r="P67" s="1881" t="s">
        <v>1562</v>
      </c>
      <c r="Q67" s="1929">
        <f ca="1">L51</f>
        <v>1655</v>
      </c>
      <c r="R67" s="1882" t="s">
        <v>1582</v>
      </c>
    </row>
    <row r="68" spans="1:18" s="1838" customFormat="1" ht="16.5" thickBot="1">
      <c r="A68" s="1162" t="s">
        <v>1032</v>
      </c>
      <c r="B68" s="1163" t="s">
        <v>1485</v>
      </c>
      <c r="C68" s="345">
        <f ca="1">ROUND(C67*(1-((1+F70)/(1+F68))^F69)/(F68-F70),0)</f>
        <v>-9717</v>
      </c>
      <c r="D68" s="1180" t="s">
        <v>1469</v>
      </c>
      <c r="E68" s="1165" t="s">
        <v>1470</v>
      </c>
      <c r="F68" s="356">
        <f ca="1">F40</f>
        <v>5.5E-2</v>
      </c>
      <c r="O68" s="1890" t="s">
        <v>1043</v>
      </c>
      <c r="P68" s="1930" t="s">
        <v>1583</v>
      </c>
      <c r="Q68" s="1882">
        <f ca="1">ROUND(Q69-Q70*Q71,0)</f>
        <v>94</v>
      </c>
      <c r="R68" s="1882" t="s">
        <v>1051</v>
      </c>
    </row>
    <row r="69" spans="1:18" s="1838" customFormat="1" ht="13.5" thickBot="1">
      <c r="A69" s="1166"/>
      <c r="B69" s="1167"/>
      <c r="C69" s="350"/>
      <c r="D69" s="1185" t="s">
        <v>1473</v>
      </c>
      <c r="E69" s="1165" t="s">
        <v>1474</v>
      </c>
      <c r="F69" s="378">
        <f ca="1">F41</f>
        <v>35.729999999999997</v>
      </c>
      <c r="O69" s="1890" t="s">
        <v>1048</v>
      </c>
      <c r="P69" s="1930" t="s">
        <v>1584</v>
      </c>
      <c r="Q69" s="1882">
        <f ca="1">C39</f>
        <v>593</v>
      </c>
      <c r="R69" s="1882" t="s">
        <v>1529</v>
      </c>
    </row>
    <row r="70" spans="1:18" s="1838" customFormat="1" ht="13.5" thickBot="1">
      <c r="A70" s="1169"/>
      <c r="B70" s="1170"/>
      <c r="C70" s="354"/>
      <c r="D70" s="1181"/>
      <c r="E70" s="1165" t="s">
        <v>1477</v>
      </c>
      <c r="F70" s="1271"/>
      <c r="O70" s="1890" t="s">
        <v>1049</v>
      </c>
      <c r="P70" s="1930" t="s">
        <v>1585</v>
      </c>
      <c r="Q70" s="1882">
        <f ca="1">C13</f>
        <v>5871</v>
      </c>
      <c r="R70" s="1882" t="s">
        <v>1529</v>
      </c>
    </row>
    <row r="71" spans="1:18" s="1838" customFormat="1" ht="13.5" thickBot="1">
      <c r="A71" s="1186" t="s">
        <v>1033</v>
      </c>
      <c r="B71" s="1187" t="s">
        <v>1487</v>
      </c>
      <c r="C71" s="381">
        <f ca="1">ROUND(C68*10000/F71,0)</f>
        <v>-8510</v>
      </c>
      <c r="D71" s="1188" t="s">
        <v>1488</v>
      </c>
      <c r="E71" s="1189" t="s">
        <v>1489</v>
      </c>
      <c r="F71" s="384">
        <f ca="1">F43</f>
        <v>11418.03</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1506</v>
      </c>
      <c r="C75" s="386">
        <f ca="1">ROUND(C13*C76,0)</f>
        <v>499</v>
      </c>
      <c r="D75" s="1838"/>
      <c r="E75" s="1838"/>
      <c r="F75" s="1838"/>
      <c r="K75" s="1864"/>
      <c r="L75" s="1838"/>
      <c r="O75" s="1880" t="s">
        <v>1046</v>
      </c>
      <c r="P75" s="1881" t="s">
        <v>1549</v>
      </c>
      <c r="Q75" s="1882">
        <f ca="1">Q65+Q66</f>
        <v>13651</v>
      </c>
      <c r="R75" s="1882" t="s">
        <v>1047</v>
      </c>
    </row>
    <row r="76" spans="1:18">
      <c r="B76" s="387" t="s">
        <v>1507</v>
      </c>
      <c r="C76" s="388">
        <f ca="1">INDIRECT("'数据-取费表'!j"&amp;$G$1)</f>
        <v>8.5000000000000006E-2</v>
      </c>
      <c r="I76" s="1838"/>
      <c r="J76" s="1838"/>
      <c r="K76" s="1864"/>
      <c r="L76" s="1838"/>
    </row>
    <row r="77" spans="1:18">
      <c r="B77" s="389" t="s">
        <v>1508</v>
      </c>
      <c r="C77" s="390"/>
      <c r="I77" s="1838"/>
      <c r="J77" s="1838"/>
      <c r="K77" s="1864"/>
      <c r="L77" s="1838"/>
    </row>
    <row r="78" spans="1:18">
      <c r="B78" s="313" t="s">
        <v>1509</v>
      </c>
      <c r="C78" s="391"/>
    </row>
    <row r="79" spans="1:18">
      <c r="B79" s="385" t="s">
        <v>1510</v>
      </c>
      <c r="C79" s="317">
        <f ca="1">1-C80</f>
        <v>0.15900000000000003</v>
      </c>
    </row>
    <row r="80" spans="1:18">
      <c r="B80" s="385" t="s">
        <v>1511</v>
      </c>
      <c r="C80" s="317">
        <f ca="1">ROUND(C75/C39,3)</f>
        <v>0.84099999999999997</v>
      </c>
    </row>
    <row r="81" spans="2:3">
      <c r="B81" s="313" t="s">
        <v>1512</v>
      </c>
      <c r="C81" s="281"/>
    </row>
    <row r="82" spans="2:3">
      <c r="B82" s="316" t="s">
        <v>1513</v>
      </c>
      <c r="C82" s="318">
        <f ca="1">1-C83</f>
        <v>0.57000000000000006</v>
      </c>
    </row>
    <row r="83" spans="2:3">
      <c r="B83" s="316" t="s">
        <v>1514</v>
      </c>
      <c r="C83" s="317">
        <f ca="1">ROUND(C13/C40,3)</f>
        <v>0.43</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2520</v>
      </c>
      <c r="B1" s="2662" t="s">
        <v>2678</v>
      </c>
      <c r="C1" s="1616" t="s">
        <v>2522</v>
      </c>
      <c r="D1" s="1617"/>
      <c r="E1" s="1626"/>
      <c r="F1" s="2577"/>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2319</v>
      </c>
      <c r="B2" s="1414" t="e">
        <f ca="1">IF(C2="——",ROUND(C50*D3/10000,0),ROUND(C50*D3/10000,0)-D2)</f>
        <v>#DIV/0!</v>
      </c>
      <c r="C2" s="2579"/>
      <c r="D2" s="1361" t="e">
        <f ca="1">SUMIF(INDIRECT("'"&amp;F2&amp;"'"&amp;"!A:A"),"承租人权益价值",INDIRECT("'"&amp;F2&amp;"'"&amp;"!c:c"))</f>
        <v>#REF!</v>
      </c>
      <c r="E2" s="2580" t="s">
        <v>2320</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2321</v>
      </c>
      <c r="B3" s="608" t="e">
        <f ca="1">IF(C2="——",C50,ROUND(B2*10000/D3,0))</f>
        <v>#DIV/0!</v>
      </c>
      <c r="C3" s="399" t="s">
        <v>2636</v>
      </c>
      <c r="D3" s="398">
        <f>IF(D1="",'数据-汇总表'!E3,SUMIF('数据-汇总表'!$C19:$C33,D1,'数据-汇总表'!$E19:$E33))</f>
        <v>111646.95</v>
      </c>
      <c r="E3" s="2656"/>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2637</v>
      </c>
      <c r="B4" s="401"/>
      <c r="C4" s="3204" t="s">
        <v>2638</v>
      </c>
      <c r="D4" s="3217"/>
      <c r="E4" s="3218" t="s">
        <v>2639</v>
      </c>
      <c r="F4" s="3219"/>
      <c r="G4" s="3204" t="s">
        <v>2640</v>
      </c>
      <c r="H4" s="3217"/>
      <c r="I4" s="3204" t="s">
        <v>2641</v>
      </c>
      <c r="J4" s="3217"/>
      <c r="K4" s="609" t="s">
        <v>2642</v>
      </c>
      <c r="L4" s="1126"/>
      <c r="M4" s="1127"/>
      <c r="N4" s="1127"/>
      <c r="O4" s="1127"/>
      <c r="P4" s="3287" t="s">
        <v>2643</v>
      </c>
      <c r="Q4" s="3288"/>
      <c r="R4" s="3291" t="s">
        <v>2639</v>
      </c>
      <c r="S4" s="3292"/>
      <c r="T4" s="3291" t="s">
        <v>2640</v>
      </c>
      <c r="U4" s="3292"/>
      <c r="V4" s="3293" t="s">
        <v>2641</v>
      </c>
      <c r="W4" s="3293"/>
      <c r="X4" s="2663"/>
      <c r="Y4" s="3291" t="s">
        <v>2643</v>
      </c>
      <c r="Z4" s="3292"/>
      <c r="AA4" s="3295" t="s">
        <v>2639</v>
      </c>
      <c r="AB4" s="3295" t="s">
        <v>2640</v>
      </c>
      <c r="AC4" s="3284" t="s">
        <v>2641</v>
      </c>
    </row>
    <row r="5" spans="1:29" ht="15">
      <c r="A5" s="403"/>
      <c r="B5" s="404"/>
      <c r="C5" s="3234" t="s">
        <v>2534</v>
      </c>
      <c r="D5" s="3235"/>
      <c r="E5" s="3243" t="s">
        <v>2535</v>
      </c>
      <c r="F5" s="3244"/>
      <c r="G5" s="3234" t="s">
        <v>2536</v>
      </c>
      <c r="H5" s="3235"/>
      <c r="I5" s="3234" t="s">
        <v>2537</v>
      </c>
      <c r="J5" s="3235"/>
      <c r="K5" s="609"/>
      <c r="L5" s="1126"/>
      <c r="M5" s="1127"/>
      <c r="N5" s="1127"/>
      <c r="O5" s="1127"/>
      <c r="P5" s="3289"/>
      <c r="Q5" s="3223"/>
      <c r="R5" s="3228"/>
      <c r="S5" s="3229"/>
      <c r="T5" s="3228"/>
      <c r="U5" s="3229"/>
      <c r="V5" s="3213"/>
      <c r="W5" s="3213"/>
      <c r="X5" s="1809"/>
      <c r="Y5" s="3228"/>
      <c r="Z5" s="3229"/>
      <c r="AA5" s="3215"/>
      <c r="AB5" s="3215"/>
      <c r="AC5" s="3285"/>
    </row>
    <row r="6" spans="1:29" ht="15.75" thickBot="1">
      <c r="A6" s="405"/>
      <c r="B6" s="406"/>
      <c r="C6" s="3240" t="s">
        <v>2538</v>
      </c>
      <c r="D6" s="3233"/>
      <c r="E6" s="3280" t="s">
        <v>2538</v>
      </c>
      <c r="F6" s="3242"/>
      <c r="G6" s="3240" t="s">
        <v>2538</v>
      </c>
      <c r="H6" s="3233"/>
      <c r="I6" s="3240" t="s">
        <v>2538</v>
      </c>
      <c r="J6" s="3233"/>
      <c r="K6" s="609" t="s">
        <v>2539</v>
      </c>
      <c r="L6" s="1126"/>
      <c r="M6" s="1127"/>
      <c r="N6" s="1127"/>
      <c r="O6" s="1127"/>
      <c r="P6" s="3290"/>
      <c r="Q6" s="3225"/>
      <c r="R6" s="3228"/>
      <c r="S6" s="3229"/>
      <c r="T6" s="3230"/>
      <c r="U6" s="3231"/>
      <c r="V6" s="3213"/>
      <c r="W6" s="3213"/>
      <c r="X6" s="1809"/>
      <c r="Y6" s="3230"/>
      <c r="Z6" s="3231"/>
      <c r="AA6" s="3216"/>
      <c r="AB6" s="3216"/>
      <c r="AC6" s="3286"/>
    </row>
    <row r="7" spans="1:29" s="116" customFormat="1" ht="15.75" thickBot="1">
      <c r="A7" s="407" t="s">
        <v>2540</v>
      </c>
      <c r="B7" s="408"/>
      <c r="C7" s="409">
        <f>'数据-取费表'!B2</f>
        <v>43265</v>
      </c>
      <c r="D7" s="410">
        <v>100</v>
      </c>
      <c r="E7" s="411"/>
      <c r="F7" s="412">
        <f>SUMIF(59:59,YEAR(E7)&amp;"-"&amp;MONTH(E7),60:60)</f>
        <v>0</v>
      </c>
      <c r="G7" s="411"/>
      <c r="H7" s="410">
        <f>SUMIF(59:59,YEAR(G7)&amp;"-"&amp;MONTH(G7),60:60)</f>
        <v>0</v>
      </c>
      <c r="I7" s="411"/>
      <c r="J7" s="410">
        <f>SUMIF(59:59,YEAR(I7)&amp;"-"&amp;MONTH(I7),60:60)</f>
        <v>0</v>
      </c>
      <c r="K7" s="610"/>
      <c r="L7" s="1128"/>
      <c r="M7" s="1129"/>
      <c r="N7" s="1129"/>
      <c r="O7" s="1129"/>
      <c r="P7" s="3294" t="s">
        <v>2541</v>
      </c>
      <c r="Q7" s="3238"/>
      <c r="R7" s="769" t="s">
        <v>17</v>
      </c>
      <c r="S7" s="770">
        <f t="shared" ref="S7:S15" si="0">F7</f>
        <v>0</v>
      </c>
      <c r="T7" s="769" t="s">
        <v>17</v>
      </c>
      <c r="U7" s="770">
        <f t="shared" ref="U7:U15" si="1">H7</f>
        <v>0</v>
      </c>
      <c r="V7" s="769" t="s">
        <v>17</v>
      </c>
      <c r="W7" s="770">
        <f t="shared" ref="W7:W15" si="2">J7</f>
        <v>0</v>
      </c>
      <c r="X7" s="771"/>
      <c r="Y7" s="3236" t="s">
        <v>2541</v>
      </c>
      <c r="Z7" s="3237"/>
      <c r="AA7" s="772" t="e">
        <f>D7/F7</f>
        <v>#DIV/0!</v>
      </c>
      <c r="AB7" s="772" t="e">
        <f>D7/H7</f>
        <v>#DIV/0!</v>
      </c>
      <c r="AC7" s="2664"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294" t="s">
        <v>2544</v>
      </c>
      <c r="Q8" s="3237"/>
      <c r="R8" s="769" t="s">
        <v>17</v>
      </c>
      <c r="S8" s="770">
        <f t="shared" si="0"/>
        <v>0</v>
      </c>
      <c r="T8" s="769" t="s">
        <v>17</v>
      </c>
      <c r="U8" s="770">
        <f t="shared" si="1"/>
        <v>0</v>
      </c>
      <c r="V8" s="769" t="s">
        <v>17</v>
      </c>
      <c r="W8" s="770">
        <f t="shared" si="2"/>
        <v>0</v>
      </c>
      <c r="X8" s="771"/>
      <c r="Y8" s="3236" t="s">
        <v>2544</v>
      </c>
      <c r="Z8" s="3237"/>
      <c r="AA8" s="772" t="e">
        <f t="shared" ref="AA8:AA47" si="3">D8/F8</f>
        <v>#DIV/0!</v>
      </c>
      <c r="AB8" s="772" t="e">
        <f t="shared" ref="AB8:AB47" si="4">D8/H8</f>
        <v>#DIV/0!</v>
      </c>
      <c r="AC8" s="2664" t="e">
        <f t="shared" ref="AC8:AC47" si="5">D8/J8</f>
        <v>#DIV/0!</v>
      </c>
    </row>
    <row r="9" spans="1:29" s="116" customFormat="1">
      <c r="A9" s="414" t="s">
        <v>2545</v>
      </c>
      <c r="B9" s="70" t="s">
        <v>2546</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206" t="s">
        <v>2547</v>
      </c>
      <c r="Q9" s="1791" t="str">
        <f t="shared" ref="Q9:Q15" si="6">B9</f>
        <v>用途</v>
      </c>
      <c r="R9" s="769" t="s">
        <v>17</v>
      </c>
      <c r="S9" s="770">
        <f t="shared" si="0"/>
        <v>100</v>
      </c>
      <c r="T9" s="769" t="s">
        <v>17</v>
      </c>
      <c r="U9" s="770">
        <f t="shared" si="1"/>
        <v>100</v>
      </c>
      <c r="V9" s="769" t="s">
        <v>17</v>
      </c>
      <c r="W9" s="770">
        <f t="shared" si="2"/>
        <v>100</v>
      </c>
      <c r="X9" s="771"/>
      <c r="Y9" s="3051" t="s">
        <v>2548</v>
      </c>
      <c r="Z9" s="55" t="str">
        <f t="shared" ref="Z9:Z15" si="7">Q9</f>
        <v>用途</v>
      </c>
      <c r="AA9" s="772">
        <f t="shared" si="3"/>
        <v>1</v>
      </c>
      <c r="AB9" s="772">
        <f t="shared" si="4"/>
        <v>1</v>
      </c>
      <c r="AC9" s="2664">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206"/>
      <c r="Q10" s="1791"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2664">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206"/>
      <c r="Q11" s="1791" t="str">
        <f t="shared" si="6"/>
        <v>容积率</v>
      </c>
      <c r="R11" s="769" t="s">
        <v>17</v>
      </c>
      <c r="S11" s="770" t="e">
        <f t="shared" si="0"/>
        <v>#N/A</v>
      </c>
      <c r="T11" s="769" t="s">
        <v>17</v>
      </c>
      <c r="U11" s="770" t="e">
        <f t="shared" si="1"/>
        <v>#N/A</v>
      </c>
      <c r="V11" s="769" t="s">
        <v>17</v>
      </c>
      <c r="W11" s="770" t="e">
        <f t="shared" si="2"/>
        <v>#N/A</v>
      </c>
      <c r="X11" s="771"/>
      <c r="Y11" s="3051"/>
      <c r="Z11" s="55" t="str">
        <f t="shared" si="7"/>
        <v>容积率</v>
      </c>
      <c r="AA11" s="772" t="e">
        <f t="shared" si="3"/>
        <v>#N/A</v>
      </c>
      <c r="AB11" s="772" t="e">
        <f t="shared" si="4"/>
        <v>#N/A</v>
      </c>
      <c r="AC11" s="2664" t="e">
        <f t="shared" si="5"/>
        <v>#N/A</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8"/>
      <c r="M12" s="1129"/>
      <c r="N12" s="1129"/>
      <c r="O12" s="1129"/>
      <c r="P12" s="3206"/>
      <c r="Q12" s="1791">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6"/>
      <c r="M13" s="1127"/>
      <c r="N13" s="1127"/>
      <c r="O13" s="1127"/>
      <c r="P13" s="3206"/>
      <c r="Q13" s="1791">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6"/>
      <c r="M14" s="1127"/>
      <c r="N14" s="1127"/>
      <c r="O14" s="1127"/>
      <c r="P14" s="3206"/>
      <c r="Q14" s="1791">
        <f t="shared" si="6"/>
        <v>111</v>
      </c>
      <c r="R14" s="769" t="s">
        <v>17</v>
      </c>
      <c r="S14" s="770">
        <f t="shared" si="0"/>
        <v>100</v>
      </c>
      <c r="T14" s="769" t="s">
        <v>17</v>
      </c>
      <c r="U14" s="770">
        <f t="shared" si="1"/>
        <v>100</v>
      </c>
      <c r="V14" s="769" t="s">
        <v>17</v>
      </c>
      <c r="W14" s="770">
        <f t="shared" si="2"/>
        <v>100</v>
      </c>
      <c r="X14" s="771"/>
      <c r="Y14" s="3051"/>
      <c r="Z14" s="55">
        <f t="shared" si="7"/>
        <v>111</v>
      </c>
      <c r="AA14" s="772">
        <f t="shared" si="3"/>
        <v>1</v>
      </c>
      <c r="AB14" s="772">
        <f t="shared" si="4"/>
        <v>1</v>
      </c>
      <c r="AC14" s="2664">
        <f t="shared" si="5"/>
        <v>1</v>
      </c>
    </row>
    <row r="15" spans="1:29" ht="71.25">
      <c r="A15" s="439" t="s">
        <v>2551</v>
      </c>
      <c r="B15" s="628" t="s">
        <v>2679</v>
      </c>
      <c r="C15" s="2666" t="str">
        <f>估价对象房地状况!C5</f>
        <v>估价对象位于曲江新区，周边办公楼项目数量一般，入驻率一般，办公集聚程度一般。</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278" t="s">
        <v>2552</v>
      </c>
      <c r="Q15" s="1806" t="str">
        <f t="shared" si="6"/>
        <v>办公集聚程度</v>
      </c>
      <c r="R15" s="773" t="s">
        <v>17</v>
      </c>
      <c r="S15" s="774">
        <f t="shared" si="0"/>
        <v>100</v>
      </c>
      <c r="T15" s="773" t="s">
        <v>17</v>
      </c>
      <c r="U15" s="774">
        <f t="shared" si="1"/>
        <v>100</v>
      </c>
      <c r="V15" s="773" t="s">
        <v>17</v>
      </c>
      <c r="W15" s="774">
        <f t="shared" si="2"/>
        <v>100</v>
      </c>
      <c r="X15" s="1809"/>
      <c r="Y15" s="3209" t="s">
        <v>2552</v>
      </c>
      <c r="Z15" s="1810" t="str">
        <f t="shared" si="7"/>
        <v>办公集聚程度</v>
      </c>
      <c r="AA15" s="1807">
        <f t="shared" si="3"/>
        <v>1</v>
      </c>
      <c r="AB15" s="1807">
        <f t="shared" si="4"/>
        <v>1</v>
      </c>
      <c r="AC15" s="2667">
        <f t="shared" si="5"/>
        <v>1</v>
      </c>
    </row>
    <row r="16" spans="1:29" ht="15">
      <c r="A16" s="427"/>
      <c r="B16" s="629"/>
      <c r="C16" s="2604"/>
      <c r="D16" s="447"/>
      <c r="E16" s="446"/>
      <c r="F16" s="447"/>
      <c r="G16" s="2604"/>
      <c r="H16" s="449"/>
      <c r="I16" s="446"/>
      <c r="J16" s="447"/>
      <c r="K16" s="614"/>
      <c r="L16" s="1136"/>
      <c r="M16" s="1127"/>
      <c r="N16" s="1127"/>
      <c r="O16" s="1127"/>
      <c r="P16" s="3279"/>
      <c r="Q16" s="1806"/>
      <c r="R16" s="773"/>
      <c r="S16" s="774"/>
      <c r="T16" s="773"/>
      <c r="U16" s="774"/>
      <c r="V16" s="773"/>
      <c r="W16" s="774"/>
      <c r="X16" s="1809"/>
      <c r="Y16" s="3210"/>
      <c r="Z16" s="1810"/>
      <c r="AA16" s="1807">
        <v>1</v>
      </c>
      <c r="AB16" s="1807">
        <v>1</v>
      </c>
      <c r="AC16" s="2667">
        <v>1</v>
      </c>
    </row>
    <row r="17" spans="1:29" ht="85.5">
      <c r="A17" s="427"/>
      <c r="B17" s="630" t="s">
        <v>2089</v>
      </c>
      <c r="C17" s="2668" t="str">
        <f>估价对象房地状况!C6</f>
        <v>估价对象周边道路通达状况一般、公共交通通达情况一般、停车便捷程度一般，综合评价交通便捷度一般。</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279"/>
      <c r="Q17" s="1806" t="str">
        <f>B17</f>
        <v>交通便捷度</v>
      </c>
      <c r="R17" s="773" t="s">
        <v>17</v>
      </c>
      <c r="S17" s="774">
        <f>F17</f>
        <v>100</v>
      </c>
      <c r="T17" s="773" t="s">
        <v>17</v>
      </c>
      <c r="U17" s="774">
        <f>H17</f>
        <v>100</v>
      </c>
      <c r="V17" s="773" t="s">
        <v>17</v>
      </c>
      <c r="W17" s="774">
        <f>J17</f>
        <v>100</v>
      </c>
      <c r="X17" s="1809"/>
      <c r="Y17" s="3210"/>
      <c r="Z17" s="1810" t="str">
        <f>Q17</f>
        <v>交通便捷度</v>
      </c>
      <c r="AA17" s="1807">
        <f t="shared" si="3"/>
        <v>1</v>
      </c>
      <c r="AB17" s="1807">
        <f t="shared" si="4"/>
        <v>1</v>
      </c>
      <c r="AC17" s="2667">
        <f t="shared" si="5"/>
        <v>1</v>
      </c>
    </row>
    <row r="18" spans="1:29" ht="15">
      <c r="A18" s="427"/>
      <c r="B18" s="631"/>
      <c r="C18" s="2669"/>
      <c r="D18" s="449"/>
      <c r="E18" s="2602"/>
      <c r="F18" s="449"/>
      <c r="G18" s="2603"/>
      <c r="H18" s="447"/>
      <c r="I18" s="2603"/>
      <c r="J18" s="447"/>
      <c r="K18" s="614"/>
      <c r="L18" s="1136"/>
      <c r="M18" s="1127"/>
      <c r="N18" s="1127"/>
      <c r="O18" s="1127"/>
      <c r="P18" s="3279"/>
      <c r="Q18" s="1806"/>
      <c r="R18" s="773"/>
      <c r="S18" s="774"/>
      <c r="T18" s="773"/>
      <c r="U18" s="774"/>
      <c r="V18" s="773"/>
      <c r="W18" s="774"/>
      <c r="X18" s="1809"/>
      <c r="Y18" s="3210"/>
      <c r="Z18" s="1810"/>
      <c r="AA18" s="1807">
        <v>1</v>
      </c>
      <c r="AB18" s="1807">
        <v>1</v>
      </c>
      <c r="AC18" s="2667">
        <v>1</v>
      </c>
    </row>
    <row r="19" spans="1:29" ht="171">
      <c r="A19" s="427"/>
      <c r="B19" s="630" t="s">
        <v>2680</v>
      </c>
      <c r="C19" s="2668" t="str">
        <f>估价对象房地状况!C7</f>
        <v>估价对象所在区域2公里范围内有：银行（恒丰银行、中国建设银行），商场（佳乐购物中心、西安安瑞桥超市），医院（西北妇女儿童医院），学校（三兆小学、曲江第二幼儿园）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279"/>
      <c r="Q19" s="1806" t="str">
        <f>B19</f>
        <v>公共配套设施</v>
      </c>
      <c r="R19" s="773" t="s">
        <v>17</v>
      </c>
      <c r="S19" s="774">
        <f>F19</f>
        <v>100</v>
      </c>
      <c r="T19" s="773" t="s">
        <v>17</v>
      </c>
      <c r="U19" s="774">
        <f>H19</f>
        <v>100</v>
      </c>
      <c r="V19" s="773" t="s">
        <v>17</v>
      </c>
      <c r="W19" s="774">
        <f>J19</f>
        <v>100</v>
      </c>
      <c r="X19" s="1809"/>
      <c r="Y19" s="3210"/>
      <c r="Z19" s="1810" t="str">
        <f>Q19</f>
        <v>公共配套设施</v>
      </c>
      <c r="AA19" s="1807">
        <f t="shared" si="3"/>
        <v>1</v>
      </c>
      <c r="AB19" s="1807">
        <f t="shared" si="4"/>
        <v>1</v>
      </c>
      <c r="AC19" s="2667">
        <f t="shared" si="5"/>
        <v>1</v>
      </c>
    </row>
    <row r="20" spans="1:29" ht="15">
      <c r="A20" s="427"/>
      <c r="B20" s="631"/>
      <c r="C20" s="2604"/>
      <c r="D20" s="447"/>
      <c r="E20" s="2597"/>
      <c r="F20" s="447"/>
      <c r="G20" s="2598"/>
      <c r="H20" s="447"/>
      <c r="I20" s="2598"/>
      <c r="J20" s="447"/>
      <c r="K20" s="614"/>
      <c r="L20" s="1136"/>
      <c r="M20" s="1127"/>
      <c r="N20" s="1127"/>
      <c r="O20" s="1127"/>
      <c r="P20" s="3279"/>
      <c r="Q20" s="1806"/>
      <c r="R20" s="773"/>
      <c r="S20" s="774"/>
      <c r="T20" s="773"/>
      <c r="U20" s="774"/>
      <c r="V20" s="773"/>
      <c r="W20" s="774"/>
      <c r="X20" s="1809"/>
      <c r="Y20" s="3210"/>
      <c r="Z20" s="1810"/>
      <c r="AA20" s="1807">
        <v>1</v>
      </c>
      <c r="AB20" s="1807">
        <v>1</v>
      </c>
      <c r="AC20" s="2667">
        <v>1</v>
      </c>
    </row>
    <row r="21" spans="1:29" ht="42.75">
      <c r="A21" s="427"/>
      <c r="B21" s="632" t="s">
        <v>2681</v>
      </c>
      <c r="C21" s="2668"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279"/>
      <c r="Q21" s="1806" t="str">
        <f>B21</f>
        <v>基础设施水平</v>
      </c>
      <c r="R21" s="773" t="s">
        <v>17</v>
      </c>
      <c r="S21" s="774">
        <f>F21</f>
        <v>100</v>
      </c>
      <c r="T21" s="773" t="s">
        <v>17</v>
      </c>
      <c r="U21" s="774">
        <f>H21</f>
        <v>100</v>
      </c>
      <c r="V21" s="773" t="s">
        <v>17</v>
      </c>
      <c r="W21" s="774">
        <f>J21</f>
        <v>100</v>
      </c>
      <c r="X21" s="1809"/>
      <c r="Y21" s="3210"/>
      <c r="Z21" s="1810" t="str">
        <f>Q21</f>
        <v>基础设施水平</v>
      </c>
      <c r="AA21" s="1807">
        <f t="shared" ref="AA21" si="8">D21/F21</f>
        <v>1</v>
      </c>
      <c r="AB21" s="1807">
        <f t="shared" ref="AB21" si="9">D21/H21</f>
        <v>1</v>
      </c>
      <c r="AC21" s="2667">
        <f t="shared" ref="AC21" si="10">D21/J21</f>
        <v>1</v>
      </c>
    </row>
    <row r="22" spans="1:29" ht="15">
      <c r="A22" s="427"/>
      <c r="B22" s="632"/>
      <c r="C22" s="2669"/>
      <c r="D22" s="447"/>
      <c r="E22" s="446"/>
      <c r="F22" s="447"/>
      <c r="G22" s="2604"/>
      <c r="H22" s="447"/>
      <c r="I22" s="2604"/>
      <c r="J22" s="447"/>
      <c r="K22" s="1379"/>
      <c r="L22" s="1136"/>
      <c r="M22" s="1127"/>
      <c r="N22" s="1127"/>
      <c r="O22" s="1127"/>
      <c r="P22" s="3279"/>
      <c r="Q22" s="1806"/>
      <c r="R22" s="773"/>
      <c r="S22" s="774"/>
      <c r="T22" s="773"/>
      <c r="U22" s="774"/>
      <c r="V22" s="773"/>
      <c r="W22" s="774"/>
      <c r="X22" s="1809"/>
      <c r="Y22" s="3210"/>
      <c r="Z22" s="1810"/>
      <c r="AA22" s="1807">
        <v>1</v>
      </c>
      <c r="AB22" s="1807">
        <v>1</v>
      </c>
      <c r="AC22" s="2667">
        <v>1</v>
      </c>
    </row>
    <row r="23" spans="1:29" ht="71.25">
      <c r="A23" s="427"/>
      <c r="B23" s="630" t="s">
        <v>2682</v>
      </c>
      <c r="C23" s="2668" t="str">
        <f>估价对象房地状况!C9</f>
        <v>区域自然环境：杜陵遗址生态公园；人文环境：厦门华侨博物馆；综合评价环境状况较好。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279"/>
      <c r="Q23" s="1806" t="str">
        <f>B23</f>
        <v>环境质量</v>
      </c>
      <c r="R23" s="773" t="s">
        <v>17</v>
      </c>
      <c r="S23" s="774">
        <f>F23</f>
        <v>100</v>
      </c>
      <c r="T23" s="773" t="s">
        <v>17</v>
      </c>
      <c r="U23" s="774">
        <f>H23</f>
        <v>100</v>
      </c>
      <c r="V23" s="773" t="s">
        <v>17</v>
      </c>
      <c r="W23" s="774">
        <f>J23</f>
        <v>100</v>
      </c>
      <c r="X23" s="1809"/>
      <c r="Y23" s="3210"/>
      <c r="Z23" s="1810" t="str">
        <f>Q23</f>
        <v>环境质量</v>
      </c>
      <c r="AA23" s="1807">
        <f t="shared" si="3"/>
        <v>1</v>
      </c>
      <c r="AB23" s="1807">
        <f t="shared" si="4"/>
        <v>1</v>
      </c>
      <c r="AC23" s="2667">
        <f t="shared" si="5"/>
        <v>1</v>
      </c>
    </row>
    <row r="24" spans="1:29" ht="15">
      <c r="A24" s="427"/>
      <c r="B24" s="632"/>
      <c r="C24" s="2604"/>
      <c r="D24" s="447"/>
      <c r="E24" s="2597"/>
      <c r="F24" s="447"/>
      <c r="G24" s="2598"/>
      <c r="H24" s="447"/>
      <c r="I24" s="2598"/>
      <c r="J24" s="447"/>
      <c r="K24" s="614"/>
      <c r="L24" s="1136"/>
      <c r="M24" s="1127"/>
      <c r="N24" s="1127"/>
      <c r="O24" s="1127"/>
      <c r="P24" s="3279"/>
      <c r="Q24" s="1806"/>
      <c r="R24" s="773"/>
      <c r="S24" s="774"/>
      <c r="T24" s="773"/>
      <c r="U24" s="774"/>
      <c r="V24" s="773"/>
      <c r="W24" s="774"/>
      <c r="X24" s="1809"/>
      <c r="Y24" s="3210"/>
      <c r="Z24" s="1810"/>
      <c r="AA24" s="1807">
        <v>1</v>
      </c>
      <c r="AB24" s="1807">
        <v>1</v>
      </c>
      <c r="AC24" s="2667">
        <v>1</v>
      </c>
    </row>
    <row r="25" spans="1:29" ht="27">
      <c r="A25" s="403"/>
      <c r="B25" s="630" t="s">
        <v>2683</v>
      </c>
      <c r="C25" s="2608"/>
      <c r="D25" s="434">
        <v>100</v>
      </c>
      <c r="E25" s="433"/>
      <c r="F25" s="434">
        <f>SUMIF(87:87,E26,88:88)-SUMIF(87:87,C26,88:88)+100</f>
        <v>100</v>
      </c>
      <c r="G25" s="2608"/>
      <c r="H25" s="434">
        <f>SUMIF(87:87,G26,88:88)-SUMIF(87:87,C26,88:88)+100</f>
        <v>100</v>
      </c>
      <c r="I25" s="433"/>
      <c r="J25" s="434">
        <f>SUMIF(87:87,I26,88:88)-SUMIF(87:87,C26,88:88)+100</f>
        <v>100</v>
      </c>
      <c r="K25" s="613"/>
      <c r="L25" s="1136"/>
      <c r="M25" s="1127"/>
      <c r="N25" s="1127"/>
      <c r="O25" s="1127"/>
      <c r="P25" s="3279"/>
      <c r="Q25" s="1806" t="str">
        <f>B25</f>
        <v>毗邻道路的类型与等级</v>
      </c>
      <c r="R25" s="773" t="s">
        <v>17</v>
      </c>
      <c r="S25" s="774">
        <f>F25</f>
        <v>100</v>
      </c>
      <c r="T25" s="773" t="s">
        <v>17</v>
      </c>
      <c r="U25" s="774">
        <f>H25</f>
        <v>100</v>
      </c>
      <c r="V25" s="773" t="s">
        <v>17</v>
      </c>
      <c r="W25" s="774">
        <f>J25</f>
        <v>100</v>
      </c>
      <c r="X25" s="1809"/>
      <c r="Y25" s="3210"/>
      <c r="Z25" s="1810" t="str">
        <f>Q25</f>
        <v>毗邻道路的类型与等级</v>
      </c>
      <c r="AA25" s="1807">
        <f t="shared" si="3"/>
        <v>1</v>
      </c>
      <c r="AB25" s="1807">
        <f t="shared" si="4"/>
        <v>1</v>
      </c>
      <c r="AC25" s="2667">
        <f t="shared" si="5"/>
        <v>1</v>
      </c>
    </row>
    <row r="26" spans="1:29" ht="15">
      <c r="A26" s="403"/>
      <c r="B26" s="631"/>
      <c r="C26" s="633"/>
      <c r="D26" s="434"/>
      <c r="E26" s="615"/>
      <c r="F26" s="434"/>
      <c r="G26" s="633"/>
      <c r="H26" s="434"/>
      <c r="I26" s="615"/>
      <c r="J26" s="434"/>
      <c r="K26" s="614"/>
      <c r="L26" s="1136"/>
      <c r="M26" s="1127"/>
      <c r="N26" s="1127"/>
      <c r="O26" s="1127"/>
      <c r="P26" s="3279"/>
      <c r="Q26" s="1806"/>
      <c r="R26" s="773"/>
      <c r="S26" s="774"/>
      <c r="T26" s="773"/>
      <c r="U26" s="774"/>
      <c r="V26" s="773"/>
      <c r="W26" s="774"/>
      <c r="X26" s="1809"/>
      <c r="Y26" s="3210"/>
      <c r="Z26" s="1810"/>
      <c r="AA26" s="1807">
        <v>1</v>
      </c>
      <c r="AB26" s="1807">
        <v>1</v>
      </c>
      <c r="AC26" s="2667">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79"/>
      <c r="Q27" s="1806" t="str">
        <f t="shared" ref="Q27:Q47" si="11">B27</f>
        <v>楼层</v>
      </c>
      <c r="R27" s="773" t="s">
        <v>17</v>
      </c>
      <c r="S27" s="774">
        <f>F27</f>
        <v>100</v>
      </c>
      <c r="T27" s="773" t="s">
        <v>17</v>
      </c>
      <c r="U27" s="774">
        <f>H27</f>
        <v>100</v>
      </c>
      <c r="V27" s="773" t="s">
        <v>17</v>
      </c>
      <c r="W27" s="774">
        <f>J27</f>
        <v>100</v>
      </c>
      <c r="X27" s="1809"/>
      <c r="Y27" s="3210"/>
      <c r="Z27" s="1810" t="str">
        <f>Q27</f>
        <v>楼层</v>
      </c>
      <c r="AA27" s="1807">
        <f t="shared" si="3"/>
        <v>1</v>
      </c>
      <c r="AB27" s="1807">
        <f t="shared" si="4"/>
        <v>1</v>
      </c>
      <c r="AC27" s="2667">
        <f t="shared" si="5"/>
        <v>1</v>
      </c>
    </row>
    <row r="28" spans="1:29" s="116" customFormat="1" ht="15">
      <c r="A28" s="430"/>
      <c r="B28" s="630" t="s">
        <v>2684</v>
      </c>
      <c r="C28" s="2670"/>
      <c r="D28" s="461">
        <v>100</v>
      </c>
      <c r="E28" s="2658"/>
      <c r="F28" s="461">
        <f>SUMIF(91:91,E28,92:92)-SUMIF(91:91,C28,92:92)+100</f>
        <v>100</v>
      </c>
      <c r="G28" s="2670"/>
      <c r="H28" s="461">
        <f>SUMIF(91:91,G28,92:92)-SUMIF(91:91,C28,92:92)+100</f>
        <v>100</v>
      </c>
      <c r="I28" s="2658"/>
      <c r="J28" s="461">
        <f>SUMIF(91:91,I28,92:92)-SUMIF(91:91,C28,92:92)+100</f>
        <v>100</v>
      </c>
      <c r="K28" s="611"/>
      <c r="L28" s="1128"/>
      <c r="M28" s="1129"/>
      <c r="N28" s="1129"/>
      <c r="O28" s="1129"/>
      <c r="P28" s="3279"/>
      <c r="Q28" s="1791" t="str">
        <f t="shared" si="11"/>
        <v>朝向</v>
      </c>
      <c r="R28" s="769" t="s">
        <v>17</v>
      </c>
      <c r="S28" s="770">
        <f>F28</f>
        <v>100</v>
      </c>
      <c r="T28" s="769" t="s">
        <v>17</v>
      </c>
      <c r="U28" s="770">
        <f>H28</f>
        <v>100</v>
      </c>
      <c r="V28" s="769" t="s">
        <v>17</v>
      </c>
      <c r="W28" s="770">
        <f>J28</f>
        <v>100</v>
      </c>
      <c r="X28" s="771"/>
      <c r="Y28" s="3210"/>
      <c r="Z28" s="55" t="str">
        <f>Q28</f>
        <v>朝向</v>
      </c>
      <c r="AA28" s="1807">
        <f>D28/F28</f>
        <v>1</v>
      </c>
      <c r="AB28" s="1807">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6"/>
      <c r="M29" s="1127"/>
      <c r="N29" s="1127"/>
      <c r="O29" s="1127"/>
      <c r="P29" s="3279"/>
      <c r="Q29" s="1806">
        <f t="shared" si="11"/>
        <v>111</v>
      </c>
      <c r="R29" s="773" t="s">
        <v>17</v>
      </c>
      <c r="S29" s="774">
        <f t="shared" ref="S29:S47" si="12">F29</f>
        <v>100</v>
      </c>
      <c r="T29" s="773" t="s">
        <v>17</v>
      </c>
      <c r="U29" s="774">
        <f t="shared" ref="U29:U47" si="13">H29</f>
        <v>100</v>
      </c>
      <c r="V29" s="773" t="s">
        <v>17</v>
      </c>
      <c r="W29" s="774">
        <f t="shared" ref="W29:W47" si="14">J29</f>
        <v>100</v>
      </c>
      <c r="X29" s="1809"/>
      <c r="Y29" s="3210"/>
      <c r="Z29" s="1810">
        <f t="shared" ref="Z29:Z47" si="15">Q29</f>
        <v>111</v>
      </c>
      <c r="AA29" s="1807">
        <f t="shared" si="3"/>
        <v>1</v>
      </c>
      <c r="AB29" s="1807">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6"/>
      <c r="M30" s="1127"/>
      <c r="N30" s="1127"/>
      <c r="O30" s="1127"/>
      <c r="P30" s="3279"/>
      <c r="Q30" s="1806">
        <f t="shared" si="11"/>
        <v>111</v>
      </c>
      <c r="R30" s="773" t="s">
        <v>17</v>
      </c>
      <c r="S30" s="774">
        <f t="shared" si="12"/>
        <v>100</v>
      </c>
      <c r="T30" s="773" t="s">
        <v>17</v>
      </c>
      <c r="U30" s="774">
        <f t="shared" si="13"/>
        <v>100</v>
      </c>
      <c r="V30" s="773" t="s">
        <v>17</v>
      </c>
      <c r="W30" s="774">
        <f t="shared" si="14"/>
        <v>100</v>
      </c>
      <c r="X30" s="1809"/>
      <c r="Y30" s="3210"/>
      <c r="Z30" s="1810">
        <f t="shared" si="15"/>
        <v>111</v>
      </c>
      <c r="AA30" s="1807">
        <f t="shared" si="3"/>
        <v>1</v>
      </c>
      <c r="AB30" s="1807">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6"/>
      <c r="M31" s="1127"/>
      <c r="N31" s="1127"/>
      <c r="O31" s="1127"/>
      <c r="P31" s="3279"/>
      <c r="Q31" s="1806">
        <f t="shared" si="11"/>
        <v>111</v>
      </c>
      <c r="R31" s="773" t="s">
        <v>17</v>
      </c>
      <c r="S31" s="774">
        <f t="shared" si="12"/>
        <v>100</v>
      </c>
      <c r="T31" s="773" t="s">
        <v>17</v>
      </c>
      <c r="U31" s="774">
        <f t="shared" si="13"/>
        <v>100</v>
      </c>
      <c r="V31" s="773" t="s">
        <v>17</v>
      </c>
      <c r="W31" s="774">
        <f t="shared" si="14"/>
        <v>100</v>
      </c>
      <c r="X31" s="1809"/>
      <c r="Y31" s="3210"/>
      <c r="Z31" s="1810">
        <f t="shared" si="15"/>
        <v>111</v>
      </c>
      <c r="AA31" s="1807">
        <f t="shared" si="3"/>
        <v>1</v>
      </c>
      <c r="AB31" s="1807">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6"/>
      <c r="M32" s="1127"/>
      <c r="N32" s="1127"/>
      <c r="O32" s="1127"/>
      <c r="P32" s="3279"/>
      <c r="Q32" s="1806">
        <f t="shared" si="11"/>
        <v>111</v>
      </c>
      <c r="R32" s="773" t="s">
        <v>17</v>
      </c>
      <c r="S32" s="774">
        <f t="shared" si="12"/>
        <v>100</v>
      </c>
      <c r="T32" s="773" t="s">
        <v>17</v>
      </c>
      <c r="U32" s="774">
        <f t="shared" si="13"/>
        <v>100</v>
      </c>
      <c r="V32" s="773" t="s">
        <v>17</v>
      </c>
      <c r="W32" s="774">
        <f t="shared" si="14"/>
        <v>100</v>
      </c>
      <c r="X32" s="1809"/>
      <c r="Y32" s="3210"/>
      <c r="Z32" s="1810">
        <f t="shared" si="15"/>
        <v>111</v>
      </c>
      <c r="AA32" s="1807">
        <f t="shared" si="3"/>
        <v>1</v>
      </c>
      <c r="AB32" s="1807">
        <f t="shared" si="4"/>
        <v>1</v>
      </c>
      <c r="AC32" s="2667">
        <f t="shared" si="5"/>
        <v>1</v>
      </c>
    </row>
    <row r="33" spans="1:29" ht="15">
      <c r="A33" s="439" t="s">
        <v>2555</v>
      </c>
      <c r="B33" s="70" t="s">
        <v>2685</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6"/>
      <c r="M33" s="1127"/>
      <c r="N33" s="1127"/>
      <c r="O33" s="1127"/>
      <c r="P33" s="3274" t="s">
        <v>2557</v>
      </c>
      <c r="Q33" s="1806" t="str">
        <f t="shared" si="11"/>
        <v>建筑类型</v>
      </c>
      <c r="R33" s="773" t="s">
        <v>17</v>
      </c>
      <c r="S33" s="774">
        <f t="shared" si="12"/>
        <v>100</v>
      </c>
      <c r="T33" s="773" t="s">
        <v>17</v>
      </c>
      <c r="U33" s="774">
        <f t="shared" si="13"/>
        <v>100</v>
      </c>
      <c r="V33" s="773" t="s">
        <v>17</v>
      </c>
      <c r="W33" s="774">
        <f t="shared" si="14"/>
        <v>100</v>
      </c>
      <c r="X33" s="1809"/>
      <c r="Y33" s="3212" t="s">
        <v>2557</v>
      </c>
      <c r="Z33" s="1810" t="str">
        <f t="shared" si="15"/>
        <v>建筑类型</v>
      </c>
      <c r="AA33" s="1807">
        <f t="shared" si="3"/>
        <v>1</v>
      </c>
      <c r="AB33" s="1807">
        <f t="shared" si="4"/>
        <v>1</v>
      </c>
      <c r="AC33" s="2667">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275"/>
      <c r="Q34" s="775" t="str">
        <f t="shared" si="11"/>
        <v>项目建筑规模</v>
      </c>
      <c r="R34" s="776" t="s">
        <v>17</v>
      </c>
      <c r="S34" s="777" t="e">
        <f t="shared" si="12"/>
        <v>#N/A</v>
      </c>
      <c r="T34" s="776" t="s">
        <v>17</v>
      </c>
      <c r="U34" s="777" t="e">
        <f t="shared" si="13"/>
        <v>#N/A</v>
      </c>
      <c r="V34" s="776" t="s">
        <v>17</v>
      </c>
      <c r="W34" s="777" t="e">
        <f t="shared" si="14"/>
        <v>#N/A</v>
      </c>
      <c r="X34" s="778"/>
      <c r="Y34" s="3212"/>
      <c r="Z34" s="779" t="str">
        <f t="shared" si="15"/>
        <v>项目建筑规模</v>
      </c>
      <c r="AA34" s="1807" t="e">
        <f t="shared" si="3"/>
        <v>#N/A</v>
      </c>
      <c r="AB34" s="1807" t="e">
        <f t="shared" si="4"/>
        <v>#N/A</v>
      </c>
      <c r="AC34" s="2667"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275"/>
      <c r="Q35" s="1806" t="str">
        <f t="shared" si="11"/>
        <v>建筑结构</v>
      </c>
      <c r="R35" s="773" t="s">
        <v>17</v>
      </c>
      <c r="S35" s="774">
        <f t="shared" si="12"/>
        <v>100</v>
      </c>
      <c r="T35" s="773" t="s">
        <v>17</v>
      </c>
      <c r="U35" s="774">
        <f t="shared" si="13"/>
        <v>100</v>
      </c>
      <c r="V35" s="773" t="s">
        <v>17</v>
      </c>
      <c r="W35" s="774">
        <f t="shared" si="14"/>
        <v>100</v>
      </c>
      <c r="X35" s="1809"/>
      <c r="Y35" s="3212"/>
      <c r="Z35" s="1810" t="str">
        <f t="shared" si="15"/>
        <v>建筑结构</v>
      </c>
      <c r="AA35" s="1807">
        <f t="shared" si="3"/>
        <v>1</v>
      </c>
      <c r="AB35" s="1807">
        <f t="shared" si="4"/>
        <v>1</v>
      </c>
      <c r="AC35" s="2667">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275"/>
      <c r="Q36" s="1806" t="str">
        <f t="shared" si="11"/>
        <v>公共部分装修</v>
      </c>
      <c r="R36" s="773" t="s">
        <v>17</v>
      </c>
      <c r="S36" s="774">
        <f t="shared" si="12"/>
        <v>100</v>
      </c>
      <c r="T36" s="773" t="s">
        <v>17</v>
      </c>
      <c r="U36" s="774">
        <f t="shared" si="13"/>
        <v>100</v>
      </c>
      <c r="V36" s="773" t="s">
        <v>17</v>
      </c>
      <c r="W36" s="774">
        <f t="shared" si="14"/>
        <v>100</v>
      </c>
      <c r="X36" s="1809"/>
      <c r="Y36" s="3212"/>
      <c r="Z36" s="1810" t="str">
        <f t="shared" si="15"/>
        <v>公共部分装修</v>
      </c>
      <c r="AA36" s="1807">
        <f t="shared" si="3"/>
        <v>1</v>
      </c>
      <c r="AB36" s="1807">
        <f t="shared" si="4"/>
        <v>1</v>
      </c>
      <c r="AC36" s="2667">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275"/>
      <c r="Q37" s="1806" t="str">
        <f t="shared" si="11"/>
        <v>成新度</v>
      </c>
      <c r="R37" s="773" t="s">
        <v>17</v>
      </c>
      <c r="S37" s="774" t="e">
        <f t="shared" si="12"/>
        <v>#N/A</v>
      </c>
      <c r="T37" s="773" t="s">
        <v>17</v>
      </c>
      <c r="U37" s="774" t="e">
        <f t="shared" si="13"/>
        <v>#N/A</v>
      </c>
      <c r="V37" s="773" t="s">
        <v>17</v>
      </c>
      <c r="W37" s="774" t="e">
        <f t="shared" si="14"/>
        <v>#N/A</v>
      </c>
      <c r="X37" s="1809"/>
      <c r="Y37" s="3212"/>
      <c r="Z37" s="1810" t="str">
        <f t="shared" si="15"/>
        <v>成新度</v>
      </c>
      <c r="AA37" s="1807" t="e">
        <f t="shared" si="3"/>
        <v>#N/A</v>
      </c>
      <c r="AB37" s="1807" t="e">
        <f t="shared" si="4"/>
        <v>#N/A</v>
      </c>
      <c r="AC37" s="2667"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275"/>
      <c r="Q38" s="1791" t="str">
        <f t="shared" si="11"/>
        <v>写字楼等级</v>
      </c>
      <c r="R38" s="769" t="s">
        <v>17</v>
      </c>
      <c r="S38" s="770">
        <f t="shared" si="12"/>
        <v>100</v>
      </c>
      <c r="T38" s="769" t="s">
        <v>17</v>
      </c>
      <c r="U38" s="770">
        <f t="shared" si="13"/>
        <v>100</v>
      </c>
      <c r="V38" s="769" t="s">
        <v>17</v>
      </c>
      <c r="W38" s="770">
        <f t="shared" si="14"/>
        <v>100</v>
      </c>
      <c r="X38" s="771"/>
      <c r="Y38" s="3212"/>
      <c r="Z38" s="55" t="str">
        <f t="shared" si="15"/>
        <v>写字楼等级</v>
      </c>
      <c r="AA38" s="772">
        <f t="shared" si="3"/>
        <v>1</v>
      </c>
      <c r="AB38" s="772">
        <f t="shared" si="4"/>
        <v>1</v>
      </c>
      <c r="AC38" s="2664">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275" t="s">
        <v>2557</v>
      </c>
      <c r="Q39" s="1806" t="str">
        <f t="shared" si="11"/>
        <v>物业管理</v>
      </c>
      <c r="R39" s="773" t="s">
        <v>17</v>
      </c>
      <c r="S39" s="774">
        <f t="shared" si="12"/>
        <v>100</v>
      </c>
      <c r="T39" s="773" t="s">
        <v>17</v>
      </c>
      <c r="U39" s="774">
        <f t="shared" si="13"/>
        <v>100</v>
      </c>
      <c r="V39" s="773" t="s">
        <v>17</v>
      </c>
      <c r="W39" s="774">
        <f t="shared" si="14"/>
        <v>100</v>
      </c>
      <c r="X39" s="1809"/>
      <c r="Y39" s="3212" t="s">
        <v>2557</v>
      </c>
      <c r="Z39" s="1810" t="str">
        <f t="shared" si="15"/>
        <v>物业管理</v>
      </c>
      <c r="AA39" s="1807">
        <f t="shared" si="3"/>
        <v>1</v>
      </c>
      <c r="AB39" s="1807">
        <f t="shared" si="4"/>
        <v>1</v>
      </c>
      <c r="AC39" s="2667">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275"/>
      <c r="Q40" s="1806" t="str">
        <f t="shared" si="11"/>
        <v>市政基础设施</v>
      </c>
      <c r="R40" s="773" t="s">
        <v>17</v>
      </c>
      <c r="S40" s="774">
        <f t="shared" si="12"/>
        <v>100</v>
      </c>
      <c r="T40" s="773" t="s">
        <v>17</v>
      </c>
      <c r="U40" s="774">
        <f t="shared" si="13"/>
        <v>100</v>
      </c>
      <c r="V40" s="773" t="s">
        <v>17</v>
      </c>
      <c r="W40" s="774">
        <f t="shared" si="14"/>
        <v>100</v>
      </c>
      <c r="X40" s="1809"/>
      <c r="Y40" s="3212"/>
      <c r="Z40" s="1810" t="str">
        <f t="shared" si="15"/>
        <v>市政基础设施</v>
      </c>
      <c r="AA40" s="1807">
        <f t="shared" si="3"/>
        <v>1</v>
      </c>
      <c r="AB40" s="1807">
        <f t="shared" si="4"/>
        <v>1</v>
      </c>
      <c r="AC40" s="2667">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275"/>
      <c r="Q41" s="1806" t="str">
        <f t="shared" si="11"/>
        <v>层高</v>
      </c>
      <c r="R41" s="773" t="s">
        <v>17</v>
      </c>
      <c r="S41" s="774">
        <f t="shared" si="12"/>
        <v>100</v>
      </c>
      <c r="T41" s="773" t="s">
        <v>17</v>
      </c>
      <c r="U41" s="774">
        <f t="shared" si="13"/>
        <v>100</v>
      </c>
      <c r="V41" s="773" t="s">
        <v>17</v>
      </c>
      <c r="W41" s="774">
        <f t="shared" si="14"/>
        <v>100</v>
      </c>
      <c r="X41" s="1809"/>
      <c r="Y41" s="3212"/>
      <c r="Z41" s="1810" t="str">
        <f t="shared" si="15"/>
        <v>层高</v>
      </c>
      <c r="AA41" s="1807">
        <f t="shared" si="3"/>
        <v>1</v>
      </c>
      <c r="AB41" s="1807">
        <f t="shared" si="4"/>
        <v>1</v>
      </c>
      <c r="AC41" s="2667">
        <f t="shared" si="5"/>
        <v>1</v>
      </c>
    </row>
    <row r="42" spans="1:29" s="470" customFormat="1" ht="15">
      <c r="A42" s="467"/>
      <c r="B42" s="1808"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75"/>
      <c r="Q42" s="775" t="str">
        <f t="shared" si="11"/>
        <v>单套建筑面积</v>
      </c>
      <c r="R42" s="776" t="s">
        <v>17</v>
      </c>
      <c r="S42" s="777">
        <f t="shared" si="12"/>
        <v>100</v>
      </c>
      <c r="T42" s="776" t="s">
        <v>17</v>
      </c>
      <c r="U42" s="777">
        <f t="shared" si="13"/>
        <v>100</v>
      </c>
      <c r="V42" s="776" t="s">
        <v>17</v>
      </c>
      <c r="W42" s="777">
        <f t="shared" si="14"/>
        <v>100</v>
      </c>
      <c r="X42" s="778"/>
      <c r="Y42" s="3212"/>
      <c r="Z42" s="779" t="str">
        <f t="shared" si="15"/>
        <v>单套建筑面积</v>
      </c>
      <c r="AA42" s="1807">
        <f t="shared" si="3"/>
        <v>1</v>
      </c>
      <c r="AB42" s="1807">
        <f t="shared" si="4"/>
        <v>1</v>
      </c>
      <c r="AC42" s="2667">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275"/>
      <c r="Q43" s="1806" t="str">
        <f t="shared" si="11"/>
        <v>内部装修</v>
      </c>
      <c r="R43" s="773" t="s">
        <v>17</v>
      </c>
      <c r="S43" s="774">
        <f t="shared" si="12"/>
        <v>100</v>
      </c>
      <c r="T43" s="773" t="s">
        <v>17</v>
      </c>
      <c r="U43" s="774">
        <f t="shared" si="13"/>
        <v>100</v>
      </c>
      <c r="V43" s="773" t="s">
        <v>17</v>
      </c>
      <c r="W43" s="774">
        <f t="shared" si="14"/>
        <v>100</v>
      </c>
      <c r="X43" s="1809"/>
      <c r="Y43" s="3212"/>
      <c r="Z43" s="1810" t="str">
        <f t="shared" si="15"/>
        <v>内部装修</v>
      </c>
      <c r="AA43" s="1807">
        <f t="shared" si="3"/>
        <v>1</v>
      </c>
      <c r="AB43" s="1807">
        <f t="shared" si="4"/>
        <v>1</v>
      </c>
      <c r="AC43" s="2667">
        <f t="shared" si="5"/>
        <v>1</v>
      </c>
    </row>
    <row r="44" spans="1:29" ht="15">
      <c r="A44" s="471"/>
      <c r="B44" s="421" t="s">
        <v>2568</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6"/>
      <c r="M44" s="1127"/>
      <c r="N44" s="1127"/>
      <c r="O44" s="1127"/>
      <c r="P44" s="3275"/>
      <c r="Q44" s="1806" t="str">
        <f t="shared" si="11"/>
        <v>内部装修维护情况</v>
      </c>
      <c r="R44" s="773" t="s">
        <v>17</v>
      </c>
      <c r="S44" s="774">
        <f t="shared" si="12"/>
        <v>100</v>
      </c>
      <c r="T44" s="773" t="s">
        <v>17</v>
      </c>
      <c r="U44" s="774">
        <f t="shared" si="13"/>
        <v>100</v>
      </c>
      <c r="V44" s="773" t="s">
        <v>17</v>
      </c>
      <c r="W44" s="774">
        <f t="shared" si="14"/>
        <v>100</v>
      </c>
      <c r="X44" s="1809"/>
      <c r="Y44" s="3212"/>
      <c r="Z44" s="1810" t="str">
        <f t="shared" si="15"/>
        <v>内部装修维护情况</v>
      </c>
      <c r="AA44" s="1807">
        <f t="shared" si="3"/>
        <v>1</v>
      </c>
      <c r="AB44" s="1807">
        <f t="shared" si="4"/>
        <v>1</v>
      </c>
      <c r="AC44" s="2667">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75"/>
      <c r="Q45" s="1791">
        <f t="shared" si="11"/>
        <v>111</v>
      </c>
      <c r="R45" s="769" t="s">
        <v>17</v>
      </c>
      <c r="S45" s="770">
        <f t="shared" si="12"/>
        <v>100</v>
      </c>
      <c r="T45" s="769" t="s">
        <v>17</v>
      </c>
      <c r="U45" s="770">
        <f t="shared" si="13"/>
        <v>100</v>
      </c>
      <c r="V45" s="769" t="s">
        <v>17</v>
      </c>
      <c r="W45" s="770">
        <f t="shared" si="14"/>
        <v>100</v>
      </c>
      <c r="X45" s="771"/>
      <c r="Y45" s="3212"/>
      <c r="Z45" s="55">
        <f t="shared" si="15"/>
        <v>111</v>
      </c>
      <c r="AA45" s="772">
        <f t="shared" si="3"/>
        <v>1</v>
      </c>
      <c r="AB45" s="772">
        <f t="shared" si="4"/>
        <v>1</v>
      </c>
      <c r="AC45" s="2664">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75"/>
      <c r="Q46" s="1806">
        <f t="shared" si="11"/>
        <v>111</v>
      </c>
      <c r="R46" s="773" t="s">
        <v>17</v>
      </c>
      <c r="S46" s="774">
        <f t="shared" si="12"/>
        <v>100</v>
      </c>
      <c r="T46" s="773" t="s">
        <v>17</v>
      </c>
      <c r="U46" s="774">
        <f t="shared" si="13"/>
        <v>100</v>
      </c>
      <c r="V46" s="773" t="s">
        <v>17</v>
      </c>
      <c r="W46" s="774">
        <f t="shared" si="14"/>
        <v>100</v>
      </c>
      <c r="X46" s="1809"/>
      <c r="Y46" s="3212"/>
      <c r="Z46" s="1810">
        <f t="shared" si="15"/>
        <v>111</v>
      </c>
      <c r="AA46" s="1807">
        <f t="shared" si="3"/>
        <v>1</v>
      </c>
      <c r="AB46" s="1807">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76"/>
      <c r="Q47" s="1806">
        <f t="shared" si="11"/>
        <v>111</v>
      </c>
      <c r="R47" s="773" t="s">
        <v>17</v>
      </c>
      <c r="S47" s="774">
        <f t="shared" si="12"/>
        <v>100</v>
      </c>
      <c r="T47" s="773" t="s">
        <v>17</v>
      </c>
      <c r="U47" s="774">
        <f t="shared" si="13"/>
        <v>100</v>
      </c>
      <c r="V47" s="773" t="s">
        <v>17</v>
      </c>
      <c r="W47" s="774">
        <f t="shared" si="14"/>
        <v>100</v>
      </c>
      <c r="X47" s="1809"/>
      <c r="Y47" s="3277"/>
      <c r="Z47" s="1810">
        <f t="shared" si="15"/>
        <v>111</v>
      </c>
      <c r="AA47" s="1807">
        <f t="shared" si="3"/>
        <v>1</v>
      </c>
      <c r="AB47" s="1807">
        <f t="shared" si="4"/>
        <v>1</v>
      </c>
      <c r="AC47" s="2667">
        <f t="shared" si="5"/>
        <v>1</v>
      </c>
    </row>
    <row r="48" spans="1:29" ht="15">
      <c r="A48" s="478" t="s">
        <v>2569</v>
      </c>
      <c r="B48" s="479"/>
      <c r="C48" s="1403" t="s">
        <v>1</v>
      </c>
      <c r="D48" s="1404"/>
      <c r="E48" s="1405"/>
      <c r="F48" s="1406"/>
      <c r="G48" s="1407"/>
      <c r="H48" s="1408"/>
      <c r="I48" s="1405"/>
      <c r="J48" s="484"/>
      <c r="K48" s="782"/>
      <c r="L48" s="1139"/>
      <c r="M48" s="1127"/>
      <c r="N48" s="1127"/>
      <c r="O48" s="1127"/>
      <c r="P48" s="3206" t="str">
        <f>A48</f>
        <v>成交单价（元/平方米）</v>
      </c>
      <c r="Q48" s="3207"/>
      <c r="R48" s="3273">
        <f>E48</f>
        <v>0</v>
      </c>
      <c r="S48" s="3273"/>
      <c r="T48" s="3273">
        <f>G48</f>
        <v>0</v>
      </c>
      <c r="U48" s="3273"/>
      <c r="V48" s="3273">
        <f>I48</f>
        <v>0</v>
      </c>
      <c r="W48" s="3273"/>
      <c r="X48" s="445"/>
      <c r="Y48" s="780"/>
      <c r="Z48" s="445"/>
      <c r="AA48" s="445"/>
      <c r="AB48" s="445"/>
      <c r="AC48" s="629"/>
    </row>
    <row r="49" spans="1:29" ht="15.75" thickBot="1">
      <c r="A49" s="485" t="s">
        <v>2661</v>
      </c>
      <c r="B49" s="486"/>
      <c r="C49" s="1409" t="e">
        <f>R50</f>
        <v>#DIV/0!</v>
      </c>
      <c r="D49" s="1410"/>
      <c r="E49" s="1411" t="e">
        <f>R49</f>
        <v>#DIV/0!</v>
      </c>
      <c r="F49" s="1411"/>
      <c r="G49" s="1409" t="e">
        <f>T49</f>
        <v>#DIV/0!</v>
      </c>
      <c r="H49" s="1410"/>
      <c r="I49" s="1411" t="e">
        <f>V49</f>
        <v>#DIV/0!</v>
      </c>
      <c r="J49" s="488"/>
      <c r="K49" s="783"/>
      <c r="L49" s="1139"/>
      <c r="M49" s="1127"/>
      <c r="N49" s="1127"/>
      <c r="O49" s="1127"/>
      <c r="P49" s="3206" t="str">
        <f>A49</f>
        <v>比较价值（元/平方米）</v>
      </c>
      <c r="Q49" s="3207"/>
      <c r="R49" s="3273" t="e">
        <f>IF(F1="售价",ROUND(PRODUCT(R48,AA7:AA47),0),ROUND(PRODUCT(R48,AA7:AA47),1))</f>
        <v>#DIV/0!</v>
      </c>
      <c r="S49" s="3273"/>
      <c r="T49" s="3273" t="e">
        <f>IF(F1="售价",ROUND(PRODUCT(T48,AB7:AB47),0),ROUND(PRODUCT(T48,AB7:AB47),1))</f>
        <v>#DIV/0!</v>
      </c>
      <c r="U49" s="3273"/>
      <c r="V49" s="3273" t="e">
        <f>IF(F1="售价",ROUND(PRODUCT(V48,AC7:AC47),0),ROUND(PRODUCT(V48,AC7:AC47),1))</f>
        <v>#DIV/0!</v>
      </c>
      <c r="W49" s="3273"/>
      <c r="X49" s="445"/>
      <c r="Y49" s="445"/>
      <c r="Z49" s="445"/>
      <c r="AA49" s="445"/>
      <c r="AB49" s="445"/>
      <c r="AC49" s="629"/>
    </row>
    <row r="50" spans="1:29" ht="15.75" thickBot="1">
      <c r="A50" s="491" t="s">
        <v>2662</v>
      </c>
      <c r="B50" s="492"/>
      <c r="C50" s="1413" t="e">
        <f>R50</f>
        <v>#DIV/0!</v>
      </c>
      <c r="D50" s="1413"/>
      <c r="E50" s="1413"/>
      <c r="F50" s="1413"/>
      <c r="G50" s="1413"/>
      <c r="H50" s="1413"/>
      <c r="I50" s="1413"/>
      <c r="J50" s="493"/>
      <c r="K50" s="784"/>
      <c r="L50" s="1139"/>
      <c r="M50" s="1127"/>
      <c r="N50" s="1127"/>
      <c r="O50" s="1127"/>
      <c r="P50" s="3281" t="str">
        <f>A50</f>
        <v>估价对象XX用房的比较价值（楼面单价，元/平方米）</v>
      </c>
      <c r="Q50" s="3282"/>
      <c r="R50" s="3283" t="e">
        <f>IF(F1="售价",ROUND(AVERAGE(R49:V49),0),ROUND(AVERAGE(R49:V49),1))</f>
        <v>#DIV/0!</v>
      </c>
      <c r="S50" s="3283"/>
      <c r="T50" s="3283"/>
      <c r="U50" s="3283"/>
      <c r="V50" s="3283"/>
      <c r="W50" s="3283"/>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3"/>
    </row>
    <row r="56" spans="1:29" s="501"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1.75" thickBot="1">
      <c r="A58" s="762" t="s">
        <v>2666</v>
      </c>
      <c r="B58" s="758"/>
      <c r="C58" s="763"/>
      <c r="D58" s="763"/>
      <c r="E58" s="763"/>
      <c r="F58" s="764"/>
      <c r="G58" s="764"/>
      <c r="H58" s="763"/>
      <c r="I58" s="763"/>
      <c r="J58" s="763"/>
      <c r="K58" s="765"/>
      <c r="L58" s="1157"/>
      <c r="M58" s="1155"/>
      <c r="N58" s="1155"/>
      <c r="O58" s="1155"/>
      <c r="P58" s="2674"/>
      <c r="Q58" s="503"/>
    </row>
    <row r="59" spans="1:29" s="507" customFormat="1" ht="15">
      <c r="A59" s="504" t="s">
        <v>2540</v>
      </c>
      <c r="B59" s="505"/>
      <c r="C59" s="1570" t="str">
        <f>YEAR(C7)&amp;"-"&amp;MONTH(C7)</f>
        <v>2018-6</v>
      </c>
      <c r="D59" s="1571">
        <f>EDATE(C59,-1)</f>
        <v>43221</v>
      </c>
      <c r="E59" s="1571">
        <f>EDATE(D59,-1)</f>
        <v>43191</v>
      </c>
      <c r="F59" s="1571">
        <f t="shared" ref="F59:O59" si="16">EDATE(E59,-1)</f>
        <v>43160</v>
      </c>
      <c r="G59" s="1571">
        <f t="shared" si="16"/>
        <v>43132</v>
      </c>
      <c r="H59" s="1571">
        <f t="shared" si="16"/>
        <v>43101</v>
      </c>
      <c r="I59" s="1571">
        <f t="shared" si="16"/>
        <v>43070</v>
      </c>
      <c r="J59" s="1571">
        <f t="shared" si="16"/>
        <v>43040</v>
      </c>
      <c r="K59" s="1571">
        <f t="shared" si="16"/>
        <v>43009</v>
      </c>
      <c r="L59" s="1571">
        <f t="shared" si="16"/>
        <v>42979</v>
      </c>
      <c r="M59" s="1571">
        <f t="shared" si="16"/>
        <v>42948</v>
      </c>
      <c r="N59" s="1571">
        <f t="shared" si="16"/>
        <v>42917</v>
      </c>
      <c r="O59" s="1571">
        <f t="shared" si="16"/>
        <v>42887</v>
      </c>
      <c r="P59" s="1567"/>
    </row>
    <row r="60" spans="1:29" s="116" customFormat="1" ht="15">
      <c r="A60" s="508"/>
      <c r="B60" s="509"/>
      <c r="C60" s="1569">
        <v>100</v>
      </c>
      <c r="D60" s="511"/>
      <c r="E60" s="511"/>
      <c r="F60" s="511"/>
      <c r="G60" s="511"/>
      <c r="H60" s="511"/>
      <c r="I60" s="511"/>
      <c r="J60" s="511"/>
      <c r="K60" s="511"/>
      <c r="L60" s="511"/>
      <c r="M60" s="512"/>
      <c r="N60" s="511"/>
      <c r="O60" s="512"/>
      <c r="P60" s="2675"/>
    </row>
    <row r="61" spans="1:29" s="116" customFormat="1" ht="15.75" thickBot="1">
      <c r="A61" s="514" t="s">
        <v>2577</v>
      </c>
      <c r="B61" s="515"/>
      <c r="C61" s="516"/>
      <c r="D61" s="517"/>
      <c r="E61" s="517"/>
      <c r="F61" s="517"/>
      <c r="G61" s="517"/>
      <c r="H61" s="517"/>
      <c r="I61" s="517"/>
      <c r="J61" s="517"/>
      <c r="K61" s="517"/>
      <c r="L61" s="517"/>
      <c r="M61" s="518"/>
      <c r="N61" s="517"/>
      <c r="O61" s="518"/>
      <c r="P61" s="2675"/>
      <c r="Q61" s="503"/>
    </row>
    <row r="62" spans="1:29" s="116" customFormat="1" ht="15">
      <c r="A62" s="520" t="s">
        <v>2542</v>
      </c>
      <c r="B62" s="509"/>
      <c r="C62" s="521" t="s">
        <v>2644</v>
      </c>
      <c r="D62" s="522"/>
      <c r="E62" s="522"/>
      <c r="F62" s="522"/>
      <c r="G62" s="522"/>
      <c r="H62" s="522"/>
      <c r="I62" s="522"/>
      <c r="J62" s="522"/>
      <c r="K62" s="522"/>
      <c r="L62" s="523"/>
      <c r="M62" s="524"/>
      <c r="N62" s="1147"/>
      <c r="O62" s="1147"/>
      <c r="P62" s="2676"/>
      <c r="Q62" s="503"/>
    </row>
    <row r="63" spans="1:29" s="116" customFormat="1" ht="15.75" thickBot="1">
      <c r="A63" s="520"/>
      <c r="B63" s="509"/>
      <c r="C63" s="510">
        <v>100</v>
      </c>
      <c r="D63" s="511"/>
      <c r="E63" s="511"/>
      <c r="F63" s="511"/>
      <c r="G63" s="511"/>
      <c r="H63" s="511"/>
      <c r="I63" s="511"/>
      <c r="J63" s="511"/>
      <c r="K63" s="511"/>
      <c r="L63" s="511"/>
      <c r="M63" s="513"/>
      <c r="N63" s="1147"/>
      <c r="O63" s="1147"/>
      <c r="P63" s="2675"/>
      <c r="Q63" s="503"/>
    </row>
    <row r="64" spans="1:29">
      <c r="A64" s="526" t="s">
        <v>2580</v>
      </c>
      <c r="B64" s="527" t="s">
        <v>2546</v>
      </c>
      <c r="C64" s="528">
        <f>C9</f>
        <v>0</v>
      </c>
      <c r="D64" s="529"/>
      <c r="E64" s="529"/>
      <c r="F64" s="529"/>
      <c r="G64" s="529"/>
      <c r="H64" s="529"/>
      <c r="I64" s="529"/>
      <c r="J64" s="529"/>
      <c r="K64" s="530"/>
      <c r="L64" s="531"/>
      <c r="M64" s="532"/>
      <c r="N64" s="1148"/>
      <c r="O64" s="1148"/>
      <c r="P64" s="2677"/>
      <c r="Q64" s="503"/>
    </row>
    <row r="65" spans="1:17" ht="15.75" thickBot="1">
      <c r="A65" s="533"/>
      <c r="B65" s="534"/>
      <c r="C65" s="535">
        <v>100</v>
      </c>
      <c r="D65" s="535"/>
      <c r="E65" s="535"/>
      <c r="F65" s="535"/>
      <c r="G65" s="535"/>
      <c r="H65" s="535"/>
      <c r="I65" s="535"/>
      <c r="J65" s="535"/>
      <c r="K65" s="535"/>
      <c r="L65" s="535"/>
      <c r="M65" s="536"/>
      <c r="N65" s="1149"/>
      <c r="O65" s="1149"/>
      <c r="P65" s="2677"/>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48"/>
      <c r="O66" s="1148"/>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7"/>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7"/>
      <c r="Q68" s="503"/>
    </row>
    <row r="69" spans="1:17" ht="15">
      <c r="A69" s="533"/>
      <c r="B69" s="547"/>
      <c r="C69" s="548"/>
      <c r="D69" s="548"/>
      <c r="E69" s="548"/>
      <c r="F69" s="548"/>
      <c r="G69" s="548"/>
      <c r="H69" s="548"/>
      <c r="I69" s="548"/>
      <c r="J69" s="548"/>
      <c r="K69" s="549"/>
      <c r="L69" s="550"/>
      <c r="M69" s="551"/>
      <c r="N69" s="1148"/>
      <c r="O69" s="1148"/>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77"/>
      <c r="Q70" s="503"/>
    </row>
    <row r="71" spans="1:17" s="470" customFormat="1" ht="15.75" thickTop="1">
      <c r="A71" s="552"/>
      <c r="B71" s="537">
        <f>B12</f>
        <v>111</v>
      </c>
      <c r="C71" s="553"/>
      <c r="D71" s="553"/>
      <c r="E71" s="553"/>
      <c r="F71" s="553"/>
      <c r="G71" s="553"/>
      <c r="H71" s="554"/>
      <c r="I71" s="554"/>
      <c r="J71" s="554"/>
      <c r="K71" s="554"/>
      <c r="L71" s="555"/>
      <c r="M71" s="556"/>
      <c r="N71" s="1150"/>
      <c r="O71" s="1150"/>
      <c r="P71" s="2678"/>
      <c r="Q71" s="558"/>
    </row>
    <row r="72" spans="1:17" s="470" customFormat="1" ht="15.75" thickBot="1">
      <c r="A72" s="552"/>
      <c r="B72" s="542"/>
      <c r="C72" s="559"/>
      <c r="D72" s="535"/>
      <c r="E72" s="535"/>
      <c r="F72" s="535"/>
      <c r="G72" s="535"/>
      <c r="H72" s="535"/>
      <c r="I72" s="535"/>
      <c r="J72" s="535"/>
      <c r="K72" s="535"/>
      <c r="L72" s="535"/>
      <c r="M72" s="536"/>
      <c r="N72" s="1149"/>
      <c r="O72" s="1149"/>
      <c r="P72" s="2678"/>
      <c r="Q72" s="558"/>
    </row>
    <row r="73" spans="1:17" s="470" customFormat="1" ht="15.75" thickTop="1">
      <c r="A73" s="552"/>
      <c r="B73" s="537">
        <f>B13</f>
        <v>111</v>
      </c>
      <c r="C73" s="553"/>
      <c r="D73" s="553"/>
      <c r="E73" s="553"/>
      <c r="F73" s="553"/>
      <c r="G73" s="553"/>
      <c r="H73" s="554"/>
      <c r="I73" s="554"/>
      <c r="J73" s="554"/>
      <c r="K73" s="554"/>
      <c r="L73" s="555"/>
      <c r="M73" s="556"/>
      <c r="N73" s="1150"/>
      <c r="O73" s="1150"/>
      <c r="P73" s="2679"/>
      <c r="Q73" s="560"/>
    </row>
    <row r="74" spans="1:17" s="470" customFormat="1" ht="15.75" thickBot="1">
      <c r="A74" s="552"/>
      <c r="B74" s="542"/>
      <c r="C74" s="559"/>
      <c r="D74" s="559"/>
      <c r="E74" s="559"/>
      <c r="F74" s="559"/>
      <c r="G74" s="559"/>
      <c r="H74" s="561"/>
      <c r="I74" s="561"/>
      <c r="J74" s="561"/>
      <c r="K74" s="561"/>
      <c r="L74" s="561"/>
      <c r="M74" s="562"/>
      <c r="N74" s="1150"/>
      <c r="O74" s="1150"/>
      <c r="P74" s="2678"/>
      <c r="Q74" s="558"/>
    </row>
    <row r="75" spans="1:17" s="470" customFormat="1" ht="15.75" thickTop="1">
      <c r="A75" s="552"/>
      <c r="B75" s="545">
        <f>B14</f>
        <v>111</v>
      </c>
      <c r="C75" s="522"/>
      <c r="D75" s="522"/>
      <c r="E75" s="522"/>
      <c r="F75" s="522"/>
      <c r="G75" s="522"/>
      <c r="H75" s="563"/>
      <c r="I75" s="563"/>
      <c r="J75" s="563"/>
      <c r="K75" s="563"/>
      <c r="L75" s="564"/>
      <c r="M75" s="565"/>
      <c r="N75" s="1150"/>
      <c r="O75" s="1150"/>
      <c r="P75" s="2680"/>
      <c r="Q75" s="558"/>
    </row>
    <row r="76" spans="1:17" s="470" customFormat="1" ht="15.75" thickBot="1">
      <c r="A76" s="567"/>
      <c r="B76" s="568"/>
      <c r="C76" s="569"/>
      <c r="D76" s="569"/>
      <c r="E76" s="569"/>
      <c r="F76" s="569"/>
      <c r="G76" s="569"/>
      <c r="H76" s="570"/>
      <c r="I76" s="570"/>
      <c r="J76" s="570"/>
      <c r="K76" s="570"/>
      <c r="L76" s="570"/>
      <c r="M76" s="571"/>
      <c r="N76" s="1150"/>
      <c r="O76" s="1150"/>
      <c r="P76" s="2678"/>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48"/>
      <c r="O77" s="1148"/>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9"/>
      <c r="O78" s="1149"/>
      <c r="P78" s="2677"/>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48"/>
      <c r="O79" s="1148"/>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9"/>
      <c r="O80" s="1149"/>
      <c r="P80" s="2677"/>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48"/>
      <c r="O81" s="1148"/>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9"/>
      <c r="O82" s="1149"/>
      <c r="P82" s="2677"/>
      <c r="Q82" s="503"/>
    </row>
    <row r="83" spans="1:17" ht="15.75" thickTop="1">
      <c r="A83" s="533"/>
      <c r="B83" s="545" t="s">
        <v>2681</v>
      </c>
      <c r="C83" s="659" t="s">
        <v>2667</v>
      </c>
      <c r="D83" s="659" t="s">
        <v>2668</v>
      </c>
      <c r="E83" s="659" t="s">
        <v>2669</v>
      </c>
      <c r="F83" s="659" t="s">
        <v>2670</v>
      </c>
      <c r="G83" s="659" t="s">
        <v>2671</v>
      </c>
      <c r="H83" s="538"/>
      <c r="I83" s="538"/>
      <c r="J83" s="538"/>
      <c r="K83" s="538"/>
      <c r="L83" s="538"/>
      <c r="M83" s="1378"/>
      <c r="N83" s="1149"/>
      <c r="O83" s="1149"/>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9"/>
      <c r="O84" s="1149"/>
      <c r="P84" s="2677"/>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48"/>
      <c r="O85" s="1148"/>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9"/>
      <c r="O86" s="1149"/>
      <c r="P86" s="2677"/>
      <c r="Q86" s="503"/>
    </row>
    <row r="87" spans="1:17" s="116" customFormat="1" ht="27.75" thickTop="1">
      <c r="A87" s="578"/>
      <c r="B87" s="537" t="s">
        <v>2691</v>
      </c>
      <c r="C87" s="553"/>
      <c r="D87" s="553"/>
      <c r="E87" s="553"/>
      <c r="F87" s="553"/>
      <c r="G87" s="553"/>
      <c r="H87" s="553"/>
      <c r="I87" s="553"/>
      <c r="J87" s="553"/>
      <c r="K87" s="553"/>
      <c r="L87" s="579"/>
      <c r="M87" s="580"/>
      <c r="N87" s="1147"/>
      <c r="O87" s="1147"/>
      <c r="P87" s="2677"/>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77"/>
      <c r="Q88" s="503"/>
    </row>
    <row r="89" spans="1:17" s="116" customFormat="1" ht="15.75" thickTop="1">
      <c r="A89" s="578"/>
      <c r="B89" s="537" t="str">
        <f>B27</f>
        <v>楼层</v>
      </c>
      <c r="C89" s="553"/>
      <c r="D89" s="553"/>
      <c r="E89" s="553"/>
      <c r="F89" s="2628"/>
      <c r="G89" s="553"/>
      <c r="H89" s="553"/>
      <c r="I89" s="553"/>
      <c r="J89" s="553"/>
      <c r="K89" s="553"/>
      <c r="L89" s="553"/>
      <c r="M89" s="580"/>
      <c r="N89" s="1147"/>
      <c r="O89" s="1147"/>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7"/>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8"/>
      <c r="Q92" s="558"/>
    </row>
    <row r="93" spans="1:17" ht="15.75" thickTop="1">
      <c r="A93" s="533"/>
      <c r="B93" s="537">
        <f>B29</f>
        <v>111</v>
      </c>
      <c r="C93" s="553"/>
      <c r="D93" s="553"/>
      <c r="E93" s="553"/>
      <c r="F93" s="553"/>
      <c r="G93" s="553"/>
      <c r="H93" s="553"/>
      <c r="I93" s="553"/>
      <c r="J93" s="553"/>
      <c r="K93" s="553"/>
      <c r="L93" s="579"/>
      <c r="M93" s="580"/>
      <c r="N93" s="1148"/>
      <c r="O93" s="1148"/>
      <c r="P93" s="2677"/>
      <c r="Q93" s="503"/>
    </row>
    <row r="94" spans="1:17" ht="15.75" thickBot="1">
      <c r="A94" s="533"/>
      <c r="B94" s="542"/>
      <c r="C94" s="559"/>
      <c r="D94" s="535"/>
      <c r="E94" s="535"/>
      <c r="F94" s="535"/>
      <c r="G94" s="535"/>
      <c r="H94" s="535"/>
      <c r="I94" s="535"/>
      <c r="J94" s="535"/>
      <c r="K94" s="535"/>
      <c r="L94" s="535"/>
      <c r="M94" s="536"/>
      <c r="N94" s="1149"/>
      <c r="O94" s="1149"/>
      <c r="P94" s="2677"/>
      <c r="Q94" s="503"/>
    </row>
    <row r="95" spans="1:17" ht="15.75" thickTop="1">
      <c r="A95" s="533"/>
      <c r="B95" s="537">
        <f>B30</f>
        <v>111</v>
      </c>
      <c r="C95" s="553"/>
      <c r="D95" s="553"/>
      <c r="E95" s="553"/>
      <c r="F95" s="553"/>
      <c r="G95" s="582"/>
      <c r="H95" s="582"/>
      <c r="I95" s="582"/>
      <c r="J95" s="582"/>
      <c r="K95" s="583"/>
      <c r="L95" s="584"/>
      <c r="M95" s="585"/>
      <c r="N95" s="1148"/>
      <c r="O95" s="1148"/>
      <c r="P95" s="2677"/>
      <c r="Q95" s="503"/>
    </row>
    <row r="96" spans="1:17" ht="15.75" thickBot="1">
      <c r="A96" s="533"/>
      <c r="B96" s="542"/>
      <c r="C96" s="559"/>
      <c r="D96" s="559"/>
      <c r="E96" s="559"/>
      <c r="F96" s="559"/>
      <c r="G96" s="535"/>
      <c r="H96" s="535"/>
      <c r="I96" s="535"/>
      <c r="J96" s="535"/>
      <c r="K96" s="535"/>
      <c r="L96" s="535"/>
      <c r="M96" s="536"/>
      <c r="N96" s="1149"/>
      <c r="O96" s="1149"/>
      <c r="P96" s="2677"/>
      <c r="Q96" s="503"/>
    </row>
    <row r="97" spans="1:17" ht="15.75" thickTop="1">
      <c r="A97" s="533"/>
      <c r="B97" s="537">
        <f>B31</f>
        <v>111</v>
      </c>
      <c r="C97" s="553"/>
      <c r="D97" s="553"/>
      <c r="E97" s="553"/>
      <c r="F97" s="553"/>
      <c r="G97" s="582"/>
      <c r="H97" s="582"/>
      <c r="I97" s="582"/>
      <c r="J97" s="582"/>
      <c r="K97" s="583"/>
      <c r="L97" s="584"/>
      <c r="M97" s="585"/>
      <c r="N97" s="1148"/>
      <c r="O97" s="1148"/>
      <c r="P97" s="2677"/>
      <c r="Q97" s="503"/>
    </row>
    <row r="98" spans="1:17" ht="15.75" thickBot="1">
      <c r="A98" s="533"/>
      <c r="B98" s="542"/>
      <c r="C98" s="559"/>
      <c r="D98" s="535"/>
      <c r="E98" s="535"/>
      <c r="F98" s="535"/>
      <c r="G98" s="535"/>
      <c r="H98" s="535"/>
      <c r="I98" s="535"/>
      <c r="J98" s="535"/>
      <c r="K98" s="535"/>
      <c r="L98" s="535"/>
      <c r="M98" s="536"/>
      <c r="N98" s="1149"/>
      <c r="O98" s="1149"/>
      <c r="P98" s="2677"/>
      <c r="Q98" s="503"/>
    </row>
    <row r="99" spans="1:17" ht="15.75" thickTop="1">
      <c r="A99" s="533"/>
      <c r="B99" s="545">
        <f>B32</f>
        <v>111</v>
      </c>
      <c r="C99" s="522"/>
      <c r="D99" s="522"/>
      <c r="E99" s="522"/>
      <c r="F99" s="522"/>
      <c r="G99" s="586"/>
      <c r="H99" s="586"/>
      <c r="I99" s="586"/>
      <c r="J99" s="586"/>
      <c r="K99" s="587"/>
      <c r="L99" s="588"/>
      <c r="M99" s="589"/>
      <c r="N99" s="1148"/>
      <c r="O99" s="1148"/>
      <c r="P99" s="2677"/>
      <c r="Q99" s="503"/>
    </row>
    <row r="100" spans="1:17" ht="15.75" thickBot="1">
      <c r="A100" s="2629"/>
      <c r="B100" s="568"/>
      <c r="C100" s="569"/>
      <c r="D100" s="569"/>
      <c r="E100" s="569"/>
      <c r="F100" s="569"/>
      <c r="G100" s="590"/>
      <c r="H100" s="590"/>
      <c r="I100" s="590"/>
      <c r="J100" s="590"/>
      <c r="K100" s="590"/>
      <c r="L100" s="590"/>
      <c r="M100" s="591"/>
      <c r="N100" s="1149"/>
      <c r="O100" s="1149"/>
      <c r="P100" s="2677"/>
      <c r="Q100" s="503"/>
    </row>
    <row r="101" spans="1:17">
      <c r="A101" s="526" t="s">
        <v>2555</v>
      </c>
      <c r="B101" s="527" t="s">
        <v>2604</v>
      </c>
      <c r="C101" s="529"/>
      <c r="D101" s="529"/>
      <c r="E101" s="529"/>
      <c r="F101" s="529"/>
      <c r="G101" s="529"/>
      <c r="H101" s="529"/>
      <c r="I101" s="529"/>
      <c r="J101" s="529"/>
      <c r="K101" s="530"/>
      <c r="L101" s="531"/>
      <c r="M101" s="532"/>
      <c r="N101" s="1148"/>
      <c r="O101" s="1148"/>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77"/>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77"/>
      <c r="Q103" s="503"/>
    </row>
    <row r="104" spans="1:17" s="470" customFormat="1">
      <c r="A104" s="592"/>
      <c r="B104" s="593"/>
      <c r="C104" s="594"/>
      <c r="D104" s="594"/>
      <c r="E104" s="594"/>
      <c r="F104" s="594"/>
      <c r="G104" s="594"/>
      <c r="H104" s="594"/>
      <c r="I104" s="594"/>
      <c r="J104" s="595"/>
      <c r="K104" s="595"/>
      <c r="L104" s="596"/>
      <c r="M104" s="597"/>
      <c r="N104" s="1150"/>
      <c r="O104" s="1150"/>
      <c r="P104" s="2678"/>
      <c r="Q104" s="558"/>
    </row>
    <row r="105" spans="1:17" s="470" customFormat="1" ht="15.75" thickBot="1">
      <c r="A105" s="552"/>
      <c r="B105" s="542"/>
      <c r="C105" s="559"/>
      <c r="D105" s="535"/>
      <c r="E105" s="535"/>
      <c r="F105" s="535"/>
      <c r="G105" s="535"/>
      <c r="H105" s="535"/>
      <c r="I105" s="535"/>
      <c r="J105" s="535"/>
      <c r="K105" s="535"/>
      <c r="L105" s="535"/>
      <c r="M105" s="536"/>
      <c r="N105" s="1149"/>
      <c r="O105" s="1149"/>
      <c r="P105" s="2678"/>
      <c r="Q105" s="558"/>
    </row>
    <row r="106" spans="1:17" ht="15" thickTop="1">
      <c r="A106" s="598"/>
      <c r="B106" s="537" t="s">
        <v>2606</v>
      </c>
      <c r="C106" s="553"/>
      <c r="D106" s="553"/>
      <c r="E106" s="582"/>
      <c r="F106" s="582"/>
      <c r="G106" s="582"/>
      <c r="H106" s="582"/>
      <c r="I106" s="582"/>
      <c r="J106" s="582"/>
      <c r="K106" s="583"/>
      <c r="L106" s="584"/>
      <c r="M106" s="585"/>
      <c r="N106" s="1148"/>
      <c r="O106" s="1148"/>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7"/>
      <c r="Q107" s="503"/>
    </row>
    <row r="108" spans="1:17" ht="15" thickTop="1">
      <c r="A108" s="598"/>
      <c r="B108" s="537" t="s">
        <v>2608</v>
      </c>
      <c r="C108" s="553"/>
      <c r="D108" s="553"/>
      <c r="E108" s="553"/>
      <c r="F108" s="582"/>
      <c r="G108" s="582"/>
      <c r="H108" s="582"/>
      <c r="I108" s="582"/>
      <c r="J108" s="582"/>
      <c r="K108" s="583"/>
      <c r="L108" s="584"/>
      <c r="M108" s="585"/>
      <c r="N108" s="1148"/>
      <c r="O108" s="1148"/>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7"/>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7"/>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77"/>
      <c r="Q112" s="503"/>
    </row>
    <row r="113" spans="1:17" s="470" customFormat="1" ht="15" thickTop="1">
      <c r="A113" s="592"/>
      <c r="B113" s="537" t="s">
        <v>2692</v>
      </c>
      <c r="C113" s="553"/>
      <c r="D113" s="553"/>
      <c r="E113" s="553"/>
      <c r="F113" s="553"/>
      <c r="G113" s="553"/>
      <c r="H113" s="582"/>
      <c r="I113" s="582"/>
      <c r="J113" s="582"/>
      <c r="K113" s="583"/>
      <c r="L113" s="584"/>
      <c r="M113" s="585"/>
      <c r="N113" s="1150"/>
      <c r="O113" s="1150"/>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8"/>
      <c r="Q114" s="558"/>
    </row>
    <row r="115" spans="1:17" ht="15" thickTop="1">
      <c r="A115" s="598"/>
      <c r="B115" s="537" t="s">
        <v>2609</v>
      </c>
      <c r="C115" s="553"/>
      <c r="D115" s="553"/>
      <c r="E115" s="582"/>
      <c r="F115" s="582"/>
      <c r="G115" s="582"/>
      <c r="H115" s="582"/>
      <c r="I115" s="582"/>
      <c r="J115" s="582"/>
      <c r="K115" s="583"/>
      <c r="L115" s="584"/>
      <c r="M115" s="585"/>
      <c r="N115" s="1148"/>
      <c r="O115" s="1148"/>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7"/>
      <c r="Q116" s="503"/>
    </row>
    <row r="117" spans="1:17" ht="15" thickTop="1">
      <c r="A117" s="598"/>
      <c r="B117" s="537" t="s">
        <v>2610</v>
      </c>
      <c r="C117" s="553"/>
      <c r="D117" s="553"/>
      <c r="E117" s="553"/>
      <c r="F117" s="553"/>
      <c r="G117" s="553"/>
      <c r="H117" s="582"/>
      <c r="I117" s="582"/>
      <c r="J117" s="582"/>
      <c r="K117" s="583"/>
      <c r="L117" s="584"/>
      <c r="M117" s="585"/>
      <c r="N117" s="1148"/>
      <c r="O117" s="1148"/>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7"/>
      <c r="Q118" s="503"/>
    </row>
    <row r="119" spans="1:17" ht="15" thickTop="1">
      <c r="A119" s="598"/>
      <c r="B119" s="635" t="s">
        <v>2693</v>
      </c>
      <c r="C119" s="582"/>
      <c r="D119" s="582"/>
      <c r="E119" s="582"/>
      <c r="F119" s="582"/>
      <c r="G119" s="582"/>
      <c r="H119" s="582"/>
      <c r="I119" s="582"/>
      <c r="J119" s="582"/>
      <c r="K119" s="582"/>
      <c r="L119" s="2682"/>
      <c r="M119" s="2683"/>
      <c r="N119" s="1149"/>
      <c r="O119" s="1149"/>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7"/>
      <c r="Q120" s="503"/>
    </row>
    <row r="121" spans="1:17" s="470" customFormat="1" ht="15" thickTop="1">
      <c r="A121" s="592"/>
      <c r="B121" s="537" t="s">
        <v>2676</v>
      </c>
      <c r="C121" s="553"/>
      <c r="D121" s="553"/>
      <c r="E121" s="553"/>
      <c r="F121" s="582"/>
      <c r="G121" s="554"/>
      <c r="H121" s="554"/>
      <c r="I121" s="554"/>
      <c r="J121" s="554"/>
      <c r="K121" s="554"/>
      <c r="L121" s="555"/>
      <c r="M121" s="556"/>
      <c r="N121" s="1150"/>
      <c r="O121" s="1150"/>
      <c r="P121" s="2678"/>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78"/>
      <c r="Q122" s="558"/>
    </row>
    <row r="123" spans="1:17" ht="15" thickTop="1">
      <c r="A123" s="598"/>
      <c r="B123" s="537" t="s">
        <v>2612</v>
      </c>
      <c r="C123" s="553"/>
      <c r="D123" s="553"/>
      <c r="E123" s="553"/>
      <c r="F123" s="582"/>
      <c r="G123" s="582"/>
      <c r="H123" s="582"/>
      <c r="I123" s="582"/>
      <c r="J123" s="582"/>
      <c r="K123" s="583"/>
      <c r="L123" s="584"/>
      <c r="M123" s="585"/>
      <c r="N123" s="1148"/>
      <c r="O123" s="1148"/>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7"/>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48"/>
      <c r="O125" s="1148"/>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7"/>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78"/>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78"/>
      <c r="Q128" s="558"/>
    </row>
    <row r="129" spans="1:17" ht="15" thickTop="1">
      <c r="A129" s="598"/>
      <c r="B129" s="537">
        <f>B46</f>
        <v>111</v>
      </c>
      <c r="C129" s="553"/>
      <c r="D129" s="553"/>
      <c r="E129" s="553"/>
      <c r="F129" s="553"/>
      <c r="G129" s="582"/>
      <c r="H129" s="582"/>
      <c r="I129" s="582"/>
      <c r="J129" s="582"/>
      <c r="K129" s="583"/>
      <c r="L129" s="584"/>
      <c r="M129" s="585"/>
      <c r="N129" s="1148"/>
      <c r="O129" s="1148"/>
      <c r="P129" s="2677"/>
      <c r="Q129" s="503"/>
    </row>
    <row r="130" spans="1:17" ht="15.75" thickBot="1">
      <c r="A130" s="533"/>
      <c r="B130" s="542"/>
      <c r="C130" s="559"/>
      <c r="D130" s="559"/>
      <c r="E130" s="559"/>
      <c r="F130" s="559"/>
      <c r="G130" s="535"/>
      <c r="H130" s="535"/>
      <c r="I130" s="535"/>
      <c r="J130" s="535"/>
      <c r="K130" s="535"/>
      <c r="L130" s="535"/>
      <c r="M130" s="536"/>
      <c r="N130" s="1149"/>
      <c r="O130" s="1149"/>
      <c r="P130" s="2677"/>
      <c r="Q130" s="503"/>
    </row>
    <row r="131" spans="1:17" ht="15" thickTop="1">
      <c r="A131" s="598"/>
      <c r="B131" s="545">
        <f>B47</f>
        <v>111</v>
      </c>
      <c r="C131" s="522"/>
      <c r="D131" s="522"/>
      <c r="E131" s="522"/>
      <c r="F131" s="522"/>
      <c r="G131" s="586"/>
      <c r="H131" s="586"/>
      <c r="I131" s="586"/>
      <c r="J131" s="586"/>
      <c r="K131" s="522"/>
      <c r="L131" s="523"/>
      <c r="M131" s="589"/>
      <c r="N131" s="1148"/>
      <c r="O131" s="1148"/>
      <c r="P131" s="2677"/>
      <c r="Q131" s="503"/>
    </row>
    <row r="132" spans="1:17" ht="15.75" thickBot="1">
      <c r="A132" s="2629"/>
      <c r="B132" s="568"/>
      <c r="C132" s="569"/>
      <c r="D132" s="569"/>
      <c r="E132" s="569"/>
      <c r="F132" s="569"/>
      <c r="G132" s="590"/>
      <c r="H132" s="590"/>
      <c r="I132" s="590"/>
      <c r="J132" s="590"/>
      <c r="K132" s="590"/>
      <c r="L132" s="590"/>
      <c r="M132" s="591"/>
      <c r="N132" s="1149"/>
      <c r="O132" s="1149"/>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2520</v>
      </c>
      <c r="B1" s="2662" t="s">
        <v>2694</v>
      </c>
      <c r="C1" s="1616" t="s">
        <v>2522</v>
      </c>
      <c r="D1" s="1617"/>
      <c r="E1" s="1626"/>
      <c r="F1" s="2577"/>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2319</v>
      </c>
      <c r="B2" s="1414" t="e">
        <f ca="1">IF(C2="——",ROUND(C43*D3/10000,0),ROUND(C43*D3/10000,0)-D2)</f>
        <v>#DIV/0!</v>
      </c>
      <c r="C2" s="2579"/>
      <c r="D2" s="1120" t="e">
        <f ca="1">SUMIF(INDIRECT("'"&amp;F2&amp;"'"&amp;"!A:A"),"承租人权益价值",INDIRECT("'"&amp;F2&amp;"'"&amp;"!c:c"))</f>
        <v>#REF!</v>
      </c>
      <c r="E2" s="2580" t="s">
        <v>2320</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2321</v>
      </c>
      <c r="B3" s="608" t="e">
        <f ca="1">IF(C2="——",C43,ROUND(B2*10000/D3,0))</f>
        <v>#DIV/0!</v>
      </c>
      <c r="C3" s="399" t="s">
        <v>2636</v>
      </c>
      <c r="D3" s="398">
        <f>IF(D1="",'数据-汇总表'!E3,SUMIF('数据-汇总表'!$C19:$C33,D1,'数据-汇总表'!$E19:$E33))</f>
        <v>111646.95</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2637</v>
      </c>
      <c r="B4" s="401"/>
      <c r="C4" s="3204" t="s">
        <v>2638</v>
      </c>
      <c r="D4" s="3217"/>
      <c r="E4" s="3218" t="s">
        <v>2639</v>
      </c>
      <c r="F4" s="3219"/>
      <c r="G4" s="3204" t="s">
        <v>2640</v>
      </c>
      <c r="H4" s="3217"/>
      <c r="I4" s="3204" t="s">
        <v>2641</v>
      </c>
      <c r="J4" s="3217"/>
      <c r="K4" s="609" t="s">
        <v>2642</v>
      </c>
      <c r="L4" s="1126"/>
      <c r="M4" s="1127"/>
      <c r="N4" s="1127"/>
      <c r="O4" s="1127"/>
      <c r="P4" s="3220" t="s">
        <v>2643</v>
      </c>
      <c r="Q4" s="3221"/>
      <c r="R4" s="3226" t="s">
        <v>2639</v>
      </c>
      <c r="S4" s="3227"/>
      <c r="T4" s="3226" t="s">
        <v>2640</v>
      </c>
      <c r="U4" s="3227"/>
      <c r="V4" s="3213" t="s">
        <v>2641</v>
      </c>
      <c r="W4" s="3213"/>
      <c r="X4" s="1809"/>
      <c r="Y4" s="3226" t="s">
        <v>2643</v>
      </c>
      <c r="Z4" s="3227"/>
      <c r="AA4" s="3214" t="s">
        <v>2639</v>
      </c>
      <c r="AB4" s="3215" t="s">
        <v>2640</v>
      </c>
      <c r="AC4" s="3214" t="s">
        <v>2641</v>
      </c>
    </row>
    <row r="5" spans="1:29" ht="15">
      <c r="A5" s="403"/>
      <c r="B5" s="404"/>
      <c r="C5" s="3234" t="s">
        <v>2534</v>
      </c>
      <c r="D5" s="3235"/>
      <c r="E5" s="3243" t="s">
        <v>2535</v>
      </c>
      <c r="F5" s="3244"/>
      <c r="G5" s="3234" t="s">
        <v>2536</v>
      </c>
      <c r="H5" s="3235"/>
      <c r="I5" s="3234" t="s">
        <v>2537</v>
      </c>
      <c r="J5" s="3235"/>
      <c r="K5" s="609"/>
      <c r="L5" s="1126"/>
      <c r="M5" s="1127"/>
      <c r="N5" s="1127"/>
      <c r="O5" s="1127"/>
      <c r="P5" s="3222"/>
      <c r="Q5" s="3223"/>
      <c r="R5" s="3228"/>
      <c r="S5" s="3229"/>
      <c r="T5" s="3228"/>
      <c r="U5" s="3229"/>
      <c r="V5" s="3213"/>
      <c r="W5" s="3213"/>
      <c r="X5" s="1809"/>
      <c r="Y5" s="3228"/>
      <c r="Z5" s="3229"/>
      <c r="AA5" s="3215"/>
      <c r="AB5" s="3215"/>
      <c r="AC5" s="3215"/>
    </row>
    <row r="6" spans="1:29" ht="15.75" thickBot="1">
      <c r="A6" s="405"/>
      <c r="B6" s="406"/>
      <c r="C6" s="3240" t="s">
        <v>2538</v>
      </c>
      <c r="D6" s="3233"/>
      <c r="E6" s="3280" t="s">
        <v>2538</v>
      </c>
      <c r="F6" s="3242"/>
      <c r="G6" s="3240" t="s">
        <v>2538</v>
      </c>
      <c r="H6" s="3233"/>
      <c r="I6" s="3240" t="s">
        <v>2538</v>
      </c>
      <c r="J6" s="3233"/>
      <c r="K6" s="609" t="s">
        <v>2539</v>
      </c>
      <c r="L6" s="1126"/>
      <c r="M6" s="1127"/>
      <c r="N6" s="1127"/>
      <c r="O6" s="1127"/>
      <c r="P6" s="3224"/>
      <c r="Q6" s="3225"/>
      <c r="R6" s="3228"/>
      <c r="S6" s="3229"/>
      <c r="T6" s="3230"/>
      <c r="U6" s="3231"/>
      <c r="V6" s="3213"/>
      <c r="W6" s="3213"/>
      <c r="X6" s="1809"/>
      <c r="Y6" s="3230"/>
      <c r="Z6" s="3231"/>
      <c r="AA6" s="3216"/>
      <c r="AB6" s="3216"/>
      <c r="AC6" s="3216"/>
    </row>
    <row r="7" spans="1:29" s="116" customFormat="1" ht="15.75" thickBot="1">
      <c r="A7" s="407" t="s">
        <v>2540</v>
      </c>
      <c r="B7" s="408"/>
      <c r="C7" s="409">
        <f>'数据-取费表'!B2</f>
        <v>43265</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36" t="s">
        <v>2541</v>
      </c>
      <c r="Q7" s="3238"/>
      <c r="R7" s="769" t="s">
        <v>17</v>
      </c>
      <c r="S7" s="770">
        <f t="shared" ref="S7:S15" si="0">F7</f>
        <v>0</v>
      </c>
      <c r="T7" s="769" t="s">
        <v>17</v>
      </c>
      <c r="U7" s="770">
        <f t="shared" ref="U7:U15" si="1">H7</f>
        <v>0</v>
      </c>
      <c r="V7" s="769" t="s">
        <v>17</v>
      </c>
      <c r="W7" s="770">
        <f t="shared" ref="W7:W15" si="2">J7</f>
        <v>0</v>
      </c>
      <c r="X7" s="771"/>
      <c r="Y7" s="3236" t="s">
        <v>2541</v>
      </c>
      <c r="Z7" s="3237"/>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36" t="s">
        <v>2544</v>
      </c>
      <c r="Q8" s="3237"/>
      <c r="R8" s="769" t="s">
        <v>17</v>
      </c>
      <c r="S8" s="770">
        <f t="shared" si="0"/>
        <v>0</v>
      </c>
      <c r="T8" s="769" t="s">
        <v>17</v>
      </c>
      <c r="U8" s="770">
        <f t="shared" si="1"/>
        <v>0</v>
      </c>
      <c r="V8" s="769" t="s">
        <v>17</v>
      </c>
      <c r="W8" s="770">
        <f t="shared" si="2"/>
        <v>0</v>
      </c>
      <c r="X8" s="771"/>
      <c r="Y8" s="3236" t="s">
        <v>2544</v>
      </c>
      <c r="Z8" s="3237"/>
      <c r="AA8" s="772" t="e">
        <f t="shared" ref="AA8:AA40" si="3">D8/F8</f>
        <v>#DIV/0!</v>
      </c>
      <c r="AB8" s="772" t="e">
        <f t="shared" ref="AB8:AB40" si="4">D8/H8</f>
        <v>#DIV/0!</v>
      </c>
      <c r="AC8" s="772"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07" t="s">
        <v>2547</v>
      </c>
      <c r="Q9" s="1791" t="str">
        <f t="shared" ref="Q9:Q15" si="6">B9</f>
        <v>用途</v>
      </c>
      <c r="R9" s="769" t="s">
        <v>17</v>
      </c>
      <c r="S9" s="770">
        <f t="shared" si="0"/>
        <v>100</v>
      </c>
      <c r="T9" s="769" t="s">
        <v>17</v>
      </c>
      <c r="U9" s="770">
        <f t="shared" si="1"/>
        <v>100</v>
      </c>
      <c r="V9" s="769" t="s">
        <v>17</v>
      </c>
      <c r="W9" s="770">
        <f t="shared" si="2"/>
        <v>100</v>
      </c>
      <c r="X9" s="771"/>
      <c r="Y9" s="3051"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07"/>
      <c r="Q10" s="1791"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07"/>
      <c r="Q11" s="1791" t="str">
        <f t="shared" si="6"/>
        <v>容积率</v>
      </c>
      <c r="R11" s="769" t="s">
        <v>17</v>
      </c>
      <c r="S11" s="770" t="e">
        <f t="shared" si="0"/>
        <v>#N/A</v>
      </c>
      <c r="T11" s="769" t="s">
        <v>17</v>
      </c>
      <c r="U11" s="770" t="e">
        <f t="shared" si="1"/>
        <v>#N/A</v>
      </c>
      <c r="V11" s="769" t="s">
        <v>17</v>
      </c>
      <c r="W11" s="770" t="e">
        <f t="shared" si="2"/>
        <v>#N/A</v>
      </c>
      <c r="X11" s="771"/>
      <c r="Y11" s="3051"/>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8"/>
      <c r="M12" s="1129"/>
      <c r="N12" s="1129"/>
      <c r="O12" s="1130"/>
      <c r="P12" s="3207"/>
      <c r="Q12" s="1791">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6"/>
      <c r="M13" s="1127"/>
      <c r="N13" s="1127"/>
      <c r="O13" s="1135"/>
      <c r="P13" s="3207"/>
      <c r="Q13" s="1791">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6"/>
      <c r="M14" s="1127"/>
      <c r="N14" s="1127"/>
      <c r="O14" s="1135"/>
      <c r="P14" s="3207"/>
      <c r="Q14" s="1791">
        <f t="shared" si="6"/>
        <v>111</v>
      </c>
      <c r="R14" s="769" t="s">
        <v>17</v>
      </c>
      <c r="S14" s="770">
        <f t="shared" si="0"/>
        <v>100</v>
      </c>
      <c r="T14" s="769" t="s">
        <v>17</v>
      </c>
      <c r="U14" s="770">
        <f t="shared" si="1"/>
        <v>100</v>
      </c>
      <c r="V14" s="769" t="s">
        <v>17</v>
      </c>
      <c r="W14" s="770">
        <f t="shared" si="2"/>
        <v>100</v>
      </c>
      <c r="X14" s="771"/>
      <c r="Y14" s="3051"/>
      <c r="Z14" s="55">
        <f t="shared" si="7"/>
        <v>111</v>
      </c>
      <c r="AA14" s="772">
        <f t="shared" si="3"/>
        <v>1</v>
      </c>
      <c r="AB14" s="772">
        <f t="shared" si="4"/>
        <v>1</v>
      </c>
      <c r="AC14" s="772">
        <f t="shared" si="5"/>
        <v>1</v>
      </c>
    </row>
    <row r="15" spans="1:29" ht="57">
      <c r="A15" s="439" t="s">
        <v>2551</v>
      </c>
      <c r="B15" s="68" t="s">
        <v>2695</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09" t="s">
        <v>2552</v>
      </c>
      <c r="Q15" s="1806" t="str">
        <f t="shared" si="6"/>
        <v>产业集聚程度</v>
      </c>
      <c r="R15" s="773" t="s">
        <v>17</v>
      </c>
      <c r="S15" s="774">
        <f t="shared" si="0"/>
        <v>100</v>
      </c>
      <c r="T15" s="773" t="s">
        <v>17</v>
      </c>
      <c r="U15" s="774">
        <f t="shared" si="1"/>
        <v>100</v>
      </c>
      <c r="V15" s="773" t="s">
        <v>17</v>
      </c>
      <c r="W15" s="774">
        <f t="shared" si="2"/>
        <v>100</v>
      </c>
      <c r="X15" s="1809"/>
      <c r="Y15" s="3209" t="s">
        <v>2552</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10"/>
      <c r="Q16" s="1806"/>
      <c r="R16" s="773"/>
      <c r="S16" s="774"/>
      <c r="T16" s="773"/>
      <c r="U16" s="774"/>
      <c r="V16" s="773"/>
      <c r="W16" s="774"/>
      <c r="X16" s="1809"/>
      <c r="Y16" s="3210"/>
      <c r="Z16" s="1810"/>
      <c r="AA16" s="1807">
        <v>1</v>
      </c>
      <c r="AB16" s="1807">
        <v>1</v>
      </c>
      <c r="AC16" s="1807">
        <v>1</v>
      </c>
    </row>
    <row r="17" spans="1:29" ht="85.5">
      <c r="A17" s="427"/>
      <c r="B17" s="450" t="s">
        <v>2089</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10"/>
      <c r="Q17" s="1806" t="str">
        <f>B17</f>
        <v>交通便捷度</v>
      </c>
      <c r="R17" s="773" t="s">
        <v>17</v>
      </c>
      <c r="S17" s="774">
        <f>F17</f>
        <v>100</v>
      </c>
      <c r="T17" s="773" t="s">
        <v>17</v>
      </c>
      <c r="U17" s="774">
        <f>H17</f>
        <v>100</v>
      </c>
      <c r="V17" s="773" t="s">
        <v>17</v>
      </c>
      <c r="W17" s="774">
        <f>J17</f>
        <v>100</v>
      </c>
      <c r="X17" s="1809"/>
      <c r="Y17" s="3210"/>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35"/>
      <c r="P18" s="3210"/>
      <c r="Q18" s="1806"/>
      <c r="R18" s="773"/>
      <c r="S18" s="774"/>
      <c r="T18" s="773"/>
      <c r="U18" s="774"/>
      <c r="V18" s="773"/>
      <c r="W18" s="774"/>
      <c r="X18" s="1809"/>
      <c r="Y18" s="3210"/>
      <c r="Z18" s="1810"/>
      <c r="AA18" s="1807">
        <v>1</v>
      </c>
      <c r="AB18" s="1807">
        <v>1</v>
      </c>
      <c r="AC18" s="1807">
        <v>1</v>
      </c>
    </row>
    <row r="19" spans="1:29" ht="42.75">
      <c r="A19" s="427"/>
      <c r="B19" s="450" t="s">
        <v>2680</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10"/>
      <c r="Q19" s="1806" t="str">
        <f>B19</f>
        <v>公共配套设施</v>
      </c>
      <c r="R19" s="773" t="s">
        <v>17</v>
      </c>
      <c r="S19" s="774">
        <f>F19</f>
        <v>100</v>
      </c>
      <c r="T19" s="773" t="s">
        <v>17</v>
      </c>
      <c r="U19" s="774">
        <f>H19</f>
        <v>100</v>
      </c>
      <c r="V19" s="773" t="s">
        <v>17</v>
      </c>
      <c r="W19" s="774">
        <f>J19</f>
        <v>100</v>
      </c>
      <c r="X19" s="1809"/>
      <c r="Y19" s="3210"/>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35"/>
      <c r="P20" s="3210"/>
      <c r="Q20" s="1806"/>
      <c r="R20" s="773"/>
      <c r="S20" s="774"/>
      <c r="T20" s="773"/>
      <c r="U20" s="774"/>
      <c r="V20" s="773"/>
      <c r="W20" s="774"/>
      <c r="X20" s="1809"/>
      <c r="Y20" s="3210"/>
      <c r="Z20" s="1810"/>
      <c r="AA20" s="1807">
        <v>1</v>
      </c>
      <c r="AB20" s="1807">
        <v>1</v>
      </c>
      <c r="AC20" s="1807">
        <v>1</v>
      </c>
    </row>
    <row r="21" spans="1:29" ht="28.5">
      <c r="A21" s="427"/>
      <c r="B21" s="1380" t="s">
        <v>2681</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10"/>
      <c r="Q21" s="1806" t="str">
        <f>B21</f>
        <v>基础设施水平</v>
      </c>
      <c r="R21" s="773" t="s">
        <v>17</v>
      </c>
      <c r="S21" s="774">
        <f>F21</f>
        <v>100</v>
      </c>
      <c r="T21" s="773" t="s">
        <v>17</v>
      </c>
      <c r="U21" s="774">
        <f>H21</f>
        <v>100</v>
      </c>
      <c r="V21" s="773" t="s">
        <v>17</v>
      </c>
      <c r="W21" s="774">
        <f>J21</f>
        <v>100</v>
      </c>
      <c r="X21" s="1809"/>
      <c r="Y21" s="3210"/>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35"/>
      <c r="P22" s="3210"/>
      <c r="Q22" s="1806"/>
      <c r="R22" s="773"/>
      <c r="S22" s="774"/>
      <c r="T22" s="773"/>
      <c r="U22" s="774"/>
      <c r="V22" s="773"/>
      <c r="W22" s="774"/>
      <c r="X22" s="1809"/>
      <c r="Y22" s="3210"/>
      <c r="Z22" s="1810"/>
      <c r="AA22" s="1807">
        <v>1</v>
      </c>
      <c r="AB22" s="1807">
        <v>1</v>
      </c>
      <c r="AC22" s="1807">
        <v>1</v>
      </c>
    </row>
    <row r="23" spans="1:29" ht="71.25">
      <c r="A23" s="427"/>
      <c r="B23" s="450" t="s">
        <v>2682</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10"/>
      <c r="Q23" s="1806" t="str">
        <f>B23</f>
        <v>环境质量</v>
      </c>
      <c r="R23" s="773" t="s">
        <v>17</v>
      </c>
      <c r="S23" s="774">
        <f>F23</f>
        <v>100</v>
      </c>
      <c r="T23" s="773" t="s">
        <v>17</v>
      </c>
      <c r="U23" s="774">
        <f>H23</f>
        <v>100</v>
      </c>
      <c r="V23" s="773" t="s">
        <v>17</v>
      </c>
      <c r="W23" s="774">
        <f>J23</f>
        <v>100</v>
      </c>
      <c r="X23" s="1809"/>
      <c r="Y23" s="3210"/>
      <c r="Z23" s="1810" t="str">
        <f>Q23</f>
        <v>环境质量</v>
      </c>
      <c r="AA23" s="1807">
        <f t="shared" si="3"/>
        <v>1</v>
      </c>
      <c r="AB23" s="1807">
        <f t="shared" si="4"/>
        <v>1</v>
      </c>
      <c r="AC23" s="1807">
        <f t="shared" si="5"/>
        <v>1</v>
      </c>
    </row>
    <row r="24" spans="1:29" ht="15">
      <c r="A24" s="427"/>
      <c r="B24" s="1380"/>
      <c r="C24" s="446"/>
      <c r="D24" s="447"/>
      <c r="E24" s="2598"/>
      <c r="F24" s="448"/>
      <c r="G24" s="2597"/>
      <c r="H24" s="447"/>
      <c r="I24" s="2598"/>
      <c r="J24" s="447"/>
      <c r="K24" s="614"/>
      <c r="L24" s="1136"/>
      <c r="M24" s="1127"/>
      <c r="N24" s="1127"/>
      <c r="O24" s="1135"/>
      <c r="P24" s="3210"/>
      <c r="Q24" s="1806"/>
      <c r="R24" s="773"/>
      <c r="S24" s="774"/>
      <c r="T24" s="773"/>
      <c r="U24" s="774"/>
      <c r="V24" s="773"/>
      <c r="W24" s="774"/>
      <c r="X24" s="1809"/>
      <c r="Y24" s="3210"/>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10"/>
      <c r="Q25" s="1806">
        <f>B25</f>
        <v>111</v>
      </c>
      <c r="R25" s="773" t="s">
        <v>17</v>
      </c>
      <c r="S25" s="774">
        <f>F25</f>
        <v>100</v>
      </c>
      <c r="T25" s="773" t="s">
        <v>17</v>
      </c>
      <c r="U25" s="774">
        <f>H25</f>
        <v>100</v>
      </c>
      <c r="V25" s="773" t="s">
        <v>17</v>
      </c>
      <c r="W25" s="774">
        <f>J25</f>
        <v>100</v>
      </c>
      <c r="X25" s="1809"/>
      <c r="Y25" s="3210"/>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10"/>
      <c r="Q26" s="1806">
        <f t="shared" ref="Q26:Q40" si="11">B26</f>
        <v>111</v>
      </c>
      <c r="R26" s="773" t="s">
        <v>17</v>
      </c>
      <c r="S26" s="774">
        <f>F26</f>
        <v>100</v>
      </c>
      <c r="T26" s="773" t="s">
        <v>17</v>
      </c>
      <c r="U26" s="774">
        <f>H26</f>
        <v>100</v>
      </c>
      <c r="V26" s="773" t="s">
        <v>17</v>
      </c>
      <c r="W26" s="774">
        <f>J26</f>
        <v>100</v>
      </c>
      <c r="X26" s="1809"/>
      <c r="Y26" s="3210"/>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10"/>
      <c r="Q27" s="1791">
        <f t="shared" si="11"/>
        <v>111</v>
      </c>
      <c r="R27" s="769" t="s">
        <v>17</v>
      </c>
      <c r="S27" s="770">
        <f>F27</f>
        <v>100</v>
      </c>
      <c r="T27" s="769" t="s">
        <v>17</v>
      </c>
      <c r="U27" s="770">
        <f>H27</f>
        <v>100</v>
      </c>
      <c r="V27" s="769" t="s">
        <v>17</v>
      </c>
      <c r="W27" s="770">
        <f>J27</f>
        <v>100</v>
      </c>
      <c r="X27" s="771"/>
      <c r="Y27" s="3210"/>
      <c r="Z27" s="55">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10"/>
      <c r="Q28" s="1806">
        <f t="shared" si="11"/>
        <v>111</v>
      </c>
      <c r="R28" s="773" t="s">
        <v>17</v>
      </c>
      <c r="S28" s="774">
        <f t="shared" ref="S28:S40" si="12">F28</f>
        <v>100</v>
      </c>
      <c r="T28" s="773" t="s">
        <v>17</v>
      </c>
      <c r="U28" s="774">
        <f t="shared" ref="U28:U40" si="13">H28</f>
        <v>100</v>
      </c>
      <c r="V28" s="773" t="s">
        <v>17</v>
      </c>
      <c r="W28" s="774">
        <f t="shared" ref="W28:W40" si="14">J28</f>
        <v>100</v>
      </c>
      <c r="X28" s="1809"/>
      <c r="Y28" s="3210"/>
      <c r="Z28" s="1810">
        <f t="shared" ref="Z28:Z40" si="15">Q28</f>
        <v>111</v>
      </c>
      <c r="AA28" s="1807">
        <f t="shared" si="3"/>
        <v>1</v>
      </c>
      <c r="AB28" s="1807">
        <f t="shared" si="4"/>
        <v>1</v>
      </c>
      <c r="AC28" s="1807">
        <f t="shared" si="5"/>
        <v>1</v>
      </c>
    </row>
    <row r="29" spans="1:29" ht="15">
      <c r="A29" s="465" t="s">
        <v>2555</v>
      </c>
      <c r="B29" s="70" t="s">
        <v>2685</v>
      </c>
      <c r="C29" s="2672"/>
      <c r="D29" s="466">
        <v>100</v>
      </c>
      <c r="E29" s="2672"/>
      <c r="F29" s="460">
        <f>SUMIF(88:88,E29,89:89)-SUMIF(88:88,C29,89:89)+100</f>
        <v>100</v>
      </c>
      <c r="G29" s="2672"/>
      <c r="H29" s="434">
        <f>SUMIF(88:88,G29,89:89)-SUMIF(88:88,C29,89:89)+100</f>
        <v>100</v>
      </c>
      <c r="I29" s="2672"/>
      <c r="J29" s="466">
        <f>SUMIF(88:88,I29,89:89)-SUMIF(88:88,C29,89:89)+100</f>
        <v>100</v>
      </c>
      <c r="K29" s="611"/>
      <c r="L29" s="1136"/>
      <c r="M29" s="1127"/>
      <c r="N29" s="1127"/>
      <c r="O29" s="1135"/>
      <c r="P29" s="3211" t="s">
        <v>2557</v>
      </c>
      <c r="Q29" s="1806" t="str">
        <f t="shared" si="11"/>
        <v>建筑类型</v>
      </c>
      <c r="R29" s="773" t="s">
        <v>17</v>
      </c>
      <c r="S29" s="774">
        <f t="shared" si="12"/>
        <v>100</v>
      </c>
      <c r="T29" s="773" t="s">
        <v>17</v>
      </c>
      <c r="U29" s="774">
        <f t="shared" si="13"/>
        <v>100</v>
      </c>
      <c r="V29" s="773" t="s">
        <v>17</v>
      </c>
      <c r="W29" s="774">
        <f t="shared" si="14"/>
        <v>100</v>
      </c>
      <c r="X29" s="1809"/>
      <c r="Y29" s="3212" t="s">
        <v>2557</v>
      </c>
      <c r="Z29" s="1810" t="str">
        <f t="shared" si="15"/>
        <v>建筑类型</v>
      </c>
      <c r="AA29" s="1807">
        <f t="shared" si="3"/>
        <v>1</v>
      </c>
      <c r="AB29" s="1807">
        <f t="shared" si="4"/>
        <v>1</v>
      </c>
      <c r="AC29" s="1807">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12"/>
      <c r="Q30" s="775" t="str">
        <f t="shared" si="11"/>
        <v>项目建筑规模</v>
      </c>
      <c r="R30" s="776" t="s">
        <v>17</v>
      </c>
      <c r="S30" s="777" t="e">
        <f t="shared" si="12"/>
        <v>#N/A</v>
      </c>
      <c r="T30" s="776" t="s">
        <v>17</v>
      </c>
      <c r="U30" s="777" t="e">
        <f t="shared" si="13"/>
        <v>#N/A</v>
      </c>
      <c r="V30" s="776" t="s">
        <v>17</v>
      </c>
      <c r="W30" s="777" t="e">
        <f t="shared" si="14"/>
        <v>#N/A</v>
      </c>
      <c r="X30" s="778"/>
      <c r="Y30" s="3212"/>
      <c r="Z30" s="779" t="str">
        <f t="shared" si="15"/>
        <v>项目建筑规模</v>
      </c>
      <c r="AA30" s="1807" t="e">
        <f t="shared" si="3"/>
        <v>#N/A</v>
      </c>
      <c r="AB30" s="1807" t="e">
        <f t="shared" si="4"/>
        <v>#N/A</v>
      </c>
      <c r="AC30" s="1807"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12"/>
      <c r="Q31" s="1806" t="str">
        <f t="shared" si="11"/>
        <v>建筑结构</v>
      </c>
      <c r="R31" s="773" t="s">
        <v>17</v>
      </c>
      <c r="S31" s="774">
        <f t="shared" si="12"/>
        <v>100</v>
      </c>
      <c r="T31" s="773" t="s">
        <v>17</v>
      </c>
      <c r="U31" s="774">
        <f t="shared" si="13"/>
        <v>100</v>
      </c>
      <c r="V31" s="773" t="s">
        <v>17</v>
      </c>
      <c r="W31" s="774">
        <f t="shared" si="14"/>
        <v>100</v>
      </c>
      <c r="X31" s="1809"/>
      <c r="Y31" s="3212"/>
      <c r="Z31" s="1810" t="str">
        <f t="shared" si="15"/>
        <v>建筑结构</v>
      </c>
      <c r="AA31" s="1807">
        <f t="shared" si="3"/>
        <v>1</v>
      </c>
      <c r="AB31" s="1807">
        <f t="shared" si="4"/>
        <v>1</v>
      </c>
      <c r="AC31" s="1807">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12"/>
      <c r="Q32" s="1806" t="str">
        <f t="shared" si="11"/>
        <v>公共部分装修</v>
      </c>
      <c r="R32" s="773" t="s">
        <v>17</v>
      </c>
      <c r="S32" s="774">
        <f t="shared" si="12"/>
        <v>100</v>
      </c>
      <c r="T32" s="773" t="s">
        <v>17</v>
      </c>
      <c r="U32" s="774">
        <f t="shared" si="13"/>
        <v>100</v>
      </c>
      <c r="V32" s="773" t="s">
        <v>17</v>
      </c>
      <c r="W32" s="774">
        <f t="shared" si="14"/>
        <v>100</v>
      </c>
      <c r="X32" s="1809"/>
      <c r="Y32" s="3212"/>
      <c r="Z32" s="1810" t="str">
        <f t="shared" si="15"/>
        <v>公共部分装修</v>
      </c>
      <c r="AA32" s="1807">
        <f t="shared" si="3"/>
        <v>1</v>
      </c>
      <c r="AB32" s="1807">
        <f t="shared" si="4"/>
        <v>1</v>
      </c>
      <c r="AC32" s="1807">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12"/>
      <c r="Q33" s="1806" t="str">
        <f t="shared" si="11"/>
        <v>成新度</v>
      </c>
      <c r="R33" s="773" t="s">
        <v>17</v>
      </c>
      <c r="S33" s="774" t="e">
        <f t="shared" si="12"/>
        <v>#N/A</v>
      </c>
      <c r="T33" s="773" t="s">
        <v>17</v>
      </c>
      <c r="U33" s="774" t="e">
        <f t="shared" si="13"/>
        <v>#N/A</v>
      </c>
      <c r="V33" s="773" t="s">
        <v>17</v>
      </c>
      <c r="W33" s="774" t="e">
        <f t="shared" si="14"/>
        <v>#N/A</v>
      </c>
      <c r="X33" s="1809"/>
      <c r="Y33" s="3212"/>
      <c r="Z33" s="1810" t="str">
        <f t="shared" si="15"/>
        <v>成新度</v>
      </c>
      <c r="AA33" s="1807" t="e">
        <f t="shared" si="3"/>
        <v>#N/A</v>
      </c>
      <c r="AB33" s="1807" t="e">
        <f t="shared" si="4"/>
        <v>#N/A</v>
      </c>
      <c r="AC33" s="1807"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12"/>
      <c r="Q34" s="1791" t="str">
        <f t="shared" si="11"/>
        <v>物业管理</v>
      </c>
      <c r="R34" s="769" t="s">
        <v>17</v>
      </c>
      <c r="S34" s="770">
        <f t="shared" si="12"/>
        <v>100</v>
      </c>
      <c r="T34" s="769" t="s">
        <v>17</v>
      </c>
      <c r="U34" s="770">
        <f t="shared" si="13"/>
        <v>100</v>
      </c>
      <c r="V34" s="769" t="s">
        <v>17</v>
      </c>
      <c r="W34" s="770">
        <f t="shared" si="14"/>
        <v>100</v>
      </c>
      <c r="X34" s="771"/>
      <c r="Y34" s="3212"/>
      <c r="Z34" s="55"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12" t="s">
        <v>2557</v>
      </c>
      <c r="Q35" s="1806" t="str">
        <f t="shared" si="11"/>
        <v>市政基础设施</v>
      </c>
      <c r="R35" s="773" t="s">
        <v>17</v>
      </c>
      <c r="S35" s="774">
        <f t="shared" si="12"/>
        <v>100</v>
      </c>
      <c r="T35" s="773" t="s">
        <v>17</v>
      </c>
      <c r="U35" s="774">
        <f t="shared" si="13"/>
        <v>100</v>
      </c>
      <c r="V35" s="773" t="s">
        <v>17</v>
      </c>
      <c r="W35" s="774">
        <f t="shared" si="14"/>
        <v>100</v>
      </c>
      <c r="X35" s="1809"/>
      <c r="Y35" s="3212" t="s">
        <v>2557</v>
      </c>
      <c r="Z35" s="1810" t="str">
        <f t="shared" si="15"/>
        <v>市政基础设施</v>
      </c>
      <c r="AA35" s="1807">
        <f t="shared" si="3"/>
        <v>1</v>
      </c>
      <c r="AB35" s="1807">
        <f t="shared" si="4"/>
        <v>1</v>
      </c>
      <c r="AC35" s="1807">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12"/>
      <c r="Q36" s="1806" t="str">
        <f t="shared" si="11"/>
        <v>内部装修</v>
      </c>
      <c r="R36" s="773" t="s">
        <v>17</v>
      </c>
      <c r="S36" s="774">
        <f t="shared" si="12"/>
        <v>100</v>
      </c>
      <c r="T36" s="773" t="s">
        <v>17</v>
      </c>
      <c r="U36" s="774">
        <f t="shared" si="13"/>
        <v>100</v>
      </c>
      <c r="V36" s="773" t="s">
        <v>17</v>
      </c>
      <c r="W36" s="774">
        <f t="shared" si="14"/>
        <v>100</v>
      </c>
      <c r="X36" s="1809"/>
      <c r="Y36" s="3212"/>
      <c r="Z36" s="1810" t="str">
        <f t="shared" si="15"/>
        <v>内部装修</v>
      </c>
      <c r="AA36" s="1807">
        <f t="shared" si="3"/>
        <v>1</v>
      </c>
      <c r="AB36" s="1807">
        <f t="shared" si="4"/>
        <v>1</v>
      </c>
      <c r="AC36" s="1807">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12"/>
      <c r="Q37" s="1806" t="str">
        <f t="shared" si="11"/>
        <v>内部装修状况</v>
      </c>
      <c r="R37" s="773" t="s">
        <v>17</v>
      </c>
      <c r="S37" s="774">
        <f t="shared" si="12"/>
        <v>100</v>
      </c>
      <c r="T37" s="773" t="s">
        <v>17</v>
      </c>
      <c r="U37" s="774">
        <f t="shared" si="13"/>
        <v>100</v>
      </c>
      <c r="V37" s="773" t="s">
        <v>17</v>
      </c>
      <c r="W37" s="774">
        <f t="shared" si="14"/>
        <v>100</v>
      </c>
      <c r="X37" s="1809"/>
      <c r="Y37" s="3212"/>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12"/>
      <c r="Q38" s="775">
        <f t="shared" si="11"/>
        <v>111</v>
      </c>
      <c r="R38" s="776" t="s">
        <v>17</v>
      </c>
      <c r="S38" s="777">
        <f t="shared" si="12"/>
        <v>100</v>
      </c>
      <c r="T38" s="776" t="s">
        <v>17</v>
      </c>
      <c r="U38" s="777">
        <f t="shared" si="13"/>
        <v>100</v>
      </c>
      <c r="V38" s="776" t="s">
        <v>17</v>
      </c>
      <c r="W38" s="777">
        <f t="shared" si="14"/>
        <v>100</v>
      </c>
      <c r="X38" s="778"/>
      <c r="Y38" s="3212"/>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12"/>
      <c r="Q39" s="1806">
        <f t="shared" si="11"/>
        <v>111</v>
      </c>
      <c r="R39" s="773" t="s">
        <v>17</v>
      </c>
      <c r="S39" s="774">
        <f t="shared" si="12"/>
        <v>100</v>
      </c>
      <c r="T39" s="773" t="s">
        <v>17</v>
      </c>
      <c r="U39" s="774">
        <f t="shared" si="13"/>
        <v>100</v>
      </c>
      <c r="V39" s="773" t="s">
        <v>17</v>
      </c>
      <c r="W39" s="774">
        <f t="shared" si="14"/>
        <v>100</v>
      </c>
      <c r="X39" s="1809"/>
      <c r="Y39" s="3212"/>
      <c r="Z39" s="1810">
        <f t="shared" si="15"/>
        <v>111</v>
      </c>
      <c r="AA39" s="1807">
        <f t="shared" si="3"/>
        <v>1</v>
      </c>
      <c r="AB39" s="1807">
        <f t="shared" si="4"/>
        <v>1</v>
      </c>
      <c r="AC39" s="1807">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77"/>
      <c r="Q40" s="1806">
        <f t="shared" si="11"/>
        <v>111</v>
      </c>
      <c r="R40" s="773" t="s">
        <v>17</v>
      </c>
      <c r="S40" s="774">
        <f t="shared" si="12"/>
        <v>100</v>
      </c>
      <c r="T40" s="773" t="s">
        <v>17</v>
      </c>
      <c r="U40" s="774">
        <f t="shared" si="13"/>
        <v>100</v>
      </c>
      <c r="V40" s="773" t="s">
        <v>17</v>
      </c>
      <c r="W40" s="774">
        <f t="shared" si="14"/>
        <v>100</v>
      </c>
      <c r="X40" s="1809"/>
      <c r="Y40" s="3277"/>
      <c r="Z40" s="1810">
        <f t="shared" si="15"/>
        <v>111</v>
      </c>
      <c r="AA40" s="1807">
        <f t="shared" si="3"/>
        <v>1</v>
      </c>
      <c r="AB40" s="1807">
        <f t="shared" si="4"/>
        <v>1</v>
      </c>
      <c r="AC40" s="1807">
        <f t="shared" si="5"/>
        <v>1</v>
      </c>
    </row>
    <row r="41" spans="1:29" ht="15">
      <c r="A41" s="478" t="s">
        <v>2569</v>
      </c>
      <c r="B41" s="479"/>
      <c r="C41" s="1403" t="s">
        <v>1</v>
      </c>
      <c r="D41" s="1404"/>
      <c r="E41" s="1405"/>
      <c r="F41" s="1406"/>
      <c r="G41" s="1407"/>
      <c r="H41" s="1408"/>
      <c r="I41" s="1405"/>
      <c r="J41" s="1408"/>
      <c r="K41" s="782"/>
      <c r="L41" s="1139"/>
      <c r="M41" s="1140"/>
      <c r="N41" s="1127"/>
      <c r="O41" s="1140"/>
      <c r="P41" s="3207" t="str">
        <f>A41</f>
        <v>成交单价（元/平方米）</v>
      </c>
      <c r="Q41" s="3207"/>
      <c r="R41" s="3273">
        <f>E41</f>
        <v>0</v>
      </c>
      <c r="S41" s="3273"/>
      <c r="T41" s="3273">
        <f>G41</f>
        <v>0</v>
      </c>
      <c r="U41" s="3273"/>
      <c r="V41" s="3273">
        <f>I41</f>
        <v>0</v>
      </c>
      <c r="W41" s="3273"/>
      <c r="X41" s="758"/>
      <c r="Y41" s="780"/>
      <c r="Z41" s="758"/>
      <c r="AA41" s="758"/>
      <c r="AB41" s="758"/>
      <c r="AC41" s="758"/>
    </row>
    <row r="42" spans="1:29" ht="15.75" thickBot="1">
      <c r="A42" s="485" t="s">
        <v>2661</v>
      </c>
      <c r="B42" s="486"/>
      <c r="C42" s="1409" t="e">
        <f>R43</f>
        <v>#DIV/0!</v>
      </c>
      <c r="D42" s="1410"/>
      <c r="E42" s="1411" t="e">
        <f>R42</f>
        <v>#DIV/0!</v>
      </c>
      <c r="F42" s="1411"/>
      <c r="G42" s="1409" t="e">
        <f>T42</f>
        <v>#DIV/0!</v>
      </c>
      <c r="H42" s="1410"/>
      <c r="I42" s="1411" t="e">
        <f>V42</f>
        <v>#DIV/0!</v>
      </c>
      <c r="J42" s="1410"/>
      <c r="K42" s="783"/>
      <c r="L42" s="1139"/>
      <c r="M42" s="1140"/>
      <c r="N42" s="1127"/>
      <c r="O42" s="1140"/>
      <c r="P42" s="3207" t="str">
        <f>A42</f>
        <v>比较价值（元/平方米）</v>
      </c>
      <c r="Q42" s="3207"/>
      <c r="R42" s="3273" t="e">
        <f>IF(F1="售价",ROUND(PRODUCT(R41,AA7:AA40),0),ROUND(PRODUCT(R41,AA7:AA40),1))</f>
        <v>#DIV/0!</v>
      </c>
      <c r="S42" s="3273"/>
      <c r="T42" s="3273" t="e">
        <f>IF(F1="售价",ROUND(PRODUCT(T41,AB7:AB40),0),ROUND(PRODUCT(T41,AB7:AB40),1))</f>
        <v>#DIV/0!</v>
      </c>
      <c r="U42" s="3273"/>
      <c r="V42" s="3273" t="e">
        <f>IF(F1="售价",ROUND(PRODUCT(V41,AC7:AC40),0),ROUND(PRODUCT(V41,AC7:AC40),1))</f>
        <v>#DIV/0!</v>
      </c>
      <c r="W42" s="3273"/>
      <c r="X42" s="758"/>
      <c r="Y42" s="758"/>
      <c r="Z42" s="758"/>
      <c r="AA42" s="758"/>
      <c r="AB42" s="758"/>
      <c r="AC42" s="758"/>
    </row>
    <row r="43" spans="1:29" ht="15.75" thickBot="1">
      <c r="A43" s="491" t="s">
        <v>2662</v>
      </c>
      <c r="B43" s="492"/>
      <c r="C43" s="1413" t="e">
        <f>R43</f>
        <v>#DIV/0!</v>
      </c>
      <c r="D43" s="1413"/>
      <c r="E43" s="1413"/>
      <c r="F43" s="1413"/>
      <c r="G43" s="1413"/>
      <c r="H43" s="1413"/>
      <c r="I43" s="1413"/>
      <c r="J43" s="1413"/>
      <c r="K43" s="784"/>
      <c r="L43" s="1139"/>
      <c r="M43" s="1140"/>
      <c r="N43" s="1140"/>
      <c r="O43" s="1140"/>
      <c r="P43" s="3201" t="str">
        <f>A43</f>
        <v>估价对象XX用房的比较价值（楼面单价，元/平方米）</v>
      </c>
      <c r="Q43" s="3202"/>
      <c r="R43" s="3272" t="e">
        <f>IF(F1="售价",ROUND(AVERAGE(R42:V42),0),ROUND(AVERAGE(R42:V42),1))</f>
        <v>#DIV/0!</v>
      </c>
      <c r="S43" s="3272"/>
      <c r="T43" s="3272"/>
      <c r="U43" s="3272"/>
      <c r="V43" s="3272"/>
      <c r="W43" s="3272"/>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2666</v>
      </c>
      <c r="B51" s="758"/>
      <c r="C51" s="763"/>
      <c r="D51" s="763"/>
      <c r="E51" s="763"/>
      <c r="F51" s="764"/>
      <c r="G51" s="764"/>
      <c r="H51" s="763"/>
      <c r="I51" s="763"/>
      <c r="J51" s="763"/>
      <c r="K51" s="1156"/>
      <c r="L51" s="1157"/>
      <c r="M51" s="1155"/>
      <c r="N51" s="1155"/>
      <c r="O51" s="1155"/>
      <c r="P51" s="502"/>
      <c r="Q51" s="503"/>
    </row>
    <row r="52" spans="1:17" s="507" customFormat="1" ht="15">
      <c r="A52" s="504" t="s">
        <v>2540</v>
      </c>
      <c r="B52" s="505"/>
      <c r="C52" s="1570" t="str">
        <f>YEAR(C7)&amp;"-"&amp;MONTH(C7)</f>
        <v>2018-6</v>
      </c>
      <c r="D52" s="1571">
        <f>EDATE(C52,-1)</f>
        <v>43221</v>
      </c>
      <c r="E52" s="1571">
        <f t="shared" ref="E52:O52" si="16">EDATE(D52,-1)</f>
        <v>43191</v>
      </c>
      <c r="F52" s="1571">
        <f t="shared" si="16"/>
        <v>43160</v>
      </c>
      <c r="G52" s="1571">
        <f t="shared" si="16"/>
        <v>43132</v>
      </c>
      <c r="H52" s="1571">
        <f t="shared" si="16"/>
        <v>43101</v>
      </c>
      <c r="I52" s="1571">
        <f t="shared" si="16"/>
        <v>43070</v>
      </c>
      <c r="J52" s="1571">
        <f t="shared" si="16"/>
        <v>43040</v>
      </c>
      <c r="K52" s="1571">
        <f t="shared" si="16"/>
        <v>43009</v>
      </c>
      <c r="L52" s="1571">
        <f t="shared" si="16"/>
        <v>42979</v>
      </c>
      <c r="M52" s="1571">
        <f t="shared" si="16"/>
        <v>42948</v>
      </c>
      <c r="N52" s="1571">
        <f t="shared" si="16"/>
        <v>42917</v>
      </c>
      <c r="O52" s="1571">
        <f t="shared" si="16"/>
        <v>42887</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2580</v>
      </c>
      <c r="B57" s="527" t="s">
        <v>2546</v>
      </c>
      <c r="C57" s="528">
        <f>C9</f>
        <v>0</v>
      </c>
      <c r="D57" s="529"/>
      <c r="E57" s="529"/>
      <c r="F57" s="529"/>
      <c r="G57" s="529"/>
      <c r="H57" s="529"/>
      <c r="I57" s="529"/>
      <c r="J57" s="529"/>
      <c r="K57" s="530"/>
      <c r="L57" s="531"/>
      <c r="M57" s="532"/>
      <c r="N57" s="1148"/>
      <c r="O57" s="1148"/>
      <c r="P57" s="45"/>
      <c r="Q57" s="503"/>
    </row>
    <row r="58" spans="1:17" ht="15.75" thickBot="1">
      <c r="A58" s="533"/>
      <c r="B58" s="534"/>
      <c r="C58" s="535">
        <v>100</v>
      </c>
      <c r="D58" s="535"/>
      <c r="E58" s="535"/>
      <c r="F58" s="535"/>
      <c r="G58" s="535"/>
      <c r="H58" s="535"/>
      <c r="I58" s="535"/>
      <c r="J58" s="535"/>
      <c r="K58" s="535"/>
      <c r="L58" s="535"/>
      <c r="M58" s="536"/>
      <c r="N58" s="1149"/>
      <c r="O58" s="1149"/>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48"/>
      <c r="O59" s="1148"/>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ht="15">
      <c r="A62" s="533"/>
      <c r="B62" s="547"/>
      <c r="C62" s="548"/>
      <c r="D62" s="548"/>
      <c r="E62" s="548"/>
      <c r="F62" s="548"/>
      <c r="G62" s="548"/>
      <c r="H62" s="548"/>
      <c r="I62" s="548"/>
      <c r="J62" s="548"/>
      <c r="K62" s="549"/>
      <c r="L62" s="550"/>
      <c r="M62" s="551"/>
      <c r="N62" s="1148"/>
      <c r="O62" s="1148"/>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48"/>
      <c r="O72" s="1148"/>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48"/>
      <c r="O74" s="1148"/>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78"/>
      <c r="N76" s="1149"/>
      <c r="O76" s="1149"/>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48"/>
      <c r="O78" s="1148"/>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5.75" thickTop="1">
      <c r="A80" s="578"/>
      <c r="B80" s="537">
        <f>B25</f>
        <v>111</v>
      </c>
      <c r="C80" s="553"/>
      <c r="D80" s="553"/>
      <c r="E80" s="553"/>
      <c r="F80" s="553"/>
      <c r="G80" s="553"/>
      <c r="H80" s="553"/>
      <c r="I80" s="553"/>
      <c r="J80" s="553"/>
      <c r="K80" s="553"/>
      <c r="L80" s="579"/>
      <c r="M80" s="580"/>
      <c r="N80" s="1147"/>
      <c r="O80" s="1147"/>
      <c r="P80" s="45"/>
      <c r="Q80" s="503"/>
    </row>
    <row r="81" spans="1:17" s="116" customFormat="1" ht="15.75" thickBot="1">
      <c r="A81" s="578"/>
      <c r="B81" s="542"/>
      <c r="C81" s="559"/>
      <c r="D81" s="535"/>
      <c r="E81" s="535"/>
      <c r="F81" s="535"/>
      <c r="G81" s="535"/>
      <c r="H81" s="535"/>
      <c r="I81" s="535"/>
      <c r="J81" s="535"/>
      <c r="K81" s="535"/>
      <c r="L81" s="535"/>
      <c r="M81" s="536"/>
      <c r="N81" s="1149"/>
      <c r="O81" s="1149"/>
      <c r="P81" s="45"/>
      <c r="Q81" s="503"/>
    </row>
    <row r="82" spans="1:17" s="116" customFormat="1" ht="15.75" thickTop="1">
      <c r="A82" s="578"/>
      <c r="B82" s="537">
        <f>B26</f>
        <v>111</v>
      </c>
      <c r="C82" s="553"/>
      <c r="D82" s="553"/>
      <c r="E82" s="553"/>
      <c r="F82" s="553"/>
      <c r="G82" s="553"/>
      <c r="H82" s="553"/>
      <c r="I82" s="553"/>
      <c r="J82" s="553"/>
      <c r="K82" s="553"/>
      <c r="L82" s="579"/>
      <c r="M82" s="580"/>
      <c r="N82" s="1147"/>
      <c r="O82" s="1147"/>
      <c r="P82" s="45"/>
      <c r="Q82" s="503"/>
    </row>
    <row r="83" spans="1:17" s="116" customFormat="1" ht="15.75" thickBot="1">
      <c r="A83" s="578"/>
      <c r="B83" s="542"/>
      <c r="C83" s="559"/>
      <c r="D83" s="535"/>
      <c r="E83" s="535"/>
      <c r="F83" s="535"/>
      <c r="G83" s="535"/>
      <c r="H83" s="535"/>
      <c r="I83" s="535"/>
      <c r="J83" s="535"/>
      <c r="K83" s="535"/>
      <c r="L83" s="535"/>
      <c r="M83" s="536"/>
      <c r="N83" s="1149"/>
      <c r="O83" s="1149"/>
      <c r="P83" s="45"/>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5"/>
      <c r="Q86" s="503"/>
    </row>
    <row r="87" spans="1:17" ht="15.75" thickBot="1">
      <c r="A87" s="2629"/>
      <c r="B87" s="568"/>
      <c r="C87" s="569"/>
      <c r="D87" s="569"/>
      <c r="E87" s="569"/>
      <c r="F87" s="569"/>
      <c r="G87" s="590"/>
      <c r="H87" s="590"/>
      <c r="I87" s="590"/>
      <c r="J87" s="590"/>
      <c r="K87" s="590"/>
      <c r="L87" s="590"/>
      <c r="M87" s="591"/>
      <c r="N87" s="1149"/>
      <c r="O87" s="1149"/>
      <c r="P87" s="45"/>
      <c r="Q87" s="503"/>
    </row>
    <row r="88" spans="1:17">
      <c r="A88" s="526" t="s">
        <v>2555</v>
      </c>
      <c r="B88" s="527" t="s">
        <v>2604</v>
      </c>
      <c r="C88" s="529"/>
      <c r="D88" s="529"/>
      <c r="E88" s="529"/>
      <c r="F88" s="529"/>
      <c r="G88" s="529"/>
      <c r="H88" s="529"/>
      <c r="I88" s="529"/>
      <c r="J88" s="529"/>
      <c r="K88" s="530"/>
      <c r="L88" s="531"/>
      <c r="M88" s="532"/>
      <c r="N88" s="1148"/>
      <c r="O88" s="1148"/>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2606</v>
      </c>
      <c r="C93" s="553"/>
      <c r="D93" s="553"/>
      <c r="E93" s="582"/>
      <c r="F93" s="582"/>
      <c r="G93" s="582"/>
      <c r="H93" s="582"/>
      <c r="I93" s="582"/>
      <c r="J93" s="582"/>
      <c r="K93" s="583"/>
      <c r="L93" s="584"/>
      <c r="M93" s="585"/>
      <c r="N93" s="1148"/>
      <c r="O93" s="1148"/>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2608</v>
      </c>
      <c r="C95" s="553"/>
      <c r="D95" s="553"/>
      <c r="E95" s="553"/>
      <c r="F95" s="582"/>
      <c r="G95" s="582"/>
      <c r="H95" s="582"/>
      <c r="I95" s="582"/>
      <c r="J95" s="582"/>
      <c r="K95" s="583"/>
      <c r="L95" s="584"/>
      <c r="M95" s="585"/>
      <c r="N95" s="1148"/>
      <c r="O95" s="1148"/>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2609</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2610</v>
      </c>
      <c r="C102" s="553"/>
      <c r="D102" s="553"/>
      <c r="E102" s="553"/>
      <c r="F102" s="553"/>
      <c r="G102" s="553"/>
      <c r="H102" s="582"/>
      <c r="I102" s="582"/>
      <c r="J102" s="582"/>
      <c r="K102" s="583"/>
      <c r="L102" s="584"/>
      <c r="M102" s="585"/>
      <c r="N102" s="1148"/>
      <c r="O102" s="1148"/>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2612</v>
      </c>
      <c r="C104" s="553"/>
      <c r="D104" s="553"/>
      <c r="E104" s="553"/>
      <c r="F104" s="553"/>
      <c r="G104" s="553"/>
      <c r="H104" s="582"/>
      <c r="I104" s="582"/>
      <c r="J104" s="582"/>
      <c r="K104" s="583"/>
      <c r="L104" s="584"/>
      <c r="M104" s="585"/>
      <c r="N104" s="1148"/>
      <c r="O104" s="1148"/>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5"/>
      <c r="Q110" s="503"/>
    </row>
    <row r="111" spans="1:17" ht="15.75" thickBot="1">
      <c r="A111" s="533"/>
      <c r="B111" s="542"/>
      <c r="C111" s="559"/>
      <c r="D111" s="535"/>
      <c r="E111" s="535"/>
      <c r="F111" s="535"/>
      <c r="G111" s="559"/>
      <c r="H111" s="561"/>
      <c r="I111" s="561"/>
      <c r="J111" s="561"/>
      <c r="K111" s="561"/>
      <c r="L111" s="561"/>
      <c r="M111" s="562"/>
      <c r="N111" s="1149"/>
      <c r="O111" s="1149"/>
      <c r="P111" s="45"/>
      <c r="Q111" s="503"/>
    </row>
    <row r="112" spans="1:17" ht="15" thickTop="1">
      <c r="A112" s="598"/>
      <c r="B112" s="545">
        <f>B40</f>
        <v>111</v>
      </c>
      <c r="C112" s="522"/>
      <c r="D112" s="522"/>
      <c r="E112" s="522"/>
      <c r="F112" s="522"/>
      <c r="G112" s="586"/>
      <c r="H112" s="586"/>
      <c r="I112" s="586"/>
      <c r="J112" s="586"/>
      <c r="K112" s="522"/>
      <c r="L112" s="523"/>
      <c r="M112" s="589"/>
      <c r="N112" s="1148"/>
      <c r="O112" s="1148"/>
      <c r="P112" s="45"/>
      <c r="Q112" s="503"/>
    </row>
    <row r="113" spans="1:17" ht="15.75" thickBot="1">
      <c r="A113" s="2629"/>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2699</v>
      </c>
      <c r="B1" s="1615"/>
      <c r="C1" s="1616" t="s">
        <v>2522</v>
      </c>
      <c r="D1" s="1617"/>
      <c r="E1" s="1618"/>
      <c r="F1" s="2577"/>
      <c r="G1" s="1619" t="s">
        <v>2635</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2319</v>
      </c>
      <c r="B2" s="1414" t="e">
        <f ca="1">IF(C2="——",IF(B37="元/平方米",ROUND(C39*D3/10000,0),ROUND(F3*C39/10000,0)),IF(B37="元/平方米",ROUND(C39*D3/10000,0),ROUND(F3*C39/10000,0))-D2)</f>
        <v>#DIV/0!</v>
      </c>
      <c r="C2" s="2579"/>
      <c r="D2" s="1120" t="e">
        <f ca="1">SUMIF(INDIRECT("'"&amp;F2&amp;"'"&amp;"!A:A"),"承租人权益价值",INDIRECT("'"&amp;F2&amp;"'"&amp;"!c:c"))</f>
        <v>#REF!</v>
      </c>
      <c r="E2" s="2580" t="s">
        <v>2320</v>
      </c>
      <c r="F2" s="2581"/>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2321</v>
      </c>
      <c r="B3" s="608" t="e">
        <f ca="1">IF(AND(C2="——",B37="元/平方米"),C39,ROUND(B2*10000/D3,0))</f>
        <v>#DIV/0!</v>
      </c>
      <c r="C3" s="399" t="s">
        <v>2636</v>
      </c>
      <c r="D3" s="398">
        <f>SUMIF('数据-汇总表'!$C19:$C33,D1,'数据-汇总表'!$E19:$E33)</f>
        <v>0</v>
      </c>
      <c r="E3" s="399" t="s">
        <v>2700</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2637</v>
      </c>
      <c r="B4" s="401"/>
      <c r="C4" s="3204" t="s">
        <v>2638</v>
      </c>
      <c r="D4" s="3217"/>
      <c r="E4" s="3218" t="s">
        <v>2639</v>
      </c>
      <c r="F4" s="3219"/>
      <c r="G4" s="3204" t="s">
        <v>2640</v>
      </c>
      <c r="H4" s="3217"/>
      <c r="I4" s="3204" t="s">
        <v>2641</v>
      </c>
      <c r="J4" s="3217"/>
      <c r="K4" s="609" t="s">
        <v>2642</v>
      </c>
      <c r="L4" s="1126"/>
      <c r="M4" s="1127"/>
      <c r="N4" s="1127"/>
      <c r="O4" s="1127"/>
      <c r="P4" s="3220" t="s">
        <v>2643</v>
      </c>
      <c r="Q4" s="3221"/>
      <c r="R4" s="3226" t="s">
        <v>2639</v>
      </c>
      <c r="S4" s="3227"/>
      <c r="T4" s="3226" t="s">
        <v>2640</v>
      </c>
      <c r="U4" s="3227"/>
      <c r="V4" s="3213" t="s">
        <v>2641</v>
      </c>
      <c r="W4" s="3213"/>
      <c r="X4" s="1809"/>
      <c r="Y4" s="3226" t="s">
        <v>2643</v>
      </c>
      <c r="Z4" s="3227"/>
      <c r="AA4" s="3214" t="s">
        <v>2639</v>
      </c>
      <c r="AB4" s="3215" t="s">
        <v>2640</v>
      </c>
      <c r="AC4" s="3214" t="s">
        <v>2641</v>
      </c>
    </row>
    <row r="5" spans="1:29" ht="15">
      <c r="A5" s="403"/>
      <c r="B5" s="404"/>
      <c r="C5" s="3234" t="s">
        <v>2534</v>
      </c>
      <c r="D5" s="3235"/>
      <c r="E5" s="3243" t="s">
        <v>2535</v>
      </c>
      <c r="F5" s="3244"/>
      <c r="G5" s="3234" t="s">
        <v>2536</v>
      </c>
      <c r="H5" s="3235"/>
      <c r="I5" s="3234" t="s">
        <v>2537</v>
      </c>
      <c r="J5" s="3235"/>
      <c r="K5" s="609"/>
      <c r="L5" s="1126"/>
      <c r="M5" s="1127"/>
      <c r="N5" s="1127"/>
      <c r="O5" s="1127"/>
      <c r="P5" s="3222"/>
      <c r="Q5" s="3223"/>
      <c r="R5" s="3228"/>
      <c r="S5" s="3229"/>
      <c r="T5" s="3228"/>
      <c r="U5" s="3229"/>
      <c r="V5" s="3213"/>
      <c r="W5" s="3213"/>
      <c r="X5" s="1809"/>
      <c r="Y5" s="3228"/>
      <c r="Z5" s="3229"/>
      <c r="AA5" s="3215"/>
      <c r="AB5" s="3215"/>
      <c r="AC5" s="3215"/>
    </row>
    <row r="6" spans="1:29" ht="15.75" thickBot="1">
      <c r="A6" s="405"/>
      <c r="B6" s="406"/>
      <c r="C6" s="3240" t="s">
        <v>2538</v>
      </c>
      <c r="D6" s="3233"/>
      <c r="E6" s="3280" t="s">
        <v>2538</v>
      </c>
      <c r="F6" s="3242"/>
      <c r="G6" s="3240" t="s">
        <v>2538</v>
      </c>
      <c r="H6" s="3233"/>
      <c r="I6" s="3240" t="s">
        <v>2538</v>
      </c>
      <c r="J6" s="3233"/>
      <c r="K6" s="609" t="s">
        <v>2539</v>
      </c>
      <c r="L6" s="1126"/>
      <c r="M6" s="1127"/>
      <c r="N6" s="1127"/>
      <c r="O6" s="1127"/>
      <c r="P6" s="3224"/>
      <c r="Q6" s="3225"/>
      <c r="R6" s="3228"/>
      <c r="S6" s="3229"/>
      <c r="T6" s="3230"/>
      <c r="U6" s="3231"/>
      <c r="V6" s="3213"/>
      <c r="W6" s="3213"/>
      <c r="X6" s="1809"/>
      <c r="Y6" s="3230"/>
      <c r="Z6" s="3231"/>
      <c r="AA6" s="3216"/>
      <c r="AB6" s="3216"/>
      <c r="AC6" s="3216"/>
    </row>
    <row r="7" spans="1:29" s="116" customFormat="1" ht="15.75" thickBot="1">
      <c r="A7" s="407" t="s">
        <v>2540</v>
      </c>
      <c r="B7" s="408"/>
      <c r="C7" s="409">
        <f>'数据-取费表'!B2</f>
        <v>43265</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36" t="s">
        <v>2541</v>
      </c>
      <c r="Q7" s="3238"/>
      <c r="R7" s="769" t="s">
        <v>17</v>
      </c>
      <c r="S7" s="770">
        <f t="shared" ref="S7:S14" si="0">F7</f>
        <v>0</v>
      </c>
      <c r="T7" s="769" t="s">
        <v>17</v>
      </c>
      <c r="U7" s="770">
        <f t="shared" ref="U7:U14" si="1">H7</f>
        <v>0</v>
      </c>
      <c r="V7" s="769" t="s">
        <v>17</v>
      </c>
      <c r="W7" s="770">
        <f t="shared" ref="W7:W14" si="2">J7</f>
        <v>0</v>
      </c>
      <c r="X7" s="771"/>
      <c r="Y7" s="3236" t="s">
        <v>2541</v>
      </c>
      <c r="Z7" s="3237"/>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36" t="s">
        <v>2544</v>
      </c>
      <c r="Q8" s="3237"/>
      <c r="R8" s="769" t="s">
        <v>17</v>
      </c>
      <c r="S8" s="770">
        <f t="shared" si="0"/>
        <v>0</v>
      </c>
      <c r="T8" s="769" t="s">
        <v>17</v>
      </c>
      <c r="U8" s="770">
        <f t="shared" si="1"/>
        <v>0</v>
      </c>
      <c r="V8" s="769" t="s">
        <v>17</v>
      </c>
      <c r="W8" s="770">
        <f t="shared" si="2"/>
        <v>0</v>
      </c>
      <c r="X8" s="771"/>
      <c r="Y8" s="3236" t="s">
        <v>2544</v>
      </c>
      <c r="Z8" s="3237"/>
      <c r="AA8" s="772" t="e">
        <f t="shared" ref="AA8:AA36" si="3">D8/F8</f>
        <v>#DIV/0!</v>
      </c>
      <c r="AB8" s="772" t="e">
        <f t="shared" ref="AB8:AB36" si="4">D8/H8</f>
        <v>#DIV/0!</v>
      </c>
      <c r="AC8" s="772" t="e">
        <f t="shared" ref="AC8:AC36" si="5">D8/J8</f>
        <v>#DIV/0!</v>
      </c>
    </row>
    <row r="9" spans="1:29" s="116" customFormat="1">
      <c r="A9" s="67"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07" t="s">
        <v>2547</v>
      </c>
      <c r="Q9" s="1791" t="str">
        <f t="shared" ref="Q9:Q14" si="6">B9</f>
        <v>用途</v>
      </c>
      <c r="R9" s="769" t="s">
        <v>17</v>
      </c>
      <c r="S9" s="770">
        <f t="shared" si="0"/>
        <v>100</v>
      </c>
      <c r="T9" s="769" t="s">
        <v>17</v>
      </c>
      <c r="U9" s="770">
        <f t="shared" si="1"/>
        <v>100</v>
      </c>
      <c r="V9" s="769" t="s">
        <v>17</v>
      </c>
      <c r="W9" s="770">
        <f t="shared" si="2"/>
        <v>100</v>
      </c>
      <c r="X9" s="771"/>
      <c r="Y9" s="3051"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07"/>
      <c r="Q10" s="1791"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07"/>
      <c r="Q11" s="1791">
        <f t="shared" si="6"/>
        <v>111</v>
      </c>
      <c r="R11" s="769" t="s">
        <v>17</v>
      </c>
      <c r="S11" s="770">
        <f t="shared" si="0"/>
        <v>100</v>
      </c>
      <c r="T11" s="769" t="s">
        <v>17</v>
      </c>
      <c r="U11" s="770">
        <f t="shared" si="1"/>
        <v>100</v>
      </c>
      <c r="V11" s="769" t="s">
        <v>17</v>
      </c>
      <c r="W11" s="770">
        <f t="shared" si="2"/>
        <v>100</v>
      </c>
      <c r="X11" s="771"/>
      <c r="Y11" s="305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07"/>
      <c r="Q12" s="1791">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07"/>
      <c r="Q13" s="1791">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99.75">
      <c r="A14" s="400" t="s">
        <v>2551</v>
      </c>
      <c r="B14" s="628" t="s">
        <v>2701</v>
      </c>
      <c r="C14" s="2686" t="str">
        <f>IF(B1="工业",估价对象房地状况!G4,估价对象房地状况!C6)</f>
        <v>估价对象周边道路通达状况一般、公共交通通达情况一般、停车便捷程度一般，综合评价交通便捷度一般。</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09" t="s">
        <v>2552</v>
      </c>
      <c r="Q14" s="1806" t="str">
        <f t="shared" si="6"/>
        <v>交通便捷度</v>
      </c>
      <c r="R14" s="773" t="s">
        <v>17</v>
      </c>
      <c r="S14" s="774">
        <f t="shared" si="0"/>
        <v>100</v>
      </c>
      <c r="T14" s="773" t="s">
        <v>17</v>
      </c>
      <c r="U14" s="774">
        <f t="shared" si="1"/>
        <v>100</v>
      </c>
      <c r="V14" s="773" t="s">
        <v>17</v>
      </c>
      <c r="W14" s="774">
        <f t="shared" si="2"/>
        <v>100</v>
      </c>
      <c r="X14" s="1809"/>
      <c r="Y14" s="3209" t="s">
        <v>2552</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10"/>
      <c r="Q15" s="1806"/>
      <c r="R15" s="773"/>
      <c r="S15" s="774"/>
      <c r="T15" s="773"/>
      <c r="U15" s="774"/>
      <c r="V15" s="773"/>
      <c r="W15" s="774"/>
      <c r="X15" s="1809"/>
      <c r="Y15" s="3210"/>
      <c r="Z15" s="1810"/>
      <c r="AA15" s="1807">
        <v>1</v>
      </c>
      <c r="AB15" s="1807">
        <v>1</v>
      </c>
      <c r="AC15" s="1807">
        <v>1</v>
      </c>
    </row>
    <row r="16" spans="1:29" ht="199.5">
      <c r="A16" s="403"/>
      <c r="B16" s="630" t="s">
        <v>2680</v>
      </c>
      <c r="C16" s="2600" t="str">
        <f>IF(B1="工业",估价对象房地状况!G5,估价对象房地状况!C7)</f>
        <v>估价对象所在区域2公里范围内有：银行（恒丰银行、中国建设银行），商场（佳乐购物中心、西安安瑞桥超市），医院（西北妇女儿童医院），学校（三兆小学、曲江第二幼儿园）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10"/>
      <c r="Q16" s="1806" t="str">
        <f>B16</f>
        <v>公共配套设施</v>
      </c>
      <c r="R16" s="773" t="s">
        <v>17</v>
      </c>
      <c r="S16" s="774">
        <f>F16</f>
        <v>100</v>
      </c>
      <c r="T16" s="773" t="s">
        <v>17</v>
      </c>
      <c r="U16" s="774">
        <f>H16</f>
        <v>100</v>
      </c>
      <c r="V16" s="773" t="s">
        <v>17</v>
      </c>
      <c r="W16" s="774">
        <f>J16</f>
        <v>100</v>
      </c>
      <c r="X16" s="1809"/>
      <c r="Y16" s="3210"/>
      <c r="Z16" s="1810" t="str">
        <f>Q16</f>
        <v>公共配套设施</v>
      </c>
      <c r="AA16" s="1807">
        <f t="shared" si="3"/>
        <v>1</v>
      </c>
      <c r="AB16" s="1807">
        <f t="shared" si="4"/>
        <v>1</v>
      </c>
      <c r="AC16" s="1807">
        <f t="shared" si="5"/>
        <v>1</v>
      </c>
    </row>
    <row r="17" spans="1:29" ht="15">
      <c r="A17" s="403"/>
      <c r="B17" s="631"/>
      <c r="C17" s="2601"/>
      <c r="D17" s="447"/>
      <c r="E17" s="446"/>
      <c r="F17" s="448"/>
      <c r="G17" s="446"/>
      <c r="H17" s="447"/>
      <c r="I17" s="446"/>
      <c r="J17" s="447"/>
      <c r="K17" s="614"/>
      <c r="L17" s="1136"/>
      <c r="M17" s="1127"/>
      <c r="N17" s="1127"/>
      <c r="O17" s="1127"/>
      <c r="P17" s="3210"/>
      <c r="Q17" s="1806"/>
      <c r="R17" s="773"/>
      <c r="S17" s="774"/>
      <c r="T17" s="773"/>
      <c r="U17" s="774"/>
      <c r="V17" s="773"/>
      <c r="W17" s="774"/>
      <c r="X17" s="1809"/>
      <c r="Y17" s="3210"/>
      <c r="Z17" s="1810"/>
      <c r="AA17" s="1807">
        <v>1</v>
      </c>
      <c r="AB17" s="1807">
        <v>1</v>
      </c>
      <c r="AC17" s="1807">
        <v>1</v>
      </c>
    </row>
    <row r="18" spans="1:29" ht="42.75">
      <c r="A18" s="403"/>
      <c r="B18" s="632" t="s">
        <v>2681</v>
      </c>
      <c r="C18" s="2600"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10"/>
      <c r="Q18" s="1806" t="str">
        <f>B18</f>
        <v>基础设施水平</v>
      </c>
      <c r="R18" s="773" t="s">
        <v>17</v>
      </c>
      <c r="S18" s="774">
        <f>F18</f>
        <v>100</v>
      </c>
      <c r="T18" s="773" t="s">
        <v>17</v>
      </c>
      <c r="U18" s="774">
        <f>H18</f>
        <v>100</v>
      </c>
      <c r="V18" s="773" t="s">
        <v>17</v>
      </c>
      <c r="W18" s="774">
        <f>J18</f>
        <v>100</v>
      </c>
      <c r="X18" s="1809"/>
      <c r="Y18" s="3210"/>
      <c r="Z18" s="1810" t="str">
        <f>Q18</f>
        <v>基础设施水平</v>
      </c>
      <c r="AA18" s="1807">
        <f t="shared" ref="AA18" si="8">D18/F18</f>
        <v>1</v>
      </c>
      <c r="AB18" s="1807">
        <f t="shared" ref="AB18" si="9">D18/H18</f>
        <v>1</v>
      </c>
      <c r="AC18" s="1807">
        <f t="shared" ref="AC18" si="10">D18/J18</f>
        <v>1</v>
      </c>
    </row>
    <row r="19" spans="1:29" ht="15">
      <c r="A19" s="403"/>
      <c r="B19" s="632"/>
      <c r="C19" s="2601"/>
      <c r="D19" s="449"/>
      <c r="E19" s="2601"/>
      <c r="F19" s="452"/>
      <c r="G19" s="2601"/>
      <c r="H19" s="447"/>
      <c r="I19" s="446"/>
      <c r="J19" s="447"/>
      <c r="K19" s="1379"/>
      <c r="L19" s="1136"/>
      <c r="M19" s="1127"/>
      <c r="N19" s="1127"/>
      <c r="O19" s="1127"/>
      <c r="P19" s="3210"/>
      <c r="Q19" s="1806"/>
      <c r="R19" s="773"/>
      <c r="S19" s="774"/>
      <c r="T19" s="773"/>
      <c r="U19" s="774"/>
      <c r="V19" s="773"/>
      <c r="W19" s="774"/>
      <c r="X19" s="1809"/>
      <c r="Y19" s="3210"/>
      <c r="Z19" s="1810"/>
      <c r="AA19" s="1807">
        <v>1</v>
      </c>
      <c r="AB19" s="1807">
        <v>1</v>
      </c>
      <c r="AC19" s="1807">
        <v>1</v>
      </c>
    </row>
    <row r="20" spans="1:29" ht="85.5">
      <c r="A20" s="403"/>
      <c r="B20" s="630" t="s">
        <v>2702</v>
      </c>
      <c r="C20" s="2600" t="str">
        <f>IF(B1="工业",估价对象房地状况!G7,估价对象房地状况!C9)</f>
        <v>区域自然环境：杜陵遗址生态公园；人文环境：厦门华侨博物馆；综合评价环境状况较好。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10"/>
      <c r="Q20" s="1806" t="str">
        <f>B20</f>
        <v>自然及人文环境</v>
      </c>
      <c r="R20" s="773" t="s">
        <v>17</v>
      </c>
      <c r="S20" s="774">
        <f>F20</f>
        <v>100</v>
      </c>
      <c r="T20" s="773" t="s">
        <v>17</v>
      </c>
      <c r="U20" s="774">
        <f>H20</f>
        <v>100</v>
      </c>
      <c r="V20" s="773" t="s">
        <v>17</v>
      </c>
      <c r="W20" s="774">
        <f>J20</f>
        <v>100</v>
      </c>
      <c r="X20" s="1809"/>
      <c r="Y20" s="3210"/>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10"/>
      <c r="Q21" s="1806"/>
      <c r="R21" s="773"/>
      <c r="S21" s="774"/>
      <c r="T21" s="773"/>
      <c r="U21" s="774"/>
      <c r="V21" s="773"/>
      <c r="W21" s="774"/>
      <c r="X21" s="1809"/>
      <c r="Y21" s="3210"/>
      <c r="Z21" s="1810"/>
      <c r="AA21" s="1807">
        <v>1</v>
      </c>
      <c r="AB21" s="1807">
        <v>1</v>
      </c>
      <c r="AC21" s="1807">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10"/>
      <c r="Q22" s="1806" t="str">
        <f>B22</f>
        <v>楼层</v>
      </c>
      <c r="R22" s="773" t="s">
        <v>17</v>
      </c>
      <c r="S22" s="774">
        <f>F22</f>
        <v>100</v>
      </c>
      <c r="T22" s="773" t="s">
        <v>17</v>
      </c>
      <c r="U22" s="774">
        <f>H22</f>
        <v>100</v>
      </c>
      <c r="V22" s="773" t="s">
        <v>17</v>
      </c>
      <c r="W22" s="774">
        <f>J22</f>
        <v>100</v>
      </c>
      <c r="X22" s="1809"/>
      <c r="Y22" s="3210"/>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10"/>
      <c r="Q23" s="1806">
        <f>B23</f>
        <v>111</v>
      </c>
      <c r="R23" s="773" t="s">
        <v>17</v>
      </c>
      <c r="S23" s="774">
        <f>F23</f>
        <v>100</v>
      </c>
      <c r="T23" s="773" t="s">
        <v>17</v>
      </c>
      <c r="U23" s="774">
        <f>H23</f>
        <v>100</v>
      </c>
      <c r="V23" s="773" t="s">
        <v>17</v>
      </c>
      <c r="W23" s="774">
        <f>J23</f>
        <v>100</v>
      </c>
      <c r="X23" s="1809"/>
      <c r="Y23" s="3210"/>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10"/>
      <c r="Q24" s="1806">
        <f t="shared" ref="Q24:Q36" si="11">B24</f>
        <v>111</v>
      </c>
      <c r="R24" s="773" t="s">
        <v>17</v>
      </c>
      <c r="S24" s="774">
        <f>F24</f>
        <v>100</v>
      </c>
      <c r="T24" s="773" t="s">
        <v>17</v>
      </c>
      <c r="U24" s="774">
        <f>H24</f>
        <v>100</v>
      </c>
      <c r="V24" s="773" t="s">
        <v>17</v>
      </c>
      <c r="W24" s="774">
        <f>J24</f>
        <v>100</v>
      </c>
      <c r="X24" s="1809"/>
      <c r="Y24" s="3210"/>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10"/>
      <c r="Q25" s="1791">
        <f t="shared" si="11"/>
        <v>111</v>
      </c>
      <c r="R25" s="769" t="s">
        <v>17</v>
      </c>
      <c r="S25" s="770">
        <f>F25</f>
        <v>100</v>
      </c>
      <c r="T25" s="769" t="s">
        <v>17</v>
      </c>
      <c r="U25" s="770">
        <f>H25</f>
        <v>100</v>
      </c>
      <c r="V25" s="769" t="s">
        <v>17</v>
      </c>
      <c r="W25" s="770">
        <f>J25</f>
        <v>100</v>
      </c>
      <c r="X25" s="771"/>
      <c r="Y25" s="3210"/>
      <c r="Z25" s="55">
        <f>Q25</f>
        <v>111</v>
      </c>
      <c r="AA25" s="1807">
        <f>D25/F25</f>
        <v>1</v>
      </c>
      <c r="AB25" s="1807">
        <f>D25/H25</f>
        <v>1</v>
      </c>
      <c r="AC25" s="1807">
        <f>D25/J25</f>
        <v>1</v>
      </c>
    </row>
    <row r="26" spans="1:29" ht="15">
      <c r="A26" s="651" t="s">
        <v>2555</v>
      </c>
      <c r="B26" s="69" t="s">
        <v>2704</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211" t="s">
        <v>2557</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12" t="s">
        <v>2557</v>
      </c>
      <c r="Z26" s="1810" t="str">
        <f t="shared" ref="Z26:Z36" si="15">Q26</f>
        <v>配套类型</v>
      </c>
      <c r="AA26" s="1807">
        <f t="shared" si="3"/>
        <v>1</v>
      </c>
      <c r="AB26" s="1807">
        <f t="shared" si="4"/>
        <v>1</v>
      </c>
      <c r="AC26" s="1807">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12"/>
      <c r="Q27" s="775" t="str">
        <f t="shared" si="11"/>
        <v>项目停车位配比</v>
      </c>
      <c r="R27" s="776" t="s">
        <v>17</v>
      </c>
      <c r="S27" s="777">
        <f t="shared" si="12"/>
        <v>100</v>
      </c>
      <c r="T27" s="776" t="s">
        <v>17</v>
      </c>
      <c r="U27" s="777">
        <f t="shared" si="13"/>
        <v>100</v>
      </c>
      <c r="V27" s="776" t="s">
        <v>17</v>
      </c>
      <c r="W27" s="777">
        <f t="shared" si="14"/>
        <v>100</v>
      </c>
      <c r="X27" s="778"/>
      <c r="Y27" s="3212"/>
      <c r="Z27" s="779" t="str">
        <f t="shared" si="15"/>
        <v>项目停车位配比</v>
      </c>
      <c r="AA27" s="1807">
        <f t="shared" si="3"/>
        <v>1</v>
      </c>
      <c r="AB27" s="1807">
        <f t="shared" si="4"/>
        <v>1</v>
      </c>
      <c r="AC27" s="1807">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12"/>
      <c r="Q28" s="1806" t="str">
        <f t="shared" si="11"/>
        <v>公共部分装修</v>
      </c>
      <c r="R28" s="773" t="s">
        <v>17</v>
      </c>
      <c r="S28" s="774">
        <f t="shared" si="12"/>
        <v>100</v>
      </c>
      <c r="T28" s="773" t="s">
        <v>17</v>
      </c>
      <c r="U28" s="774">
        <f t="shared" si="13"/>
        <v>100</v>
      </c>
      <c r="V28" s="773" t="s">
        <v>17</v>
      </c>
      <c r="W28" s="774">
        <f t="shared" si="14"/>
        <v>100</v>
      </c>
      <c r="X28" s="1809"/>
      <c r="Y28" s="3212"/>
      <c r="Z28" s="1810" t="str">
        <f t="shared" si="15"/>
        <v>公共部分装修</v>
      </c>
      <c r="AA28" s="1807">
        <f t="shared" si="3"/>
        <v>1</v>
      </c>
      <c r="AB28" s="1807">
        <f t="shared" si="4"/>
        <v>1</v>
      </c>
      <c r="AC28" s="1807">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12"/>
      <c r="Q29" s="1806" t="str">
        <f t="shared" si="11"/>
        <v>成新率</v>
      </c>
      <c r="R29" s="773" t="s">
        <v>17</v>
      </c>
      <c r="S29" s="774" t="e">
        <f t="shared" si="12"/>
        <v>#N/A</v>
      </c>
      <c r="T29" s="773" t="s">
        <v>17</v>
      </c>
      <c r="U29" s="774" t="e">
        <f t="shared" si="13"/>
        <v>#N/A</v>
      </c>
      <c r="V29" s="773" t="s">
        <v>17</v>
      </c>
      <c r="W29" s="774" t="e">
        <f t="shared" si="14"/>
        <v>#N/A</v>
      </c>
      <c r="X29" s="1809"/>
      <c r="Y29" s="3212"/>
      <c r="Z29" s="1810" t="str">
        <f t="shared" si="15"/>
        <v>成新率</v>
      </c>
      <c r="AA29" s="1807" t="e">
        <f t="shared" si="3"/>
        <v>#N/A</v>
      </c>
      <c r="AB29" s="1807" t="e">
        <f t="shared" si="4"/>
        <v>#N/A</v>
      </c>
      <c r="AC29" s="1807"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12"/>
      <c r="Q30" s="1806" t="str">
        <f t="shared" si="11"/>
        <v>物业等级</v>
      </c>
      <c r="R30" s="773" t="s">
        <v>17</v>
      </c>
      <c r="S30" s="774">
        <f t="shared" si="12"/>
        <v>100</v>
      </c>
      <c r="T30" s="773" t="s">
        <v>17</v>
      </c>
      <c r="U30" s="774">
        <f t="shared" si="13"/>
        <v>100</v>
      </c>
      <c r="V30" s="773" t="s">
        <v>17</v>
      </c>
      <c r="W30" s="774">
        <f t="shared" si="14"/>
        <v>100</v>
      </c>
      <c r="X30" s="1809"/>
      <c r="Y30" s="3212"/>
      <c r="Z30" s="1810" t="str">
        <f t="shared" si="15"/>
        <v>物业等级</v>
      </c>
      <c r="AA30" s="1807">
        <f t="shared" si="3"/>
        <v>1</v>
      </c>
      <c r="AB30" s="1807">
        <f t="shared" si="4"/>
        <v>1</v>
      </c>
      <c r="AC30" s="1807">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12"/>
      <c r="Q31" s="1791" t="str">
        <f t="shared" si="11"/>
        <v>停车位面积</v>
      </c>
      <c r="R31" s="769" t="s">
        <v>17</v>
      </c>
      <c r="S31" s="770" t="e">
        <f t="shared" si="12"/>
        <v>#N/A</v>
      </c>
      <c r="T31" s="769" t="s">
        <v>17</v>
      </c>
      <c r="U31" s="770" t="e">
        <f t="shared" si="13"/>
        <v>#N/A</v>
      </c>
      <c r="V31" s="769" t="s">
        <v>17</v>
      </c>
      <c r="W31" s="770" t="e">
        <f t="shared" si="14"/>
        <v>#N/A</v>
      </c>
      <c r="X31" s="771"/>
      <c r="Y31" s="3212"/>
      <c r="Z31" s="55"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12" t="s">
        <v>2557</v>
      </c>
      <c r="Q32" s="1806" t="str">
        <f t="shared" si="11"/>
        <v>车位类型</v>
      </c>
      <c r="R32" s="773" t="s">
        <v>17</v>
      </c>
      <c r="S32" s="774">
        <f t="shared" si="12"/>
        <v>100</v>
      </c>
      <c r="T32" s="773" t="s">
        <v>17</v>
      </c>
      <c r="U32" s="774">
        <f t="shared" si="13"/>
        <v>100</v>
      </c>
      <c r="V32" s="773" t="s">
        <v>17</v>
      </c>
      <c r="W32" s="774">
        <f t="shared" si="14"/>
        <v>100</v>
      </c>
      <c r="X32" s="1809"/>
      <c r="Y32" s="3212" t="s">
        <v>2557</v>
      </c>
      <c r="Z32" s="1810" t="str">
        <f t="shared" si="15"/>
        <v>车位类型</v>
      </c>
      <c r="AA32" s="1807">
        <f t="shared" si="3"/>
        <v>1</v>
      </c>
      <c r="AB32" s="1807">
        <f t="shared" si="4"/>
        <v>1</v>
      </c>
      <c r="AC32" s="1807">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12"/>
      <c r="Q33" s="1806" t="str">
        <f t="shared" si="11"/>
        <v>是否直接入户</v>
      </c>
      <c r="R33" s="773" t="s">
        <v>17</v>
      </c>
      <c r="S33" s="774">
        <f t="shared" si="12"/>
        <v>100</v>
      </c>
      <c r="T33" s="773" t="s">
        <v>17</v>
      </c>
      <c r="U33" s="774">
        <f t="shared" si="13"/>
        <v>100</v>
      </c>
      <c r="V33" s="773" t="s">
        <v>17</v>
      </c>
      <c r="W33" s="774">
        <f t="shared" si="14"/>
        <v>100</v>
      </c>
      <c r="X33" s="1809"/>
      <c r="Y33" s="3212"/>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12"/>
      <c r="Q34" s="1806">
        <f t="shared" si="11"/>
        <v>111</v>
      </c>
      <c r="R34" s="773" t="s">
        <v>17</v>
      </c>
      <c r="S34" s="774">
        <f t="shared" si="12"/>
        <v>100</v>
      </c>
      <c r="T34" s="773" t="s">
        <v>17</v>
      </c>
      <c r="U34" s="774">
        <f t="shared" si="13"/>
        <v>100</v>
      </c>
      <c r="V34" s="773" t="s">
        <v>17</v>
      </c>
      <c r="W34" s="774">
        <f t="shared" si="14"/>
        <v>100</v>
      </c>
      <c r="X34" s="1809"/>
      <c r="Y34" s="3212"/>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12"/>
      <c r="Q35" s="775">
        <f t="shared" si="11"/>
        <v>111</v>
      </c>
      <c r="R35" s="776" t="s">
        <v>17</v>
      </c>
      <c r="S35" s="777">
        <f t="shared" si="12"/>
        <v>100</v>
      </c>
      <c r="T35" s="776" t="s">
        <v>17</v>
      </c>
      <c r="U35" s="777">
        <f t="shared" si="13"/>
        <v>100</v>
      </c>
      <c r="V35" s="776" t="s">
        <v>17</v>
      </c>
      <c r="W35" s="777">
        <f t="shared" si="14"/>
        <v>100</v>
      </c>
      <c r="X35" s="778"/>
      <c r="Y35" s="3212"/>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12"/>
      <c r="Q36" s="1806">
        <f t="shared" si="11"/>
        <v>111</v>
      </c>
      <c r="R36" s="773" t="s">
        <v>17</v>
      </c>
      <c r="S36" s="774">
        <f t="shared" si="12"/>
        <v>100</v>
      </c>
      <c r="T36" s="773" t="s">
        <v>17</v>
      </c>
      <c r="U36" s="774">
        <f t="shared" si="13"/>
        <v>100</v>
      </c>
      <c r="V36" s="773" t="s">
        <v>17</v>
      </c>
      <c r="W36" s="774">
        <f t="shared" si="14"/>
        <v>100</v>
      </c>
      <c r="X36" s="1809"/>
      <c r="Y36" s="3212"/>
      <c r="Z36" s="1810">
        <f t="shared" si="15"/>
        <v>111</v>
      </c>
      <c r="AA36" s="1807">
        <f t="shared" si="3"/>
        <v>1</v>
      </c>
      <c r="AB36" s="1807">
        <f t="shared" si="4"/>
        <v>1</v>
      </c>
      <c r="AC36" s="1807">
        <f t="shared" si="5"/>
        <v>1</v>
      </c>
    </row>
    <row r="37" spans="1:29" ht="15">
      <c r="A37" s="478" t="s">
        <v>2712</v>
      </c>
      <c r="B37" s="2688" t="s">
        <v>2713</v>
      </c>
      <c r="C37" s="1403" t="s">
        <v>1</v>
      </c>
      <c r="D37" s="1404"/>
      <c r="E37" s="1405"/>
      <c r="F37" s="1406"/>
      <c r="G37" s="1407"/>
      <c r="H37" s="1408"/>
      <c r="I37" s="1405"/>
      <c r="J37" s="1408"/>
      <c r="K37" s="618"/>
      <c r="L37" s="1139"/>
      <c r="M37" s="1140"/>
      <c r="N37" s="1127"/>
      <c r="O37" s="1140"/>
      <c r="P37" s="3207" t="str">
        <f>A37</f>
        <v>成交单价</v>
      </c>
      <c r="Q37" s="3207"/>
      <c r="R37" s="3273">
        <f>E37</f>
        <v>0</v>
      </c>
      <c r="S37" s="3273"/>
      <c r="T37" s="3273">
        <f>G37</f>
        <v>0</v>
      </c>
      <c r="U37" s="3273"/>
      <c r="V37" s="3273">
        <f>I37</f>
        <v>0</v>
      </c>
      <c r="W37" s="3273"/>
      <c r="X37" s="758"/>
      <c r="Y37" s="780"/>
      <c r="Z37" s="758"/>
      <c r="AA37" s="758"/>
      <c r="AB37" s="758"/>
      <c r="AC37" s="758"/>
    </row>
    <row r="38" spans="1:29" ht="15.75" thickBot="1">
      <c r="A38" s="485" t="s">
        <v>2714</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07" t="str">
        <f>A38</f>
        <v>比较价值（元/平方米）</v>
      </c>
      <c r="Q38" s="3207"/>
      <c r="R38" s="3273" t="e">
        <f>IF(F1="售价",ROUND(PRODUCT(R37,AA7:AA36),0),ROUND(PRODUCT(R37,AA7:AA36),1))</f>
        <v>#DIV/0!</v>
      </c>
      <c r="S38" s="3273"/>
      <c r="T38" s="3273" t="e">
        <f>IF(F1="售价",ROUND(PRODUCT(T37,AB7:AB36),0),ROUND(PRODUCT(T37,AB7:AB36),1))</f>
        <v>#DIV/0!</v>
      </c>
      <c r="U38" s="3273"/>
      <c r="V38" s="3273" t="e">
        <f>IF(F1="售价",ROUND(PRODUCT(V37,AC7:AC36),0),ROUND(PRODUCT(V37,AC7:AC36),1))</f>
        <v>#DIV/0!</v>
      </c>
      <c r="W38" s="3273"/>
      <c r="X38" s="758"/>
      <c r="Y38" s="758"/>
      <c r="Z38" s="758"/>
      <c r="AA38" s="758"/>
      <c r="AB38" s="758"/>
      <c r="AC38" s="758"/>
    </row>
    <row r="39" spans="1:29" ht="15.75" thickBot="1">
      <c r="A39" s="491" t="s">
        <v>2715</v>
      </c>
      <c r="B39" s="492"/>
      <c r="C39" s="1413" t="e">
        <f>R39</f>
        <v>#DIV/0!</v>
      </c>
      <c r="D39" s="1413"/>
      <c r="E39" s="1413"/>
      <c r="F39" s="1413"/>
      <c r="G39" s="1413"/>
      <c r="H39" s="1413"/>
      <c r="I39" s="1413"/>
      <c r="J39" s="1413"/>
      <c r="K39" s="620"/>
      <c r="L39" s="1139"/>
      <c r="M39" s="1140"/>
      <c r="N39" s="1140"/>
      <c r="O39" s="1140"/>
      <c r="P39" s="3201" t="str">
        <f>A39</f>
        <v>估价对象XX用房的比较价值（楼面单价，元/平方米）</v>
      </c>
      <c r="Q39" s="3202"/>
      <c r="R39" s="3272" t="e">
        <f>IF(F1="售价",ROUND(AVERAGE(R38:V38),0),ROUND(AVERAGE(R38:V38),1))</f>
        <v>#DIV/0!</v>
      </c>
      <c r="S39" s="3272"/>
      <c r="T39" s="3272"/>
      <c r="U39" s="3272"/>
      <c r="V39" s="3272"/>
      <c r="W39" s="3272"/>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2719</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2720</v>
      </c>
      <c r="B48" s="505"/>
      <c r="C48" s="1570" t="str">
        <f>YEAR(C7)&amp;"-"&amp;MONTH(C7)</f>
        <v>2018-6</v>
      </c>
      <c r="D48" s="1571">
        <f>EDATE(C48,-1)</f>
        <v>43221</v>
      </c>
      <c r="E48" s="1571">
        <f t="shared" ref="E48:O48" si="16">EDATE(D48,-1)</f>
        <v>43191</v>
      </c>
      <c r="F48" s="1571">
        <f t="shared" si="16"/>
        <v>43160</v>
      </c>
      <c r="G48" s="1571">
        <f t="shared" si="16"/>
        <v>43132</v>
      </c>
      <c r="H48" s="1571">
        <f t="shared" si="16"/>
        <v>43101</v>
      </c>
      <c r="I48" s="1571">
        <f t="shared" si="16"/>
        <v>43070</v>
      </c>
      <c r="J48" s="1571">
        <f t="shared" si="16"/>
        <v>43040</v>
      </c>
      <c r="K48" s="1571">
        <f t="shared" si="16"/>
        <v>43009</v>
      </c>
      <c r="L48" s="1571">
        <f t="shared" si="16"/>
        <v>42979</v>
      </c>
      <c r="M48" s="1571">
        <f t="shared" si="16"/>
        <v>42948</v>
      </c>
      <c r="N48" s="1571">
        <f t="shared" si="16"/>
        <v>42917</v>
      </c>
      <c r="O48" s="1571">
        <f t="shared" si="16"/>
        <v>42887</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2577</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2542</v>
      </c>
      <c r="B51" s="509"/>
      <c r="C51" s="521" t="s">
        <v>2644</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2580</v>
      </c>
      <c r="B53" s="527" t="s">
        <v>2546</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2595</v>
      </c>
      <c r="C65" s="577" t="s">
        <v>2589</v>
      </c>
      <c r="D65" s="577" t="s">
        <v>2590</v>
      </c>
      <c r="E65" s="577" t="s">
        <v>2591</v>
      </c>
      <c r="F65" s="577" t="s">
        <v>2592</v>
      </c>
      <c r="G65" s="577" t="s">
        <v>2593</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2681</v>
      </c>
      <c r="C67" s="659" t="s">
        <v>2667</v>
      </c>
      <c r="D67" s="659" t="s">
        <v>2668</v>
      </c>
      <c r="E67" s="659" t="s">
        <v>2669</v>
      </c>
      <c r="F67" s="659" t="s">
        <v>2670</v>
      </c>
      <c r="G67" s="659" t="s">
        <v>2671</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2601</v>
      </c>
      <c r="C69" s="577" t="s">
        <v>2589</v>
      </c>
      <c r="D69" s="577" t="s">
        <v>2590</v>
      </c>
      <c r="E69" s="577" t="s">
        <v>2591</v>
      </c>
      <c r="F69" s="577" t="s">
        <v>2592</v>
      </c>
      <c r="G69" s="577" t="s">
        <v>2593</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2721</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2555</v>
      </c>
      <c r="B79" s="527" t="s">
        <v>2722</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2723</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2608</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2725</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2727</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2728</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2699</v>
      </c>
      <c r="B1" s="1615"/>
      <c r="C1" s="1616" t="s">
        <v>2522</v>
      </c>
      <c r="D1" s="1617"/>
      <c r="E1" s="1626"/>
      <c r="F1" s="2577"/>
      <c r="G1" s="1627" t="s">
        <v>2635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2319</v>
      </c>
      <c r="B2" s="1414" t="e">
        <f ca="1">IF(C2="——",ROUND(C37*D3/10000,0),ROUND(C37*D3/10000,0)-D2)</f>
        <v>#DIV/0!</v>
      </c>
      <c r="C2" s="2579"/>
      <c r="D2" s="1120" t="e">
        <f ca="1">SUMIF(INDIRECT("'"&amp;F2&amp;"'"&amp;"!A:A"),"承租人权益价值",INDIRECT("'"&amp;F2&amp;"'"&amp;"!c:c"))</f>
        <v>#REF!</v>
      </c>
      <c r="E2" s="2580" t="s">
        <v>2320</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2321</v>
      </c>
      <c r="B3" s="608" t="e">
        <f ca="1">IF(C2="——",C37,ROUND(B2*10000/D3,0))</f>
        <v>#DIV/0!</v>
      </c>
      <c r="C3" s="399" t="s">
        <v>2636</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2637</v>
      </c>
      <c r="B4" s="401"/>
      <c r="C4" s="3204" t="s">
        <v>2638</v>
      </c>
      <c r="D4" s="3217"/>
      <c r="E4" s="3218" t="s">
        <v>2639</v>
      </c>
      <c r="F4" s="3219"/>
      <c r="G4" s="3204" t="s">
        <v>2640</v>
      </c>
      <c r="H4" s="3217"/>
      <c r="I4" s="3204" t="s">
        <v>2641</v>
      </c>
      <c r="J4" s="3217"/>
      <c r="K4" s="609" t="s">
        <v>2642</v>
      </c>
      <c r="L4" s="1126"/>
      <c r="M4" s="1127"/>
      <c r="N4" s="1127"/>
      <c r="O4" s="1127"/>
      <c r="P4" s="3220" t="s">
        <v>2643</v>
      </c>
      <c r="Q4" s="3221"/>
      <c r="R4" s="3226" t="s">
        <v>2639</v>
      </c>
      <c r="S4" s="3227"/>
      <c r="T4" s="3226" t="s">
        <v>2640</v>
      </c>
      <c r="U4" s="3227"/>
      <c r="V4" s="3213" t="s">
        <v>2641</v>
      </c>
      <c r="W4" s="3213"/>
      <c r="X4" s="1809"/>
      <c r="Y4" s="3226" t="s">
        <v>2643</v>
      </c>
      <c r="Z4" s="3227"/>
      <c r="AA4" s="3214" t="s">
        <v>2639</v>
      </c>
      <c r="AB4" s="3215" t="s">
        <v>2640</v>
      </c>
      <c r="AC4" s="3214" t="s">
        <v>2641</v>
      </c>
    </row>
    <row r="5" spans="1:29" ht="15">
      <c r="A5" s="403"/>
      <c r="B5" s="404"/>
      <c r="C5" s="3234" t="s">
        <v>2534</v>
      </c>
      <c r="D5" s="3235"/>
      <c r="E5" s="3243" t="s">
        <v>2535</v>
      </c>
      <c r="F5" s="3244"/>
      <c r="G5" s="3234" t="s">
        <v>2536</v>
      </c>
      <c r="H5" s="3235"/>
      <c r="I5" s="3234" t="s">
        <v>2537</v>
      </c>
      <c r="J5" s="3235"/>
      <c r="K5" s="609"/>
      <c r="L5" s="1126"/>
      <c r="M5" s="1127"/>
      <c r="N5" s="1127"/>
      <c r="O5" s="1127"/>
      <c r="P5" s="3222"/>
      <c r="Q5" s="3223"/>
      <c r="R5" s="3228"/>
      <c r="S5" s="3229"/>
      <c r="T5" s="3228"/>
      <c r="U5" s="3229"/>
      <c r="V5" s="3213"/>
      <c r="W5" s="3213"/>
      <c r="X5" s="1809"/>
      <c r="Y5" s="3228"/>
      <c r="Z5" s="3229"/>
      <c r="AA5" s="3215"/>
      <c r="AB5" s="3215"/>
      <c r="AC5" s="3215"/>
    </row>
    <row r="6" spans="1:29" ht="15.75" thickBot="1">
      <c r="A6" s="405"/>
      <c r="B6" s="406"/>
      <c r="C6" s="3240" t="s">
        <v>2538</v>
      </c>
      <c r="D6" s="3233"/>
      <c r="E6" s="3280" t="s">
        <v>2538</v>
      </c>
      <c r="F6" s="3242"/>
      <c r="G6" s="3240" t="s">
        <v>2538</v>
      </c>
      <c r="H6" s="3233"/>
      <c r="I6" s="3240" t="s">
        <v>2538</v>
      </c>
      <c r="J6" s="3233"/>
      <c r="K6" s="609" t="s">
        <v>2539</v>
      </c>
      <c r="L6" s="1126"/>
      <c r="M6" s="1127"/>
      <c r="N6" s="1127"/>
      <c r="O6" s="1127"/>
      <c r="P6" s="3224"/>
      <c r="Q6" s="3225"/>
      <c r="R6" s="3228"/>
      <c r="S6" s="3229"/>
      <c r="T6" s="3230"/>
      <c r="U6" s="3231"/>
      <c r="V6" s="3213"/>
      <c r="W6" s="3213"/>
      <c r="X6" s="1809"/>
      <c r="Y6" s="3230"/>
      <c r="Z6" s="3231"/>
      <c r="AA6" s="3216"/>
      <c r="AB6" s="3216"/>
      <c r="AC6" s="3216"/>
    </row>
    <row r="7" spans="1:29" s="116" customFormat="1" ht="15.75" thickBot="1">
      <c r="A7" s="407" t="s">
        <v>2540</v>
      </c>
      <c r="B7" s="408"/>
      <c r="C7" s="409">
        <f>'数据-取费表'!B2</f>
        <v>43265</v>
      </c>
      <c r="D7" s="410">
        <v>100</v>
      </c>
      <c r="E7" s="411"/>
      <c r="F7" s="412">
        <f>SUMIF(46:46,YEAR(E7)&amp;"-"&amp;MONTH(E7),47:47)</f>
        <v>0</v>
      </c>
      <c r="G7" s="2689"/>
      <c r="H7" s="410">
        <f>SUMIF(46:46,YEAR(G7)&amp;"-"&amp;MONTH(G7),47:47)</f>
        <v>0</v>
      </c>
      <c r="I7" s="411"/>
      <c r="J7" s="410">
        <f>SUMIF(46:46,YEAR(I7)&amp;"-"&amp;MONTH(I7),47:47)</f>
        <v>0</v>
      </c>
      <c r="K7" s="610"/>
      <c r="L7" s="1128"/>
      <c r="M7" s="1129"/>
      <c r="N7" s="1129"/>
      <c r="O7" s="1129"/>
      <c r="P7" s="3236" t="s">
        <v>2541</v>
      </c>
      <c r="Q7" s="3238"/>
      <c r="R7" s="769" t="s">
        <v>17</v>
      </c>
      <c r="S7" s="770">
        <f t="shared" ref="S7:S14" si="0">F7</f>
        <v>0</v>
      </c>
      <c r="T7" s="769" t="s">
        <v>17</v>
      </c>
      <c r="U7" s="770">
        <f t="shared" ref="U7:U14" si="1">H7</f>
        <v>0</v>
      </c>
      <c r="V7" s="769" t="s">
        <v>17</v>
      </c>
      <c r="W7" s="770">
        <f t="shared" ref="W7:W14" si="2">J7</f>
        <v>0</v>
      </c>
      <c r="X7" s="771"/>
      <c r="Y7" s="3236" t="s">
        <v>2541</v>
      </c>
      <c r="Z7" s="3237"/>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36" t="s">
        <v>2544</v>
      </c>
      <c r="Q8" s="3237"/>
      <c r="R8" s="769" t="s">
        <v>17</v>
      </c>
      <c r="S8" s="770">
        <f t="shared" si="0"/>
        <v>0</v>
      </c>
      <c r="T8" s="769" t="s">
        <v>17</v>
      </c>
      <c r="U8" s="770">
        <f t="shared" si="1"/>
        <v>0</v>
      </c>
      <c r="V8" s="769" t="s">
        <v>17</v>
      </c>
      <c r="W8" s="770">
        <f t="shared" si="2"/>
        <v>0</v>
      </c>
      <c r="X8" s="771"/>
      <c r="Y8" s="3236" t="s">
        <v>2544</v>
      </c>
      <c r="Z8" s="3237"/>
      <c r="AA8" s="772" t="e">
        <f t="shared" ref="AA8:AA34" si="3">D8/F8</f>
        <v>#DIV/0!</v>
      </c>
      <c r="AB8" s="772" t="e">
        <f t="shared" ref="AB8:AB34" si="4">D8/H8</f>
        <v>#DIV/0!</v>
      </c>
      <c r="AC8" s="772"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07" t="s">
        <v>2547</v>
      </c>
      <c r="Q9" s="1791" t="str">
        <f t="shared" ref="Q9:Q14" si="6">B9</f>
        <v>用途</v>
      </c>
      <c r="R9" s="769" t="s">
        <v>17</v>
      </c>
      <c r="S9" s="770">
        <f t="shared" si="0"/>
        <v>100</v>
      </c>
      <c r="T9" s="769" t="s">
        <v>17</v>
      </c>
      <c r="U9" s="770">
        <f t="shared" si="1"/>
        <v>100</v>
      </c>
      <c r="V9" s="769" t="s">
        <v>17</v>
      </c>
      <c r="W9" s="770">
        <f t="shared" si="2"/>
        <v>100</v>
      </c>
      <c r="X9" s="771"/>
      <c r="Y9" s="3051"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07"/>
      <c r="Q10" s="1791"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07"/>
      <c r="Q11" s="1791">
        <f t="shared" si="6"/>
        <v>111</v>
      </c>
      <c r="R11" s="769" t="s">
        <v>17</v>
      </c>
      <c r="S11" s="770">
        <f t="shared" si="0"/>
        <v>100</v>
      </c>
      <c r="T11" s="769" t="s">
        <v>17</v>
      </c>
      <c r="U11" s="770">
        <f t="shared" si="1"/>
        <v>100</v>
      </c>
      <c r="V11" s="769" t="s">
        <v>17</v>
      </c>
      <c r="W11" s="770">
        <f t="shared" si="2"/>
        <v>100</v>
      </c>
      <c r="X11" s="771"/>
      <c r="Y11" s="3051"/>
      <c r="Z11" s="55">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07"/>
      <c r="Q12" s="1791">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6"/>
      <c r="M13" s="1127"/>
      <c r="N13" s="1127"/>
      <c r="O13" s="1135"/>
      <c r="P13" s="3207"/>
      <c r="Q13" s="1791">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99.75">
      <c r="A14" s="439" t="s">
        <v>2551</v>
      </c>
      <c r="B14" s="68" t="s">
        <v>2701</v>
      </c>
      <c r="C14" s="2686" t="str">
        <f>IF(B1="工业",估价对象房地状况!G4,估价对象房地状况!C6)</f>
        <v>估价对象周边道路通达状况一般、公共交通通达情况一般、停车便捷程度一般，综合评价交通便捷度一般。</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09" t="s">
        <v>2552</v>
      </c>
      <c r="Q14" s="1806" t="str">
        <f t="shared" si="6"/>
        <v>交通便捷度</v>
      </c>
      <c r="R14" s="773" t="s">
        <v>17</v>
      </c>
      <c r="S14" s="774">
        <f t="shared" si="0"/>
        <v>100</v>
      </c>
      <c r="T14" s="773" t="s">
        <v>17</v>
      </c>
      <c r="U14" s="774">
        <f t="shared" si="1"/>
        <v>100</v>
      </c>
      <c r="V14" s="773" t="s">
        <v>17</v>
      </c>
      <c r="W14" s="774">
        <f t="shared" si="2"/>
        <v>100</v>
      </c>
      <c r="X14" s="1809"/>
      <c r="Y14" s="3209" t="s">
        <v>2552</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10"/>
      <c r="Q15" s="1806"/>
      <c r="R15" s="773"/>
      <c r="S15" s="774"/>
      <c r="T15" s="773"/>
      <c r="U15" s="774"/>
      <c r="V15" s="773"/>
      <c r="W15" s="774"/>
      <c r="X15" s="1809"/>
      <c r="Y15" s="3210"/>
      <c r="Z15" s="1810"/>
      <c r="AA15" s="1807">
        <v>1</v>
      </c>
      <c r="AB15" s="1807">
        <v>1</v>
      </c>
      <c r="AC15" s="1807">
        <v>1</v>
      </c>
    </row>
    <row r="16" spans="1:29" ht="199.5">
      <c r="A16" s="427"/>
      <c r="B16" s="450" t="s">
        <v>2680</v>
      </c>
      <c r="C16" s="2600" t="str">
        <f>IF(B1="工业",估价对象房地状况!G5,估价对象房地状况!C7)</f>
        <v>估价对象所在区域2公里范围内有：银行（恒丰银行、中国建设银行），商场（佳乐购物中心、西安安瑞桥超市），医院（西北妇女儿童医院），学校（三兆小学、曲江第二幼儿园）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10"/>
      <c r="Q16" s="1806" t="str">
        <f>B16</f>
        <v>公共配套设施</v>
      </c>
      <c r="R16" s="773" t="s">
        <v>17</v>
      </c>
      <c r="S16" s="774">
        <f>F16</f>
        <v>100</v>
      </c>
      <c r="T16" s="773" t="s">
        <v>17</v>
      </c>
      <c r="U16" s="774">
        <f>H16</f>
        <v>100</v>
      </c>
      <c r="V16" s="773" t="s">
        <v>17</v>
      </c>
      <c r="W16" s="774">
        <f>J16</f>
        <v>100</v>
      </c>
      <c r="X16" s="1809"/>
      <c r="Y16" s="3210"/>
      <c r="Z16" s="1810" t="str">
        <f>Q16</f>
        <v>公共配套设施</v>
      </c>
      <c r="AA16" s="1807">
        <f t="shared" si="3"/>
        <v>1</v>
      </c>
      <c r="AB16" s="1807">
        <f t="shared" si="4"/>
        <v>1</v>
      </c>
      <c r="AC16" s="1807">
        <f t="shared" si="5"/>
        <v>1</v>
      </c>
    </row>
    <row r="17" spans="1:29" ht="15">
      <c r="A17" s="427"/>
      <c r="B17" s="455"/>
      <c r="C17" s="2601"/>
      <c r="D17" s="447"/>
      <c r="E17" s="446"/>
      <c r="F17" s="448"/>
      <c r="G17" s="446"/>
      <c r="H17" s="447"/>
      <c r="I17" s="446"/>
      <c r="J17" s="447"/>
      <c r="K17" s="614"/>
      <c r="L17" s="1136"/>
      <c r="M17" s="1127"/>
      <c r="N17" s="1127"/>
      <c r="O17" s="1135"/>
      <c r="P17" s="3210"/>
      <c r="Q17" s="1806"/>
      <c r="R17" s="773"/>
      <c r="S17" s="774"/>
      <c r="T17" s="773"/>
      <c r="U17" s="774"/>
      <c r="V17" s="773"/>
      <c r="W17" s="774"/>
      <c r="X17" s="1809"/>
      <c r="Y17" s="3210"/>
      <c r="Z17" s="1810"/>
      <c r="AA17" s="1807">
        <v>1</v>
      </c>
      <c r="AB17" s="1807">
        <v>1</v>
      </c>
      <c r="AC17" s="1807">
        <v>1</v>
      </c>
    </row>
    <row r="18" spans="1:29" ht="42.75">
      <c r="A18" s="427"/>
      <c r="B18" s="1380" t="s">
        <v>2681</v>
      </c>
      <c r="C18" s="2600"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10"/>
      <c r="Q18" s="1806" t="str">
        <f>B18</f>
        <v>基础设施水平</v>
      </c>
      <c r="R18" s="773" t="s">
        <v>17</v>
      </c>
      <c r="S18" s="774">
        <f>F18</f>
        <v>100</v>
      </c>
      <c r="T18" s="773" t="s">
        <v>17</v>
      </c>
      <c r="U18" s="774">
        <f>H18</f>
        <v>100</v>
      </c>
      <c r="V18" s="773" t="s">
        <v>17</v>
      </c>
      <c r="W18" s="774">
        <f>J18</f>
        <v>100</v>
      </c>
      <c r="X18" s="1809"/>
      <c r="Y18" s="3210"/>
      <c r="Z18" s="1810" t="str">
        <f>Q18</f>
        <v>基础设施水平</v>
      </c>
      <c r="AA18" s="1807">
        <f t="shared" ref="AA18" si="8">D18/F18</f>
        <v>1</v>
      </c>
      <c r="AB18" s="1807">
        <f t="shared" ref="AB18" si="9">D18/H18</f>
        <v>1</v>
      </c>
      <c r="AC18" s="1807">
        <f t="shared" ref="AC18" si="10">D18/J18</f>
        <v>1</v>
      </c>
    </row>
    <row r="19" spans="1:29" ht="15">
      <c r="A19" s="427"/>
      <c r="B19" s="1380"/>
      <c r="C19" s="2601"/>
      <c r="D19" s="449"/>
      <c r="E19" s="2601"/>
      <c r="F19" s="452"/>
      <c r="G19" s="2601"/>
      <c r="H19" s="447"/>
      <c r="I19" s="446"/>
      <c r="J19" s="447"/>
      <c r="K19" s="1379"/>
      <c r="L19" s="1136"/>
      <c r="M19" s="1127"/>
      <c r="N19" s="1127"/>
      <c r="O19" s="1135"/>
      <c r="P19" s="3210"/>
      <c r="Q19" s="1806"/>
      <c r="R19" s="773"/>
      <c r="S19" s="774"/>
      <c r="T19" s="773"/>
      <c r="U19" s="774"/>
      <c r="V19" s="773"/>
      <c r="W19" s="774"/>
      <c r="X19" s="1809"/>
      <c r="Y19" s="3210"/>
      <c r="Z19" s="1810"/>
      <c r="AA19" s="1807">
        <v>1</v>
      </c>
      <c r="AB19" s="1807">
        <v>1</v>
      </c>
      <c r="AC19" s="1807">
        <v>1</v>
      </c>
    </row>
    <row r="20" spans="1:29" ht="85.5">
      <c r="A20" s="427"/>
      <c r="B20" s="450" t="s">
        <v>2702</v>
      </c>
      <c r="C20" s="2600" t="str">
        <f>IF(B1="工业",估价对象房地状况!G7,估价对象房地状况!C9)</f>
        <v>区域自然环境：杜陵遗址生态公园；人文环境：厦门华侨博物馆；综合评价环境状况较好。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10"/>
      <c r="Q20" s="1806" t="str">
        <f>B20</f>
        <v>自然及人文环境</v>
      </c>
      <c r="R20" s="773" t="s">
        <v>17</v>
      </c>
      <c r="S20" s="774">
        <f>F20</f>
        <v>100</v>
      </c>
      <c r="T20" s="773" t="s">
        <v>17</v>
      </c>
      <c r="U20" s="774">
        <f>H20</f>
        <v>100</v>
      </c>
      <c r="V20" s="773" t="s">
        <v>17</v>
      </c>
      <c r="W20" s="774">
        <f>J20</f>
        <v>100</v>
      </c>
      <c r="X20" s="1809"/>
      <c r="Y20" s="3210"/>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10"/>
      <c r="Q21" s="1806"/>
      <c r="R21" s="773"/>
      <c r="S21" s="774"/>
      <c r="T21" s="773"/>
      <c r="U21" s="774"/>
      <c r="V21" s="773"/>
      <c r="W21" s="774"/>
      <c r="X21" s="1809"/>
      <c r="Y21" s="3210"/>
      <c r="Z21" s="1810"/>
      <c r="AA21" s="1807">
        <v>1</v>
      </c>
      <c r="AB21" s="1807">
        <v>1</v>
      </c>
      <c r="AC21" s="1807">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10"/>
      <c r="Q22" s="1806" t="str">
        <f>B22</f>
        <v>楼层</v>
      </c>
      <c r="R22" s="773" t="s">
        <v>17</v>
      </c>
      <c r="S22" s="774">
        <f>F22</f>
        <v>100</v>
      </c>
      <c r="T22" s="773" t="s">
        <v>17</v>
      </c>
      <c r="U22" s="774">
        <f>H22</f>
        <v>100</v>
      </c>
      <c r="V22" s="773" t="s">
        <v>17</v>
      </c>
      <c r="W22" s="774">
        <f>J22</f>
        <v>100</v>
      </c>
      <c r="X22" s="1809"/>
      <c r="Y22" s="3210"/>
      <c r="Z22" s="1810" t="str">
        <f>Q22</f>
        <v>楼层</v>
      </c>
      <c r="AA22" s="1807">
        <f t="shared" si="3"/>
        <v>1</v>
      </c>
      <c r="AB22" s="1807">
        <f t="shared" si="4"/>
        <v>1</v>
      </c>
      <c r="AC22" s="1807">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10"/>
      <c r="Q23" s="1806">
        <f>B23</f>
        <v>111</v>
      </c>
      <c r="R23" s="773" t="s">
        <v>17</v>
      </c>
      <c r="S23" s="774">
        <f>F23</f>
        <v>100</v>
      </c>
      <c r="T23" s="773" t="s">
        <v>17</v>
      </c>
      <c r="U23" s="774">
        <f>H23</f>
        <v>100</v>
      </c>
      <c r="V23" s="773" t="s">
        <v>17</v>
      </c>
      <c r="W23" s="774">
        <f>J23</f>
        <v>100</v>
      </c>
      <c r="X23" s="1809"/>
      <c r="Y23" s="3210"/>
      <c r="Z23" s="1810">
        <f>Q23</f>
        <v>111</v>
      </c>
      <c r="AA23" s="1807">
        <f t="shared" si="3"/>
        <v>1</v>
      </c>
      <c r="AB23" s="1807">
        <f t="shared" si="4"/>
        <v>1</v>
      </c>
      <c r="AC23" s="1807">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10"/>
      <c r="Q24" s="1806">
        <f t="shared" ref="Q24:Q34" si="11">B24</f>
        <v>111</v>
      </c>
      <c r="R24" s="773" t="s">
        <v>17</v>
      </c>
      <c r="S24" s="774">
        <f>F24</f>
        <v>100</v>
      </c>
      <c r="T24" s="773" t="s">
        <v>17</v>
      </c>
      <c r="U24" s="774">
        <f>H24</f>
        <v>100</v>
      </c>
      <c r="V24" s="773" t="s">
        <v>17</v>
      </c>
      <c r="W24" s="774">
        <f>J24</f>
        <v>100</v>
      </c>
      <c r="X24" s="1809"/>
      <c r="Y24" s="3210"/>
      <c r="Z24" s="1810">
        <f>Q24</f>
        <v>111</v>
      </c>
      <c r="AA24" s="1807">
        <f t="shared" si="3"/>
        <v>1</v>
      </c>
      <c r="AB24" s="1807">
        <f t="shared" si="4"/>
        <v>1</v>
      </c>
      <c r="AC24" s="1807">
        <f t="shared" si="5"/>
        <v>1</v>
      </c>
    </row>
    <row r="25" spans="1:29" s="116"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8"/>
      <c r="M25" s="1129"/>
      <c r="N25" s="1129"/>
      <c r="O25" s="1130"/>
      <c r="P25" s="3210"/>
      <c r="Q25" s="1791">
        <f t="shared" si="11"/>
        <v>111</v>
      </c>
      <c r="R25" s="769" t="s">
        <v>17</v>
      </c>
      <c r="S25" s="770">
        <f>F25</f>
        <v>100</v>
      </c>
      <c r="T25" s="769" t="s">
        <v>17</v>
      </c>
      <c r="U25" s="770">
        <f>H25</f>
        <v>100</v>
      </c>
      <c r="V25" s="769" t="s">
        <v>17</v>
      </c>
      <c r="W25" s="770">
        <f>J25</f>
        <v>100</v>
      </c>
      <c r="X25" s="771"/>
      <c r="Y25" s="3210"/>
      <c r="Z25" s="55">
        <f>Q25</f>
        <v>111</v>
      </c>
      <c r="AA25" s="1807">
        <f>D25/F25</f>
        <v>1</v>
      </c>
      <c r="AB25" s="1807">
        <f>D25/H25</f>
        <v>1</v>
      </c>
      <c r="AC25" s="1807">
        <f>D25/J25</f>
        <v>1</v>
      </c>
    </row>
    <row r="26" spans="1:29" ht="15">
      <c r="A26" s="465" t="s">
        <v>2555</v>
      </c>
      <c r="B26" s="70" t="s">
        <v>2706</v>
      </c>
      <c r="C26" s="2672"/>
      <c r="D26" s="466">
        <v>100</v>
      </c>
      <c r="E26" s="2672"/>
      <c r="F26" s="666">
        <f>SUMIF(77:77,E26,78:78)-SUMIF(77:77,C26,78:78)+100</f>
        <v>100</v>
      </c>
      <c r="G26" s="2672"/>
      <c r="H26" s="466">
        <f>SUMIF(77:77,G26,78:78)-SUMIF(77:77,C26,78:78)+100</f>
        <v>100</v>
      </c>
      <c r="I26" s="2672"/>
      <c r="J26" s="466">
        <f>SUMIF(77:77,I26,78:78)-SUMIF(77:77,C26,78:78)+100</f>
        <v>100</v>
      </c>
      <c r="K26" s="611"/>
      <c r="L26" s="1136"/>
      <c r="M26" s="1127"/>
      <c r="N26" s="1127"/>
      <c r="O26" s="1135"/>
      <c r="P26" s="3211" t="s">
        <v>2557</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12" t="s">
        <v>2557</v>
      </c>
      <c r="Z26" s="1810" t="str">
        <f t="shared" ref="Z26:Z34" si="15">Q26</f>
        <v>公共部分装修</v>
      </c>
      <c r="AA26" s="1807">
        <f t="shared" si="3"/>
        <v>1</v>
      </c>
      <c r="AB26" s="1807">
        <f t="shared" si="4"/>
        <v>1</v>
      </c>
      <c r="AC26" s="1807">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12"/>
      <c r="Q27" s="775" t="str">
        <f t="shared" si="11"/>
        <v>成新率</v>
      </c>
      <c r="R27" s="776" t="s">
        <v>17</v>
      </c>
      <c r="S27" s="777" t="e">
        <f t="shared" si="12"/>
        <v>#N/A</v>
      </c>
      <c r="T27" s="776" t="s">
        <v>17</v>
      </c>
      <c r="U27" s="777" t="e">
        <f t="shared" si="13"/>
        <v>#N/A</v>
      </c>
      <c r="V27" s="776" t="s">
        <v>17</v>
      </c>
      <c r="W27" s="777" t="e">
        <f t="shared" si="14"/>
        <v>#N/A</v>
      </c>
      <c r="X27" s="778"/>
      <c r="Y27" s="3212"/>
      <c r="Z27" s="779" t="str">
        <f t="shared" si="15"/>
        <v>成新率</v>
      </c>
      <c r="AA27" s="1807" t="e">
        <f t="shared" si="3"/>
        <v>#N/A</v>
      </c>
      <c r="AB27" s="1807" t="e">
        <f t="shared" si="4"/>
        <v>#N/A</v>
      </c>
      <c r="AC27" s="1807"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12"/>
      <c r="Q28" s="1806" t="str">
        <f t="shared" si="11"/>
        <v>物业等级</v>
      </c>
      <c r="R28" s="773" t="s">
        <v>17</v>
      </c>
      <c r="S28" s="774">
        <f t="shared" si="12"/>
        <v>100</v>
      </c>
      <c r="T28" s="773" t="s">
        <v>17</v>
      </c>
      <c r="U28" s="774">
        <f t="shared" si="13"/>
        <v>100</v>
      </c>
      <c r="V28" s="773" t="s">
        <v>17</v>
      </c>
      <c r="W28" s="774">
        <f t="shared" si="14"/>
        <v>100</v>
      </c>
      <c r="X28" s="1809"/>
      <c r="Y28" s="3212"/>
      <c r="Z28" s="1810" t="str">
        <f t="shared" si="15"/>
        <v>物业等级</v>
      </c>
      <c r="AA28" s="1807">
        <f t="shared" si="3"/>
        <v>1</v>
      </c>
      <c r="AB28" s="1807">
        <f t="shared" si="4"/>
        <v>1</v>
      </c>
      <c r="AC28" s="1807">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12"/>
      <c r="Q29" s="1806" t="str">
        <f t="shared" si="11"/>
        <v>有无电梯</v>
      </c>
      <c r="R29" s="773" t="s">
        <v>17</v>
      </c>
      <c r="S29" s="774">
        <f t="shared" si="12"/>
        <v>100</v>
      </c>
      <c r="T29" s="773" t="s">
        <v>17</v>
      </c>
      <c r="U29" s="774">
        <f t="shared" si="13"/>
        <v>100</v>
      </c>
      <c r="V29" s="773" t="s">
        <v>17</v>
      </c>
      <c r="W29" s="774">
        <f t="shared" si="14"/>
        <v>100</v>
      </c>
      <c r="X29" s="1809"/>
      <c r="Y29" s="3212"/>
      <c r="Z29" s="1810" t="str">
        <f t="shared" si="15"/>
        <v>有无电梯</v>
      </c>
      <c r="AA29" s="1807">
        <f t="shared" si="3"/>
        <v>1</v>
      </c>
      <c r="AB29" s="1807">
        <f t="shared" si="4"/>
        <v>1</v>
      </c>
      <c r="AC29" s="1807">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12"/>
      <c r="Q30" s="1806" t="str">
        <f t="shared" si="11"/>
        <v>建筑面积</v>
      </c>
      <c r="R30" s="773" t="s">
        <v>17</v>
      </c>
      <c r="S30" s="774" t="e">
        <f t="shared" si="12"/>
        <v>#N/A</v>
      </c>
      <c r="T30" s="773" t="s">
        <v>17</v>
      </c>
      <c r="U30" s="774" t="e">
        <f t="shared" si="13"/>
        <v>#N/A</v>
      </c>
      <c r="V30" s="773" t="s">
        <v>17</v>
      </c>
      <c r="W30" s="774" t="e">
        <f t="shared" si="14"/>
        <v>#N/A</v>
      </c>
      <c r="X30" s="1809"/>
      <c r="Y30" s="3212"/>
      <c r="Z30" s="1810" t="str">
        <f t="shared" si="15"/>
        <v>建筑面积</v>
      </c>
      <c r="AA30" s="1807" t="e">
        <f t="shared" si="3"/>
        <v>#N/A</v>
      </c>
      <c r="AB30" s="1807" t="e">
        <f t="shared" si="4"/>
        <v>#N/A</v>
      </c>
      <c r="AC30" s="1807"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12"/>
      <c r="Q31" s="1791" t="str">
        <f t="shared" si="11"/>
        <v>是否封闭</v>
      </c>
      <c r="R31" s="769" t="s">
        <v>17</v>
      </c>
      <c r="S31" s="770">
        <f t="shared" si="12"/>
        <v>100</v>
      </c>
      <c r="T31" s="769" t="s">
        <v>17</v>
      </c>
      <c r="U31" s="770">
        <f t="shared" si="13"/>
        <v>100</v>
      </c>
      <c r="V31" s="769" t="s">
        <v>17</v>
      </c>
      <c r="W31" s="770">
        <f t="shared" si="14"/>
        <v>100</v>
      </c>
      <c r="X31" s="771"/>
      <c r="Y31" s="3212"/>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12" t="s">
        <v>2557</v>
      </c>
      <c r="Q32" s="1806">
        <f t="shared" si="11"/>
        <v>111</v>
      </c>
      <c r="R32" s="773" t="s">
        <v>17</v>
      </c>
      <c r="S32" s="774">
        <f t="shared" si="12"/>
        <v>100</v>
      </c>
      <c r="T32" s="773" t="s">
        <v>17</v>
      </c>
      <c r="U32" s="774">
        <f t="shared" si="13"/>
        <v>100</v>
      </c>
      <c r="V32" s="773" t="s">
        <v>17</v>
      </c>
      <c r="W32" s="774">
        <f t="shared" si="14"/>
        <v>100</v>
      </c>
      <c r="X32" s="1809"/>
      <c r="Y32" s="3212" t="s">
        <v>2557</v>
      </c>
      <c r="Z32" s="1810">
        <f t="shared" si="15"/>
        <v>111</v>
      </c>
      <c r="AA32" s="1807">
        <f t="shared" si="3"/>
        <v>1</v>
      </c>
      <c r="AB32" s="1807">
        <f t="shared" si="4"/>
        <v>1</v>
      </c>
      <c r="AC32" s="1807">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12"/>
      <c r="Q33" s="1806">
        <f t="shared" si="11"/>
        <v>111</v>
      </c>
      <c r="R33" s="773" t="s">
        <v>17</v>
      </c>
      <c r="S33" s="774">
        <f t="shared" si="12"/>
        <v>100</v>
      </c>
      <c r="T33" s="773" t="s">
        <v>17</v>
      </c>
      <c r="U33" s="774">
        <f t="shared" si="13"/>
        <v>100</v>
      </c>
      <c r="V33" s="773" t="s">
        <v>17</v>
      </c>
      <c r="W33" s="774">
        <f t="shared" si="14"/>
        <v>100</v>
      </c>
      <c r="X33" s="1809"/>
      <c r="Y33" s="3212"/>
      <c r="Z33" s="1810">
        <f t="shared" si="15"/>
        <v>111</v>
      </c>
      <c r="AA33" s="1807">
        <f t="shared" si="3"/>
        <v>1</v>
      </c>
      <c r="AB33" s="1807">
        <f t="shared" si="4"/>
        <v>1</v>
      </c>
      <c r="AC33" s="1807">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6"/>
      <c r="M34" s="1127"/>
      <c r="N34" s="1127"/>
      <c r="O34" s="1135"/>
      <c r="P34" s="3212"/>
      <c r="Q34" s="1806">
        <f t="shared" si="11"/>
        <v>111</v>
      </c>
      <c r="R34" s="773" t="s">
        <v>17</v>
      </c>
      <c r="S34" s="774">
        <f t="shared" si="12"/>
        <v>100</v>
      </c>
      <c r="T34" s="773" t="s">
        <v>17</v>
      </c>
      <c r="U34" s="774">
        <f t="shared" si="13"/>
        <v>100</v>
      </c>
      <c r="V34" s="773" t="s">
        <v>17</v>
      </c>
      <c r="W34" s="774">
        <f t="shared" si="14"/>
        <v>100</v>
      </c>
      <c r="X34" s="1809"/>
      <c r="Y34" s="3212"/>
      <c r="Z34" s="1810">
        <f t="shared" si="15"/>
        <v>111</v>
      </c>
      <c r="AA34" s="1807">
        <f t="shared" si="3"/>
        <v>1</v>
      </c>
      <c r="AB34" s="1807">
        <f t="shared" si="4"/>
        <v>1</v>
      </c>
      <c r="AC34" s="1807">
        <f t="shared" si="5"/>
        <v>1</v>
      </c>
    </row>
    <row r="35" spans="1:29" ht="15">
      <c r="A35" s="478" t="s">
        <v>2569</v>
      </c>
      <c r="B35" s="479"/>
      <c r="C35" s="1403" t="s">
        <v>1</v>
      </c>
      <c r="D35" s="1404"/>
      <c r="E35" s="1405"/>
      <c r="F35" s="1406"/>
      <c r="G35" s="1407"/>
      <c r="H35" s="1408"/>
      <c r="I35" s="1405"/>
      <c r="J35" s="1408"/>
      <c r="K35" s="782"/>
      <c r="L35" s="1139"/>
      <c r="M35" s="1140"/>
      <c r="N35" s="1127"/>
      <c r="O35" s="1140"/>
      <c r="P35" s="3207" t="str">
        <f>A35</f>
        <v>成交单价（元/平方米）</v>
      </c>
      <c r="Q35" s="3207"/>
      <c r="R35" s="3273">
        <f>E35</f>
        <v>0</v>
      </c>
      <c r="S35" s="3273"/>
      <c r="T35" s="3273">
        <f>G35</f>
        <v>0</v>
      </c>
      <c r="U35" s="3273"/>
      <c r="V35" s="3273">
        <f>I35</f>
        <v>0</v>
      </c>
      <c r="W35" s="3273"/>
      <c r="X35" s="758"/>
      <c r="Y35" s="780"/>
      <c r="Z35" s="758"/>
      <c r="AA35" s="758"/>
      <c r="AB35" s="758"/>
      <c r="AC35" s="758"/>
    </row>
    <row r="36" spans="1:29" ht="15.75" thickBot="1">
      <c r="A36" s="485" t="s">
        <v>2661</v>
      </c>
      <c r="B36" s="486"/>
      <c r="C36" s="1409" t="e">
        <f>R37</f>
        <v>#DIV/0!</v>
      </c>
      <c r="D36" s="1410"/>
      <c r="E36" s="1411" t="e">
        <f>R36</f>
        <v>#DIV/0!</v>
      </c>
      <c r="F36" s="1411"/>
      <c r="G36" s="1409" t="e">
        <f>T36</f>
        <v>#DIV/0!</v>
      </c>
      <c r="H36" s="1410"/>
      <c r="I36" s="1411" t="e">
        <f>V36</f>
        <v>#DIV/0!</v>
      </c>
      <c r="J36" s="1410"/>
      <c r="K36" s="783"/>
      <c r="L36" s="1139"/>
      <c r="M36" s="1140"/>
      <c r="N36" s="1127"/>
      <c r="O36" s="1140"/>
      <c r="P36" s="3207" t="str">
        <f>A36</f>
        <v>比较价值（元/平方米）</v>
      </c>
      <c r="Q36" s="3207"/>
      <c r="R36" s="3273" t="e">
        <f>IF(F1="售价",ROUND(PRODUCT(R35,AA7:AA34),0),ROUND(PRODUCT(R35,AA7:AA34),1))</f>
        <v>#DIV/0!</v>
      </c>
      <c r="S36" s="3273"/>
      <c r="T36" s="3273" t="e">
        <f>IF(F1="售价",ROUND(PRODUCT(T35,AB7:AB34),0),ROUND(PRODUCT(T35,AB7:AB34),1))</f>
        <v>#DIV/0!</v>
      </c>
      <c r="U36" s="3273"/>
      <c r="V36" s="3273" t="e">
        <f>IF(F1="售价",ROUND(PRODUCT(V35,AC7:AC34),0),ROUND(PRODUCT(V35,AC7:AC34),1))</f>
        <v>#DIV/0!</v>
      </c>
      <c r="W36" s="3273"/>
      <c r="X36" s="758"/>
      <c r="Y36" s="758"/>
      <c r="Z36" s="758"/>
      <c r="AA36" s="758"/>
      <c r="AB36" s="758"/>
      <c r="AC36" s="758"/>
    </row>
    <row r="37" spans="1:29" ht="15.75" thickBot="1">
      <c r="A37" s="491" t="s">
        <v>2662</v>
      </c>
      <c r="B37" s="492"/>
      <c r="C37" s="1413" t="e">
        <f>R37</f>
        <v>#DIV/0!</v>
      </c>
      <c r="D37" s="1413"/>
      <c r="E37" s="1413"/>
      <c r="F37" s="1413"/>
      <c r="G37" s="1413"/>
      <c r="H37" s="1413"/>
      <c r="I37" s="1413"/>
      <c r="J37" s="1413"/>
      <c r="K37" s="784"/>
      <c r="L37" s="1139"/>
      <c r="M37" s="1140"/>
      <c r="N37" s="1140"/>
      <c r="O37" s="1140"/>
      <c r="P37" s="3201" t="str">
        <f>A37</f>
        <v>估价对象XX用房的比较价值（楼面单价，元/平方米）</v>
      </c>
      <c r="Q37" s="3202"/>
      <c r="R37" s="3272" t="e">
        <f>IF(F1="售价",ROUND(AVERAGE(R36:V36),0),ROUND(AVERAGE(R36:V36),1))</f>
        <v>#DIV/0!</v>
      </c>
      <c r="S37" s="3272"/>
      <c r="T37" s="3272"/>
      <c r="U37" s="3272"/>
      <c r="V37" s="3272"/>
      <c r="W37" s="3272"/>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0" t="str">
        <f>YEAR(C7)&amp;"-"&amp;MONTH(C7)</f>
        <v>2018-6</v>
      </c>
      <c r="D46" s="1571">
        <f>EDATE(C46,-1)</f>
        <v>43221</v>
      </c>
      <c r="E46" s="1571">
        <f t="shared" ref="E46:O46" si="16">EDATE(D46,-1)</f>
        <v>43191</v>
      </c>
      <c r="F46" s="1571">
        <f t="shared" si="16"/>
        <v>43160</v>
      </c>
      <c r="G46" s="1571">
        <f t="shared" si="16"/>
        <v>43132</v>
      </c>
      <c r="H46" s="1571">
        <f t="shared" si="16"/>
        <v>43101</v>
      </c>
      <c r="I46" s="1571">
        <f t="shared" si="16"/>
        <v>43070</v>
      </c>
      <c r="J46" s="1571">
        <f t="shared" si="16"/>
        <v>43040</v>
      </c>
      <c r="K46" s="1571">
        <f t="shared" si="16"/>
        <v>43009</v>
      </c>
      <c r="L46" s="1571">
        <f t="shared" si="16"/>
        <v>42979</v>
      </c>
      <c r="M46" s="1571">
        <f t="shared" si="16"/>
        <v>42948</v>
      </c>
      <c r="N46" s="1571">
        <f t="shared" si="16"/>
        <v>42917</v>
      </c>
      <c r="O46" s="1571">
        <f t="shared" si="16"/>
        <v>42887</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2580</v>
      </c>
      <c r="B51" s="527" t="s">
        <v>2546</v>
      </c>
      <c r="C51" s="528">
        <f>C9</f>
        <v>0</v>
      </c>
      <c r="D51" s="529"/>
      <c r="E51" s="529"/>
      <c r="F51" s="529"/>
      <c r="G51" s="529"/>
      <c r="H51" s="529"/>
      <c r="I51" s="529"/>
      <c r="J51" s="529"/>
      <c r="K51" s="530"/>
      <c r="L51" s="531"/>
      <c r="M51" s="532"/>
      <c r="N51" s="1148"/>
      <c r="O51" s="1148"/>
      <c r="P51" s="45"/>
      <c r="Q51" s="503"/>
    </row>
    <row r="52" spans="1:17" ht="15.75" thickBot="1">
      <c r="A52" s="533"/>
      <c r="B52" s="534"/>
      <c r="C52" s="535">
        <v>100</v>
      </c>
      <c r="D52" s="535"/>
      <c r="E52" s="535"/>
      <c r="F52" s="535"/>
      <c r="G52" s="535"/>
      <c r="H52" s="535"/>
      <c r="I52" s="535"/>
      <c r="J52" s="535"/>
      <c r="K52" s="535"/>
      <c r="L52" s="535"/>
      <c r="M52" s="536"/>
      <c r="N52" s="1149"/>
      <c r="O52" s="1149"/>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48"/>
      <c r="O53" s="1148"/>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5.75" thickTop="1">
      <c r="A55" s="533"/>
      <c r="B55" s="659">
        <f>B11</f>
        <v>111</v>
      </c>
      <c r="C55" s="548"/>
      <c r="D55" s="548"/>
      <c r="E55" s="548"/>
      <c r="F55" s="548"/>
      <c r="G55" s="548"/>
      <c r="H55" s="548"/>
      <c r="I55" s="548"/>
      <c r="J55" s="548"/>
      <c r="K55" s="549"/>
      <c r="L55" s="550"/>
      <c r="M55" s="551"/>
      <c r="N55" s="1148"/>
      <c r="O55" s="1148"/>
      <c r="P55" s="45"/>
      <c r="Q55" s="503"/>
    </row>
    <row r="56" spans="1:17" ht="15.75" thickBot="1">
      <c r="A56" s="533"/>
      <c r="B56" s="534"/>
      <c r="C56" s="559"/>
      <c r="D56" s="535"/>
      <c r="E56" s="535"/>
      <c r="F56" s="535"/>
      <c r="G56" s="535"/>
      <c r="H56" s="535"/>
      <c r="I56" s="535"/>
      <c r="J56" s="535"/>
      <c r="K56" s="535"/>
      <c r="L56" s="535"/>
      <c r="M56" s="536"/>
      <c r="N56" s="1149"/>
      <c r="O56" s="1149"/>
      <c r="P56" s="45"/>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48"/>
      <c r="O63" s="1148"/>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78"/>
      <c r="N65" s="1149"/>
      <c r="O65" s="1149"/>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48"/>
      <c r="O67" s="1148"/>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75" thickTop="1">
      <c r="A69" s="533"/>
      <c r="B69" s="537" t="s">
        <v>2721</v>
      </c>
      <c r="C69" s="553"/>
      <c r="D69" s="553"/>
      <c r="E69" s="553"/>
      <c r="F69" s="553"/>
      <c r="G69" s="553"/>
      <c r="H69" s="582"/>
      <c r="I69" s="582"/>
      <c r="J69" s="582"/>
      <c r="K69" s="583"/>
      <c r="L69" s="584"/>
      <c r="M69" s="585"/>
      <c r="N69" s="1148"/>
      <c r="O69" s="1148"/>
      <c r="P69" s="45"/>
      <c r="Q69" s="503"/>
    </row>
    <row r="70" spans="1:17" ht="15.75"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5.75" thickTop="1">
      <c r="A71" s="578"/>
      <c r="B71" s="537">
        <f>B23</f>
        <v>111</v>
      </c>
      <c r="C71" s="548"/>
      <c r="D71" s="548"/>
      <c r="E71" s="548"/>
      <c r="F71" s="548"/>
      <c r="G71" s="553"/>
      <c r="H71" s="553"/>
      <c r="I71" s="553"/>
      <c r="J71" s="553"/>
      <c r="K71" s="553"/>
      <c r="L71" s="579"/>
      <c r="M71" s="580"/>
      <c r="N71" s="1147"/>
      <c r="O71" s="1147"/>
      <c r="P71" s="45"/>
      <c r="Q71" s="503"/>
    </row>
    <row r="72" spans="1:17" s="116" customFormat="1" ht="15.75" thickBot="1">
      <c r="A72" s="578"/>
      <c r="B72" s="542"/>
      <c r="C72" s="559"/>
      <c r="D72" s="535"/>
      <c r="E72" s="535"/>
      <c r="F72" s="535"/>
      <c r="G72" s="535"/>
      <c r="H72" s="535"/>
      <c r="I72" s="535"/>
      <c r="J72" s="535"/>
      <c r="K72" s="535"/>
      <c r="L72" s="535"/>
      <c r="M72" s="536"/>
      <c r="N72" s="1149"/>
      <c r="O72" s="1149"/>
      <c r="P72" s="45"/>
      <c r="Q72" s="503"/>
    </row>
    <row r="73" spans="1:17" s="116" customFormat="1" ht="15.75" thickTop="1">
      <c r="A73" s="578"/>
      <c r="B73" s="537">
        <f>B24</f>
        <v>111</v>
      </c>
      <c r="C73" s="548"/>
      <c r="D73" s="548"/>
      <c r="E73" s="548"/>
      <c r="F73" s="548"/>
      <c r="G73" s="553"/>
      <c r="H73" s="553"/>
      <c r="I73" s="553"/>
      <c r="J73" s="553"/>
      <c r="K73" s="553"/>
      <c r="L73" s="553"/>
      <c r="M73" s="580"/>
      <c r="N73" s="1147"/>
      <c r="O73" s="1147"/>
      <c r="P73" s="45"/>
      <c r="Q73" s="503"/>
    </row>
    <row r="74" spans="1:17" s="116" customFormat="1" ht="15.75" thickBot="1">
      <c r="A74" s="578"/>
      <c r="B74" s="542"/>
      <c r="C74" s="559"/>
      <c r="D74" s="535"/>
      <c r="E74" s="535"/>
      <c r="F74" s="535"/>
      <c r="G74" s="535"/>
      <c r="H74" s="535"/>
      <c r="I74" s="535"/>
      <c r="J74" s="535"/>
      <c r="K74" s="535"/>
      <c r="L74" s="535"/>
      <c r="M74" s="536"/>
      <c r="N74" s="1149"/>
      <c r="O74" s="1149"/>
      <c r="P74" s="45"/>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2555</v>
      </c>
      <c r="B77" s="527" t="s">
        <v>2608</v>
      </c>
      <c r="C77" s="553"/>
      <c r="D77" s="553"/>
      <c r="E77" s="529"/>
      <c r="F77" s="529"/>
      <c r="G77" s="529"/>
      <c r="H77" s="529"/>
      <c r="I77" s="529"/>
      <c r="J77" s="529"/>
      <c r="K77" s="530"/>
      <c r="L77" s="531"/>
      <c r="M77" s="532"/>
      <c r="N77" s="1148"/>
      <c r="O77" s="1148"/>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ht="15">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2725</v>
      </c>
      <c r="C82" s="553"/>
      <c r="D82" s="553"/>
      <c r="E82" s="582"/>
      <c r="F82" s="582"/>
      <c r="G82" s="582"/>
      <c r="H82" s="582"/>
      <c r="I82" s="582"/>
      <c r="J82" s="582"/>
      <c r="K82" s="583"/>
      <c r="L82" s="584"/>
      <c r="M82" s="585"/>
      <c r="N82" s="1148"/>
      <c r="O82" s="1148"/>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2733</v>
      </c>
      <c r="C84" s="553"/>
      <c r="D84" s="553"/>
      <c r="E84" s="553"/>
      <c r="F84" s="553"/>
      <c r="G84" s="553"/>
      <c r="H84" s="553"/>
      <c r="I84" s="582"/>
      <c r="J84" s="582"/>
      <c r="K84" s="583"/>
      <c r="L84" s="584"/>
      <c r="M84" s="585"/>
      <c r="N84" s="1148"/>
      <c r="O84" s="1148"/>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5.75"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2735</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5"/>
      <c r="Q91" s="503"/>
    </row>
    <row r="92" spans="1:17" ht="15.75" thickBot="1">
      <c r="A92" s="533"/>
      <c r="B92" s="542"/>
      <c r="C92" s="559"/>
      <c r="D92" s="535"/>
      <c r="E92" s="535"/>
      <c r="F92" s="535"/>
      <c r="G92" s="559"/>
      <c r="H92" s="561"/>
      <c r="I92" s="561"/>
      <c r="J92" s="561"/>
      <c r="K92" s="561"/>
      <c r="L92" s="561"/>
      <c r="M92" s="562"/>
      <c r="N92" s="1149"/>
      <c r="O92" s="1149"/>
      <c r="P92" s="45"/>
      <c r="Q92" s="503"/>
    </row>
    <row r="93" spans="1:17" ht="15" thickTop="1">
      <c r="A93" s="598"/>
      <c r="B93" s="537">
        <f>B33</f>
        <v>111</v>
      </c>
      <c r="C93" s="548"/>
      <c r="D93" s="548"/>
      <c r="E93" s="548"/>
      <c r="F93" s="548"/>
      <c r="G93" s="553"/>
      <c r="H93" s="554"/>
      <c r="I93" s="554"/>
      <c r="J93" s="554"/>
      <c r="K93" s="554"/>
      <c r="L93" s="555"/>
      <c r="M93" s="556"/>
      <c r="N93" s="1148"/>
      <c r="O93" s="1148"/>
      <c r="P93" s="45"/>
      <c r="Q93" s="503"/>
    </row>
    <row r="94" spans="1:17" ht="15.75" thickBot="1">
      <c r="A94" s="533"/>
      <c r="B94" s="542"/>
      <c r="C94" s="559"/>
      <c r="D94" s="535"/>
      <c r="E94" s="535"/>
      <c r="F94" s="535"/>
      <c r="G94" s="559"/>
      <c r="H94" s="561"/>
      <c r="I94" s="561"/>
      <c r="J94" s="561"/>
      <c r="K94" s="561"/>
      <c r="L94" s="561"/>
      <c r="M94" s="562"/>
      <c r="N94" s="1149"/>
      <c r="O94" s="1149"/>
      <c r="P94" s="45"/>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5"/>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2786</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2319</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2321</v>
      </c>
      <c r="B3" s="608" t="e">
        <f>ROUND(IF(D3="",B2*10000/'数据-汇总表'!E3,B2*10000/D3),0)</f>
        <v>#DIV/0!</v>
      </c>
      <c r="C3" s="246" t="s">
        <v>2738</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2637</v>
      </c>
      <c r="B4" s="401"/>
      <c r="C4" s="3204" t="s">
        <v>2638</v>
      </c>
      <c r="D4" s="3217"/>
      <c r="E4" s="3218" t="s">
        <v>2639</v>
      </c>
      <c r="F4" s="3219"/>
      <c r="G4" s="3204" t="s">
        <v>2640</v>
      </c>
      <c r="H4" s="3217"/>
      <c r="I4" s="3204" t="s">
        <v>2641</v>
      </c>
      <c r="J4" s="3217"/>
      <c r="K4" s="609" t="s">
        <v>2642</v>
      </c>
      <c r="L4" s="1126"/>
      <c r="M4" s="1127"/>
      <c r="N4" s="1127"/>
      <c r="O4" s="1127"/>
      <c r="P4" s="3220" t="s">
        <v>2643</v>
      </c>
      <c r="Q4" s="3221"/>
      <c r="R4" s="3226" t="s">
        <v>2639</v>
      </c>
      <c r="S4" s="3227"/>
      <c r="T4" s="3226" t="s">
        <v>2640</v>
      </c>
      <c r="U4" s="3227"/>
      <c r="V4" s="3213" t="s">
        <v>2641</v>
      </c>
      <c r="W4" s="3213"/>
      <c r="X4" s="1809"/>
      <c r="Y4" s="3226" t="s">
        <v>2643</v>
      </c>
      <c r="Z4" s="3227"/>
      <c r="AA4" s="3214" t="s">
        <v>2639</v>
      </c>
      <c r="AB4" s="3215" t="s">
        <v>2640</v>
      </c>
      <c r="AC4" s="3214" t="s">
        <v>2641</v>
      </c>
    </row>
    <row r="5" spans="1:29" ht="15">
      <c r="A5" s="403"/>
      <c r="B5" s="404"/>
      <c r="C5" s="3234" t="s">
        <v>2534</v>
      </c>
      <c r="D5" s="3235"/>
      <c r="E5" s="3243" t="s">
        <v>2535</v>
      </c>
      <c r="F5" s="3244"/>
      <c r="G5" s="3234" t="s">
        <v>2536</v>
      </c>
      <c r="H5" s="3235"/>
      <c r="I5" s="3234" t="s">
        <v>2537</v>
      </c>
      <c r="J5" s="3235"/>
      <c r="K5" s="609"/>
      <c r="L5" s="1126"/>
      <c r="M5" s="1127"/>
      <c r="N5" s="1127"/>
      <c r="O5" s="1127"/>
      <c r="P5" s="3222"/>
      <c r="Q5" s="3223"/>
      <c r="R5" s="3228"/>
      <c r="S5" s="3229"/>
      <c r="T5" s="3228"/>
      <c r="U5" s="3229"/>
      <c r="V5" s="3213"/>
      <c r="W5" s="3213"/>
      <c r="X5" s="1809"/>
      <c r="Y5" s="3228"/>
      <c r="Z5" s="3229"/>
      <c r="AA5" s="3215"/>
      <c r="AB5" s="3215"/>
      <c r="AC5" s="3215"/>
    </row>
    <row r="6" spans="1:29" ht="15.75" thickBot="1">
      <c r="A6" s="405"/>
      <c r="B6" s="406"/>
      <c r="C6" s="3296" t="s">
        <v>2787</v>
      </c>
      <c r="D6" s="3297"/>
      <c r="E6" s="3298" t="s">
        <v>2787</v>
      </c>
      <c r="F6" s="3299"/>
      <c r="G6" s="3296" t="s">
        <v>2787</v>
      </c>
      <c r="H6" s="3297"/>
      <c r="I6" s="3296" t="s">
        <v>2787</v>
      </c>
      <c r="J6" s="3297"/>
      <c r="K6" s="609" t="s">
        <v>2539</v>
      </c>
      <c r="L6" s="1126"/>
      <c r="M6" s="1127"/>
      <c r="N6" s="1127"/>
      <c r="O6" s="1127"/>
      <c r="P6" s="3224"/>
      <c r="Q6" s="3225"/>
      <c r="R6" s="3228"/>
      <c r="S6" s="3229"/>
      <c r="T6" s="3230"/>
      <c r="U6" s="3231"/>
      <c r="V6" s="3213"/>
      <c r="W6" s="3213"/>
      <c r="X6" s="1809"/>
      <c r="Y6" s="3230"/>
      <c r="Z6" s="3231"/>
      <c r="AA6" s="3216"/>
      <c r="AB6" s="3216"/>
      <c r="AC6" s="3216"/>
    </row>
    <row r="7" spans="1:29" s="116" customFormat="1" ht="15.75" thickBot="1">
      <c r="A7" s="407" t="s">
        <v>2540</v>
      </c>
      <c r="B7" s="408"/>
      <c r="C7" s="409">
        <f>'数据-取费表'!B2</f>
        <v>43265</v>
      </c>
      <c r="D7" s="410">
        <v>100</v>
      </c>
      <c r="E7" s="411"/>
      <c r="F7" s="412">
        <f>SUMIF(65:65,YEAR(E7)&amp;"-"&amp;INT((MONTH(E7)+2)/3),66:66)</f>
        <v>0</v>
      </c>
      <c r="G7" s="2689"/>
      <c r="H7" s="410">
        <f>SUMIF(65:65,YEAR(G7)&amp;"-"&amp;INT((MONTH(G7)+2)/3),66:66)</f>
        <v>0</v>
      </c>
      <c r="I7" s="2689"/>
      <c r="J7" s="410">
        <f>SUMIF(65:65,YEAR(I7)&amp;"-"&amp;INT((MONTH(I7)+2)/3),66:66)</f>
        <v>0</v>
      </c>
      <c r="K7" s="610"/>
      <c r="L7" s="1128"/>
      <c r="M7" s="1129"/>
      <c r="N7" s="1129"/>
      <c r="O7" s="1129"/>
      <c r="P7" s="3236" t="s">
        <v>2541</v>
      </c>
      <c r="Q7" s="3238"/>
      <c r="R7" s="769" t="s">
        <v>17</v>
      </c>
      <c r="S7" s="770">
        <f t="shared" ref="S7:S15" si="0">F7</f>
        <v>0</v>
      </c>
      <c r="T7" s="769" t="s">
        <v>17</v>
      </c>
      <c r="U7" s="770">
        <f t="shared" ref="U7:U15" si="1">H7</f>
        <v>0</v>
      </c>
      <c r="V7" s="769" t="s">
        <v>17</v>
      </c>
      <c r="W7" s="770">
        <f t="shared" ref="W7:W15" si="2">J7</f>
        <v>0</v>
      </c>
      <c r="X7" s="771"/>
      <c r="Y7" s="3236" t="s">
        <v>2541</v>
      </c>
      <c r="Z7" s="3237"/>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36" t="s">
        <v>2544</v>
      </c>
      <c r="Q8" s="3237"/>
      <c r="R8" s="769" t="s">
        <v>17</v>
      </c>
      <c r="S8" s="770">
        <f t="shared" si="0"/>
        <v>0</v>
      </c>
      <c r="T8" s="769" t="s">
        <v>17</v>
      </c>
      <c r="U8" s="770">
        <f t="shared" si="1"/>
        <v>0</v>
      </c>
      <c r="V8" s="769" t="s">
        <v>17</v>
      </c>
      <c r="W8" s="770">
        <f t="shared" si="2"/>
        <v>0</v>
      </c>
      <c r="X8" s="771"/>
      <c r="Y8" s="3236" t="s">
        <v>2544</v>
      </c>
      <c r="Z8" s="3237"/>
      <c r="AA8" s="772" t="e">
        <f t="shared" ref="AA8:AA40" si="3">D8/F8</f>
        <v>#DIV/0!</v>
      </c>
      <c r="AB8" s="772" t="e">
        <f t="shared" ref="AB8:AB40" si="4">D8/H8</f>
        <v>#DIV/0!</v>
      </c>
      <c r="AC8" s="772" t="e">
        <f t="shared" ref="AC8:AC40" si="5">D8/J8</f>
        <v>#DIV/0!</v>
      </c>
    </row>
    <row r="9" spans="1:29" s="116" customFormat="1">
      <c r="A9" s="414" t="s">
        <v>2545</v>
      </c>
      <c r="B9" s="70" t="s">
        <v>2546</v>
      </c>
      <c r="C9" s="2692"/>
      <c r="D9" s="134">
        <v>100</v>
      </c>
      <c r="E9" s="2692"/>
      <c r="F9" s="134">
        <f>SUMIF(70:70,E9,71:71)-SUMIF(70:70,C9,71:71)+100</f>
        <v>100</v>
      </c>
      <c r="G9" s="2692"/>
      <c r="H9" s="134">
        <f>SUMIF(70:70,G9,71:71)-SUMIF(70:70,C9,71:71)+100</f>
        <v>100</v>
      </c>
      <c r="I9" s="2692"/>
      <c r="J9" s="134">
        <f>SUMIF(70:70,I9,71:71)-SUMIF(70:70,C9,71:71)+100</f>
        <v>100</v>
      </c>
      <c r="K9" s="610"/>
      <c r="L9" s="1128"/>
      <c r="M9" s="1129"/>
      <c r="N9" s="1129"/>
      <c r="O9" s="1130"/>
      <c r="P9" s="3207" t="s">
        <v>2547</v>
      </c>
      <c r="Q9" s="1791" t="str">
        <f t="shared" ref="Q9:Q15" si="6">B9</f>
        <v>用途</v>
      </c>
      <c r="R9" s="769" t="s">
        <v>17</v>
      </c>
      <c r="S9" s="770">
        <f t="shared" si="0"/>
        <v>100</v>
      </c>
      <c r="T9" s="769" t="s">
        <v>17</v>
      </c>
      <c r="U9" s="770">
        <f t="shared" si="1"/>
        <v>100</v>
      </c>
      <c r="V9" s="769" t="s">
        <v>17</v>
      </c>
      <c r="W9" s="770">
        <f t="shared" si="2"/>
        <v>100</v>
      </c>
      <c r="X9" s="771"/>
      <c r="Y9" s="3051"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104</v>
      </c>
      <c r="G10" s="431"/>
      <c r="H10" s="135">
        <f>ROUND(100/'数据-取费表'!G16,0)</f>
        <v>104</v>
      </c>
      <c r="I10" s="431"/>
      <c r="J10" s="135">
        <f>ROUND(100/'数据-取费表'!G16,0)</f>
        <v>104</v>
      </c>
      <c r="K10" s="671"/>
      <c r="L10" s="1131"/>
      <c r="M10" s="1132"/>
      <c r="N10" s="1132"/>
      <c r="O10" s="1133"/>
      <c r="P10" s="3207"/>
      <c r="Q10" s="1791" t="str">
        <f t="shared" si="6"/>
        <v>土地使用年限（年）</v>
      </c>
      <c r="R10" s="769" t="s">
        <v>17</v>
      </c>
      <c r="S10" s="770">
        <f t="shared" si="0"/>
        <v>104</v>
      </c>
      <c r="T10" s="769" t="s">
        <v>17</v>
      </c>
      <c r="U10" s="770">
        <f t="shared" si="1"/>
        <v>104</v>
      </c>
      <c r="V10" s="769" t="s">
        <v>17</v>
      </c>
      <c r="W10" s="770">
        <f t="shared" si="2"/>
        <v>104</v>
      </c>
      <c r="X10" s="771"/>
      <c r="Y10" s="3051"/>
      <c r="Z10" s="55" t="str">
        <f t="shared" si="7"/>
        <v>土地使用年限（年）</v>
      </c>
      <c r="AA10" s="772">
        <f t="shared" si="3"/>
        <v>0.96153846153846156</v>
      </c>
      <c r="AB10" s="772">
        <f t="shared" si="4"/>
        <v>0.96153846153846156</v>
      </c>
      <c r="AC10" s="772">
        <f t="shared" si="5"/>
        <v>0.96153846153846156</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07"/>
      <c r="Q11" s="1791" t="str">
        <f t="shared" si="6"/>
        <v>容积率</v>
      </c>
      <c r="R11" s="769" t="s">
        <v>17</v>
      </c>
      <c r="S11" s="770" t="e">
        <f t="shared" si="0"/>
        <v>#N/A</v>
      </c>
      <c r="T11" s="769" t="s">
        <v>17</v>
      </c>
      <c r="U11" s="770" t="e">
        <f t="shared" si="1"/>
        <v>#N/A</v>
      </c>
      <c r="V11" s="769" t="s">
        <v>17</v>
      </c>
      <c r="W11" s="770" t="e">
        <f t="shared" si="2"/>
        <v>#N/A</v>
      </c>
      <c r="X11" s="771"/>
      <c r="Y11" s="3051"/>
      <c r="Z11" s="55"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07"/>
      <c r="Q12" s="1791">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07"/>
      <c r="Q13" s="1791">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07"/>
      <c r="Q14" s="1791">
        <f t="shared" si="6"/>
        <v>111</v>
      </c>
      <c r="R14" s="769" t="s">
        <v>17</v>
      </c>
      <c r="S14" s="770">
        <f t="shared" si="0"/>
        <v>100</v>
      </c>
      <c r="T14" s="769" t="s">
        <v>17</v>
      </c>
      <c r="U14" s="770">
        <f t="shared" si="1"/>
        <v>100</v>
      </c>
      <c r="V14" s="769" t="s">
        <v>17</v>
      </c>
      <c r="W14" s="770">
        <f t="shared" si="2"/>
        <v>100</v>
      </c>
      <c r="X14" s="771"/>
      <c r="Y14" s="3051"/>
      <c r="Z14" s="55">
        <f t="shared" si="7"/>
        <v>111</v>
      </c>
      <c r="AA14" s="772">
        <f t="shared" si="3"/>
        <v>1</v>
      </c>
      <c r="AB14" s="772">
        <f t="shared" si="4"/>
        <v>1</v>
      </c>
      <c r="AC14" s="772">
        <f t="shared" si="5"/>
        <v>1</v>
      </c>
    </row>
    <row r="15" spans="1:29" ht="57">
      <c r="A15" s="439" t="s">
        <v>2551</v>
      </c>
      <c r="B15" s="628" t="s">
        <v>2788</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09" t="s">
        <v>2552</v>
      </c>
      <c r="Q15" s="1806" t="str">
        <f t="shared" si="6"/>
        <v>产业集聚程度</v>
      </c>
      <c r="R15" s="773" t="s">
        <v>17</v>
      </c>
      <c r="S15" s="774">
        <f t="shared" si="0"/>
        <v>100</v>
      </c>
      <c r="T15" s="773" t="s">
        <v>17</v>
      </c>
      <c r="U15" s="774">
        <f t="shared" si="1"/>
        <v>100</v>
      </c>
      <c r="V15" s="773" t="s">
        <v>17</v>
      </c>
      <c r="W15" s="774">
        <f t="shared" si="2"/>
        <v>100</v>
      </c>
      <c r="X15" s="1809"/>
      <c r="Y15" s="3209" t="s">
        <v>2552</v>
      </c>
      <c r="Z15" s="1810" t="str">
        <f t="shared" si="7"/>
        <v>产业集聚程度</v>
      </c>
      <c r="AA15" s="1807">
        <f t="shared" si="3"/>
        <v>1</v>
      </c>
      <c r="AB15" s="1807">
        <f t="shared" si="4"/>
        <v>1</v>
      </c>
      <c r="AC15" s="1807">
        <f t="shared" si="5"/>
        <v>1</v>
      </c>
    </row>
    <row r="16" spans="1:29" ht="15">
      <c r="A16" s="427"/>
      <c r="B16" s="629"/>
      <c r="C16" s="446"/>
      <c r="D16" s="447"/>
      <c r="E16" s="2604"/>
      <c r="F16" s="447"/>
      <c r="G16" s="2604"/>
      <c r="H16" s="449"/>
      <c r="I16" s="2604"/>
      <c r="J16" s="447"/>
      <c r="K16" s="671"/>
      <c r="L16" s="1136"/>
      <c r="M16" s="1127"/>
      <c r="N16" s="1127"/>
      <c r="O16" s="1135"/>
      <c r="P16" s="3210"/>
      <c r="Q16" s="1806"/>
      <c r="R16" s="773"/>
      <c r="S16" s="774"/>
      <c r="T16" s="773"/>
      <c r="U16" s="774"/>
      <c r="V16" s="773"/>
      <c r="W16" s="774"/>
      <c r="X16" s="1809"/>
      <c r="Y16" s="3210"/>
      <c r="Z16" s="1810"/>
      <c r="AA16" s="1807">
        <v>1</v>
      </c>
      <c r="AB16" s="1807">
        <v>1</v>
      </c>
      <c r="AC16" s="1807">
        <v>1</v>
      </c>
    </row>
    <row r="17" spans="1:29" ht="85.5">
      <c r="A17" s="427"/>
      <c r="B17" s="630" t="s">
        <v>2701</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10"/>
      <c r="Q17" s="1806" t="str">
        <f>B17</f>
        <v>交通便捷度</v>
      </c>
      <c r="R17" s="773" t="s">
        <v>17</v>
      </c>
      <c r="S17" s="774">
        <f>F17</f>
        <v>100</v>
      </c>
      <c r="T17" s="773" t="s">
        <v>17</v>
      </c>
      <c r="U17" s="774">
        <f>H17</f>
        <v>100</v>
      </c>
      <c r="V17" s="773" t="s">
        <v>17</v>
      </c>
      <c r="W17" s="774">
        <f>J17</f>
        <v>100</v>
      </c>
      <c r="X17" s="1809"/>
      <c r="Y17" s="3210"/>
      <c r="Z17" s="1810" t="str">
        <f>Q17</f>
        <v>交通便捷度</v>
      </c>
      <c r="AA17" s="1807">
        <f t="shared" si="3"/>
        <v>1</v>
      </c>
      <c r="AB17" s="1807">
        <f t="shared" si="4"/>
        <v>1</v>
      </c>
      <c r="AC17" s="1807">
        <f t="shared" si="5"/>
        <v>1</v>
      </c>
    </row>
    <row r="18" spans="1:29" ht="15">
      <c r="A18" s="427"/>
      <c r="B18" s="631"/>
      <c r="C18" s="446"/>
      <c r="D18" s="447"/>
      <c r="E18" s="2598"/>
      <c r="F18" s="447"/>
      <c r="G18" s="2598"/>
      <c r="H18" s="447"/>
      <c r="I18" s="2597"/>
      <c r="J18" s="447"/>
      <c r="K18" s="671"/>
      <c r="L18" s="1136"/>
      <c r="M18" s="1127"/>
      <c r="N18" s="1127"/>
      <c r="O18" s="1135"/>
      <c r="P18" s="3210"/>
      <c r="Q18" s="1806"/>
      <c r="R18" s="773"/>
      <c r="S18" s="774"/>
      <c r="T18" s="773"/>
      <c r="U18" s="774"/>
      <c r="V18" s="773"/>
      <c r="W18" s="774"/>
      <c r="X18" s="1809"/>
      <c r="Y18" s="3210"/>
      <c r="Z18" s="1810"/>
      <c r="AA18" s="1807">
        <v>1</v>
      </c>
      <c r="AB18" s="1807">
        <v>1</v>
      </c>
      <c r="AC18" s="1807">
        <v>1</v>
      </c>
    </row>
    <row r="19" spans="1:29" ht="15">
      <c r="A19" s="427"/>
      <c r="B19" s="630" t="s">
        <v>2740</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10"/>
      <c r="Q19" s="1806" t="str">
        <f t="shared" ref="Q19:Q33" si="8">B19</f>
        <v>区域土地利用方向</v>
      </c>
      <c r="R19" s="773" t="s">
        <v>17</v>
      </c>
      <c r="S19" s="774">
        <f>F19</f>
        <v>100</v>
      </c>
      <c r="T19" s="773" t="s">
        <v>17</v>
      </c>
      <c r="U19" s="774">
        <f>H19</f>
        <v>100</v>
      </c>
      <c r="V19" s="773" t="s">
        <v>17</v>
      </c>
      <c r="W19" s="774">
        <f>J19</f>
        <v>100</v>
      </c>
      <c r="X19" s="1809"/>
      <c r="Y19" s="3210"/>
      <c r="Z19" s="1810" t="str">
        <f>Q19</f>
        <v>区域土地利用方向</v>
      </c>
      <c r="AA19" s="1807">
        <f t="shared" si="3"/>
        <v>1</v>
      </c>
      <c r="AB19" s="1807">
        <f t="shared" si="4"/>
        <v>1</v>
      </c>
      <c r="AC19" s="1807">
        <f t="shared" si="5"/>
        <v>1</v>
      </c>
    </row>
    <row r="20" spans="1:29" ht="15">
      <c r="A20" s="403"/>
      <c r="B20" s="631"/>
      <c r="C20" s="446"/>
      <c r="D20" s="447"/>
      <c r="E20" s="2598"/>
      <c r="F20" s="447"/>
      <c r="G20" s="2598"/>
      <c r="H20" s="447"/>
      <c r="I20" s="2598"/>
      <c r="J20" s="447"/>
      <c r="K20" s="805"/>
      <c r="L20" s="1136"/>
      <c r="M20" s="1127"/>
      <c r="N20" s="1127"/>
      <c r="O20" s="1135"/>
      <c r="P20" s="3210"/>
      <c r="Q20" s="1806"/>
      <c r="R20" s="773"/>
      <c r="S20" s="774"/>
      <c r="T20" s="773"/>
      <c r="U20" s="774"/>
      <c r="V20" s="773"/>
      <c r="W20" s="774"/>
      <c r="X20" s="1809"/>
      <c r="Y20" s="3210"/>
      <c r="Z20" s="1810"/>
      <c r="AA20" s="1807"/>
      <c r="AB20" s="1807"/>
      <c r="AC20" s="1807"/>
    </row>
    <row r="21" spans="1:29" ht="71.25">
      <c r="A21" s="403"/>
      <c r="B21" s="630" t="s">
        <v>2789</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10"/>
      <c r="Q21" s="1806" t="str">
        <f t="shared" si="8"/>
        <v>环境状况</v>
      </c>
      <c r="R21" s="773" t="s">
        <v>17</v>
      </c>
      <c r="S21" s="774">
        <f>F21</f>
        <v>100</v>
      </c>
      <c r="T21" s="773" t="s">
        <v>17</v>
      </c>
      <c r="U21" s="774">
        <f>H21</f>
        <v>100</v>
      </c>
      <c r="V21" s="773" t="s">
        <v>17</v>
      </c>
      <c r="W21" s="774">
        <f>J21</f>
        <v>100</v>
      </c>
      <c r="X21" s="1809"/>
      <c r="Y21" s="3210"/>
      <c r="Z21" s="1810" t="str">
        <f>Q21</f>
        <v>环境状况</v>
      </c>
      <c r="AA21" s="1807">
        <f t="shared" si="3"/>
        <v>1</v>
      </c>
      <c r="AB21" s="1807">
        <f t="shared" si="4"/>
        <v>1</v>
      </c>
      <c r="AC21" s="1807">
        <f t="shared" si="5"/>
        <v>1</v>
      </c>
    </row>
    <row r="22" spans="1:29" ht="15">
      <c r="A22" s="403"/>
      <c r="B22" s="631"/>
      <c r="C22" s="446"/>
      <c r="D22" s="447"/>
      <c r="E22" s="2604"/>
      <c r="F22" s="447"/>
      <c r="G22" s="2604"/>
      <c r="H22" s="447"/>
      <c r="I22" s="446"/>
      <c r="J22" s="447"/>
      <c r="K22" s="671"/>
      <c r="L22" s="1136"/>
      <c r="M22" s="1127"/>
      <c r="N22" s="1127"/>
      <c r="O22" s="1135"/>
      <c r="P22" s="3210"/>
      <c r="Q22" s="1806"/>
      <c r="R22" s="773"/>
      <c r="S22" s="774"/>
      <c r="T22" s="773"/>
      <c r="U22" s="774"/>
      <c r="V22" s="773"/>
      <c r="W22" s="774"/>
      <c r="X22" s="1809"/>
      <c r="Y22" s="3210"/>
      <c r="Z22" s="1810"/>
      <c r="AA22" s="1807">
        <v>1</v>
      </c>
      <c r="AB22" s="1807">
        <v>1</v>
      </c>
      <c r="AC22" s="1807">
        <v>1</v>
      </c>
    </row>
    <row r="23" spans="1:29" s="116" customFormat="1" ht="42.75">
      <c r="A23" s="648"/>
      <c r="B23" s="632" t="s">
        <v>2646</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10"/>
      <c r="Q23" s="1791" t="str">
        <f t="shared" si="8"/>
        <v>公共配套设施</v>
      </c>
      <c r="R23" s="769" t="s">
        <v>17</v>
      </c>
      <c r="S23" s="770">
        <f>F23</f>
        <v>100</v>
      </c>
      <c r="T23" s="769" t="s">
        <v>17</v>
      </c>
      <c r="U23" s="770">
        <f>H23</f>
        <v>100</v>
      </c>
      <c r="V23" s="769" t="s">
        <v>17</v>
      </c>
      <c r="W23" s="770">
        <f>J23</f>
        <v>100</v>
      </c>
      <c r="X23" s="771"/>
      <c r="Y23" s="3210"/>
      <c r="Z23" s="55" t="str">
        <f>Q23</f>
        <v>公共配套设施</v>
      </c>
      <c r="AA23" s="1807">
        <f>D23/F23</f>
        <v>1</v>
      </c>
      <c r="AB23" s="1807">
        <f>D23/H23</f>
        <v>1</v>
      </c>
      <c r="AC23" s="1807">
        <f>D23/J23</f>
        <v>1</v>
      </c>
    </row>
    <row r="24" spans="1:29" s="116" customFormat="1" ht="15">
      <c r="A24" s="648"/>
      <c r="B24" s="631"/>
      <c r="C24" s="2693"/>
      <c r="D24" s="447"/>
      <c r="E24" s="2604"/>
      <c r="F24" s="447"/>
      <c r="G24" s="2604"/>
      <c r="H24" s="447"/>
      <c r="I24" s="446"/>
      <c r="J24" s="447"/>
      <c r="K24" s="671"/>
      <c r="L24" s="1128"/>
      <c r="M24" s="1129"/>
      <c r="N24" s="1129"/>
      <c r="O24" s="1130"/>
      <c r="P24" s="3210"/>
      <c r="Q24" s="1791"/>
      <c r="R24" s="769"/>
      <c r="S24" s="770"/>
      <c r="T24" s="769"/>
      <c r="U24" s="770"/>
      <c r="V24" s="769"/>
      <c r="W24" s="770"/>
      <c r="X24" s="771"/>
      <c r="Y24" s="3210"/>
      <c r="Z24" s="55"/>
      <c r="AA24" s="772">
        <v>1</v>
      </c>
      <c r="AB24" s="772">
        <v>1</v>
      </c>
      <c r="AC24" s="772">
        <v>1</v>
      </c>
    </row>
    <row r="25" spans="1:29" s="116" customFormat="1" ht="28.5">
      <c r="A25" s="648"/>
      <c r="B25" s="632" t="s">
        <v>2647</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10"/>
      <c r="Q25" s="1791" t="str">
        <f t="shared" ref="Q25" si="9">B25</f>
        <v>基础设施水平</v>
      </c>
      <c r="R25" s="769" t="s">
        <v>17</v>
      </c>
      <c r="S25" s="770">
        <f>F25</f>
        <v>100</v>
      </c>
      <c r="T25" s="769" t="s">
        <v>17</v>
      </c>
      <c r="U25" s="770">
        <f>H25</f>
        <v>100</v>
      </c>
      <c r="V25" s="769" t="s">
        <v>17</v>
      </c>
      <c r="W25" s="770">
        <f>J25</f>
        <v>100</v>
      </c>
      <c r="X25" s="771"/>
      <c r="Y25" s="3210"/>
      <c r="Z25" s="55" t="str">
        <f>Q25</f>
        <v>基础设施水平</v>
      </c>
      <c r="AA25" s="1807">
        <f>D25/F25</f>
        <v>1</v>
      </c>
      <c r="AB25" s="1807">
        <f>D25/H25</f>
        <v>1</v>
      </c>
      <c r="AC25" s="1807">
        <f>D25/J25</f>
        <v>1</v>
      </c>
    </row>
    <row r="26" spans="1:29" s="116" customFormat="1" ht="15">
      <c r="A26" s="648"/>
      <c r="B26" s="631"/>
      <c r="C26" s="2693"/>
      <c r="D26" s="447"/>
      <c r="E26" s="2694"/>
      <c r="F26" s="447"/>
      <c r="G26" s="2694"/>
      <c r="H26" s="447"/>
      <c r="I26" s="2694"/>
      <c r="J26" s="447"/>
      <c r="K26" s="671"/>
      <c r="L26" s="1128"/>
      <c r="M26" s="1129"/>
      <c r="N26" s="1129"/>
      <c r="O26" s="1130"/>
      <c r="P26" s="3210"/>
      <c r="Q26" s="1791"/>
      <c r="R26" s="769"/>
      <c r="S26" s="770"/>
      <c r="T26" s="769"/>
      <c r="U26" s="770"/>
      <c r="V26" s="769"/>
      <c r="W26" s="770"/>
      <c r="X26" s="771"/>
      <c r="Y26" s="3210"/>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10"/>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10"/>
      <c r="Z27" s="1810" t="str">
        <f t="shared" ref="Z27:Z40" si="13">Q27</f>
        <v>临街状况</v>
      </c>
      <c r="AA27" s="1807">
        <f t="shared" si="3"/>
        <v>1</v>
      </c>
      <c r="AB27" s="1807">
        <f t="shared" si="4"/>
        <v>1</v>
      </c>
      <c r="AC27" s="1807">
        <f t="shared" si="5"/>
        <v>1</v>
      </c>
    </row>
    <row r="28" spans="1:29" ht="27">
      <c r="A28" s="427"/>
      <c r="B28" s="632" t="s">
        <v>2683</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10"/>
      <c r="Q28" s="1806" t="str">
        <f t="shared" si="8"/>
        <v>毗邻道路的类型与等级</v>
      </c>
      <c r="R28" s="773" t="s">
        <v>17</v>
      </c>
      <c r="S28" s="774">
        <f t="shared" si="10"/>
        <v>100</v>
      </c>
      <c r="T28" s="773" t="s">
        <v>17</v>
      </c>
      <c r="U28" s="774">
        <f t="shared" si="11"/>
        <v>100</v>
      </c>
      <c r="V28" s="773" t="s">
        <v>17</v>
      </c>
      <c r="W28" s="774">
        <f t="shared" si="12"/>
        <v>100</v>
      </c>
      <c r="X28" s="1809"/>
      <c r="Y28" s="3210"/>
      <c r="Z28" s="1810" t="str">
        <f t="shared" si="13"/>
        <v>毗邻道路的类型与等级</v>
      </c>
      <c r="AA28" s="1807">
        <f t="shared" si="3"/>
        <v>1</v>
      </c>
      <c r="AB28" s="1807">
        <f t="shared" si="4"/>
        <v>1</v>
      </c>
      <c r="AC28" s="1807">
        <f t="shared" si="5"/>
        <v>1</v>
      </c>
    </row>
    <row r="29" spans="1:29" ht="15">
      <c r="A29" s="427"/>
      <c r="B29" s="631"/>
      <c r="C29" s="446"/>
      <c r="D29" s="447"/>
      <c r="E29" s="2604"/>
      <c r="F29" s="447"/>
      <c r="G29" s="2604"/>
      <c r="H29" s="447"/>
      <c r="I29" s="2604"/>
      <c r="J29" s="447"/>
      <c r="K29" s="612"/>
      <c r="L29" s="1136"/>
      <c r="M29" s="1127"/>
      <c r="N29" s="1127"/>
      <c r="O29" s="1135"/>
      <c r="P29" s="3210"/>
      <c r="Q29" s="1806"/>
      <c r="R29" s="773"/>
      <c r="S29" s="774"/>
      <c r="T29" s="773"/>
      <c r="U29" s="774"/>
      <c r="V29" s="773"/>
      <c r="W29" s="774"/>
      <c r="X29" s="1809"/>
      <c r="Y29" s="3210"/>
      <c r="Z29" s="1810"/>
      <c r="AA29" s="1807">
        <v>1</v>
      </c>
      <c r="AB29" s="1807">
        <v>1</v>
      </c>
      <c r="AC29" s="1807">
        <v>1</v>
      </c>
    </row>
    <row r="30" spans="1:29" ht="15">
      <c r="A30" s="427"/>
      <c r="B30" s="653" t="s">
        <v>2742</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10"/>
      <c r="Q30" s="1806" t="str">
        <f t="shared" si="8"/>
        <v>土地级别</v>
      </c>
      <c r="R30" s="773" t="s">
        <v>17</v>
      </c>
      <c r="S30" s="774">
        <f t="shared" si="10"/>
        <v>100</v>
      </c>
      <c r="T30" s="773" t="s">
        <v>17</v>
      </c>
      <c r="U30" s="774">
        <f t="shared" si="11"/>
        <v>100</v>
      </c>
      <c r="V30" s="773" t="s">
        <v>17</v>
      </c>
      <c r="W30" s="774">
        <f t="shared" si="12"/>
        <v>100</v>
      </c>
      <c r="X30" s="1809"/>
      <c r="Y30" s="3210"/>
      <c r="Z30" s="1810" t="str">
        <f t="shared" si="13"/>
        <v>土地级别</v>
      </c>
      <c r="AA30" s="1807">
        <f t="shared" si="3"/>
        <v>1</v>
      </c>
      <c r="AB30" s="1807">
        <f t="shared" si="4"/>
        <v>1</v>
      </c>
      <c r="AC30" s="1807">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10"/>
      <c r="Q31" s="1806">
        <f t="shared" si="8"/>
        <v>111</v>
      </c>
      <c r="R31" s="773" t="s">
        <v>17</v>
      </c>
      <c r="S31" s="774">
        <f t="shared" si="10"/>
        <v>100</v>
      </c>
      <c r="T31" s="773" t="s">
        <v>17</v>
      </c>
      <c r="U31" s="774">
        <f t="shared" si="11"/>
        <v>100</v>
      </c>
      <c r="V31" s="773" t="s">
        <v>17</v>
      </c>
      <c r="W31" s="774">
        <f t="shared" si="12"/>
        <v>100</v>
      </c>
      <c r="X31" s="1809"/>
      <c r="Y31" s="3210"/>
      <c r="Z31" s="1810">
        <f t="shared" si="13"/>
        <v>111</v>
      </c>
      <c r="AA31" s="1807">
        <f t="shared" si="3"/>
        <v>1</v>
      </c>
      <c r="AB31" s="1807">
        <f t="shared" si="4"/>
        <v>1</v>
      </c>
      <c r="AC31" s="1807">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211" t="s">
        <v>2557</v>
      </c>
      <c r="Q32" s="1806">
        <f t="shared" si="8"/>
        <v>111</v>
      </c>
      <c r="R32" s="773" t="s">
        <v>17</v>
      </c>
      <c r="S32" s="774">
        <f t="shared" si="10"/>
        <v>100</v>
      </c>
      <c r="T32" s="773" t="s">
        <v>17</v>
      </c>
      <c r="U32" s="774">
        <f t="shared" si="11"/>
        <v>100</v>
      </c>
      <c r="V32" s="773" t="s">
        <v>17</v>
      </c>
      <c r="W32" s="774">
        <f t="shared" si="12"/>
        <v>100</v>
      </c>
      <c r="X32" s="1809"/>
      <c r="Y32" s="3212" t="s">
        <v>2557</v>
      </c>
      <c r="Z32" s="1810">
        <f t="shared" si="13"/>
        <v>111</v>
      </c>
      <c r="AA32" s="1807">
        <f t="shared" si="3"/>
        <v>1</v>
      </c>
      <c r="AB32" s="1807">
        <f t="shared" si="4"/>
        <v>1</v>
      </c>
      <c r="AC32" s="1807">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12"/>
      <c r="Q33" s="1806">
        <f t="shared" si="8"/>
        <v>111</v>
      </c>
      <c r="R33" s="776" t="s">
        <v>17</v>
      </c>
      <c r="S33" s="777">
        <f t="shared" si="10"/>
        <v>100</v>
      </c>
      <c r="T33" s="776" t="s">
        <v>17</v>
      </c>
      <c r="U33" s="777">
        <f t="shared" si="11"/>
        <v>100</v>
      </c>
      <c r="V33" s="776" t="s">
        <v>17</v>
      </c>
      <c r="W33" s="777">
        <f t="shared" si="12"/>
        <v>100</v>
      </c>
      <c r="X33" s="778"/>
      <c r="Y33" s="3212"/>
      <c r="Z33" s="779">
        <f t="shared" si="13"/>
        <v>111</v>
      </c>
      <c r="AA33" s="1807">
        <f t="shared" si="3"/>
        <v>1</v>
      </c>
      <c r="AB33" s="1807">
        <f t="shared" si="4"/>
        <v>1</v>
      </c>
      <c r="AC33" s="1807">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12"/>
      <c r="Q34" s="1806" t="str">
        <f>B34</f>
        <v>宗地面积</v>
      </c>
      <c r="R34" s="773" t="s">
        <v>17</v>
      </c>
      <c r="S34" s="774" t="e">
        <f t="shared" si="10"/>
        <v>#N/A</v>
      </c>
      <c r="T34" s="773" t="s">
        <v>17</v>
      </c>
      <c r="U34" s="774" t="e">
        <f t="shared" si="11"/>
        <v>#N/A</v>
      </c>
      <c r="V34" s="773" t="s">
        <v>17</v>
      </c>
      <c r="W34" s="774" t="e">
        <f t="shared" si="12"/>
        <v>#N/A</v>
      </c>
      <c r="X34" s="1809"/>
      <c r="Y34" s="3212"/>
      <c r="Z34" s="1810" t="str">
        <f t="shared" si="13"/>
        <v>宗地面积</v>
      </c>
      <c r="AA34" s="1807" t="e">
        <f t="shared" si="3"/>
        <v>#N/A</v>
      </c>
      <c r="AB34" s="1807" t="e">
        <f t="shared" si="4"/>
        <v>#N/A</v>
      </c>
      <c r="AC34" s="1807" t="e">
        <f t="shared" si="5"/>
        <v>#N/A</v>
      </c>
    </row>
    <row r="35" spans="1:29" ht="15">
      <c r="A35" s="471"/>
      <c r="B35" s="421" t="s">
        <v>2744</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212"/>
      <c r="Q35" s="1806" t="str">
        <f t="shared" ref="Q35:Q40" si="14">B35</f>
        <v>宗地形状</v>
      </c>
      <c r="R35" s="773" t="s">
        <v>17</v>
      </c>
      <c r="S35" s="774">
        <f t="shared" si="10"/>
        <v>100</v>
      </c>
      <c r="T35" s="773" t="s">
        <v>17</v>
      </c>
      <c r="U35" s="774">
        <f t="shared" si="11"/>
        <v>100</v>
      </c>
      <c r="V35" s="773" t="s">
        <v>17</v>
      </c>
      <c r="W35" s="774">
        <f t="shared" si="12"/>
        <v>100</v>
      </c>
      <c r="X35" s="1809"/>
      <c r="Y35" s="3212"/>
      <c r="Z35" s="1810" t="str">
        <f t="shared" si="13"/>
        <v>宗地形状</v>
      </c>
      <c r="AA35" s="1807">
        <f t="shared" si="3"/>
        <v>1</v>
      </c>
      <c r="AB35" s="1807">
        <f t="shared" si="4"/>
        <v>1</v>
      </c>
      <c r="AC35" s="1807">
        <f t="shared" si="5"/>
        <v>1</v>
      </c>
    </row>
    <row r="36" spans="1:29" s="116" customFormat="1" ht="15">
      <c r="A36" s="472"/>
      <c r="B36" s="421" t="s">
        <v>2746</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8"/>
      <c r="M36" s="1129"/>
      <c r="N36" s="1129"/>
      <c r="O36" s="1130"/>
      <c r="P36" s="3212"/>
      <c r="Q36" s="1806" t="str">
        <f t="shared" si="14"/>
        <v>宗地开发程度</v>
      </c>
      <c r="R36" s="769" t="s">
        <v>17</v>
      </c>
      <c r="S36" s="770">
        <f t="shared" si="10"/>
        <v>100</v>
      </c>
      <c r="T36" s="769" t="s">
        <v>17</v>
      </c>
      <c r="U36" s="770">
        <f t="shared" si="11"/>
        <v>100</v>
      </c>
      <c r="V36" s="769" t="s">
        <v>17</v>
      </c>
      <c r="W36" s="770">
        <f t="shared" si="12"/>
        <v>100</v>
      </c>
      <c r="X36" s="771"/>
      <c r="Y36" s="3212"/>
      <c r="Z36" s="55" t="str">
        <f t="shared" si="13"/>
        <v>宗地开发程度</v>
      </c>
      <c r="AA36" s="772">
        <f t="shared" si="3"/>
        <v>1</v>
      </c>
      <c r="AB36" s="772">
        <f t="shared" si="4"/>
        <v>1</v>
      </c>
      <c r="AC36" s="772">
        <f t="shared" si="5"/>
        <v>1</v>
      </c>
    </row>
    <row r="37" spans="1:29" ht="15">
      <c r="A37" s="471"/>
      <c r="B37" s="421" t="s">
        <v>2747</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212" t="s">
        <v>2557</v>
      </c>
      <c r="Q37" s="1806" t="str">
        <f t="shared" si="14"/>
        <v>工程地质条件</v>
      </c>
      <c r="R37" s="773" t="s">
        <v>17</v>
      </c>
      <c r="S37" s="774">
        <f t="shared" si="10"/>
        <v>100</v>
      </c>
      <c r="T37" s="773" t="s">
        <v>17</v>
      </c>
      <c r="U37" s="774">
        <f t="shared" si="11"/>
        <v>100</v>
      </c>
      <c r="V37" s="773" t="s">
        <v>17</v>
      </c>
      <c r="W37" s="774">
        <f t="shared" si="12"/>
        <v>100</v>
      </c>
      <c r="X37" s="1809"/>
      <c r="Y37" s="3212" t="s">
        <v>2557</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12"/>
      <c r="Q38" s="1806">
        <f t="shared" si="14"/>
        <v>111</v>
      </c>
      <c r="R38" s="773" t="s">
        <v>17</v>
      </c>
      <c r="S38" s="774">
        <f t="shared" si="10"/>
        <v>100</v>
      </c>
      <c r="T38" s="773" t="s">
        <v>17</v>
      </c>
      <c r="U38" s="774">
        <f t="shared" si="11"/>
        <v>100</v>
      </c>
      <c r="V38" s="773" t="s">
        <v>17</v>
      </c>
      <c r="W38" s="774">
        <f t="shared" si="12"/>
        <v>100</v>
      </c>
      <c r="X38" s="1809"/>
      <c r="Y38" s="3212"/>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12"/>
      <c r="Q39" s="1806">
        <f t="shared" si="14"/>
        <v>111</v>
      </c>
      <c r="R39" s="773" t="s">
        <v>17</v>
      </c>
      <c r="S39" s="774">
        <f t="shared" si="10"/>
        <v>100</v>
      </c>
      <c r="T39" s="773" t="s">
        <v>17</v>
      </c>
      <c r="U39" s="774">
        <f t="shared" si="11"/>
        <v>100</v>
      </c>
      <c r="V39" s="773" t="s">
        <v>17</v>
      </c>
      <c r="W39" s="774">
        <f t="shared" si="12"/>
        <v>100</v>
      </c>
      <c r="X39" s="1809"/>
      <c r="Y39" s="3212"/>
      <c r="Z39" s="1810">
        <f t="shared" si="13"/>
        <v>111</v>
      </c>
      <c r="AA39" s="1807">
        <f t="shared" si="3"/>
        <v>1</v>
      </c>
      <c r="AB39" s="1807">
        <f t="shared" si="4"/>
        <v>1</v>
      </c>
      <c r="AC39" s="1807">
        <f t="shared" si="5"/>
        <v>1</v>
      </c>
    </row>
    <row r="40" spans="1:29" s="470" customFormat="1" ht="15.75" thickBot="1">
      <c r="A40" s="467"/>
      <c r="B40" s="1383">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12"/>
      <c r="Q40" s="1806">
        <f t="shared" si="14"/>
        <v>111</v>
      </c>
      <c r="R40" s="776" t="s">
        <v>17</v>
      </c>
      <c r="S40" s="777">
        <f t="shared" si="10"/>
        <v>100</v>
      </c>
      <c r="T40" s="776" t="s">
        <v>17</v>
      </c>
      <c r="U40" s="777">
        <f t="shared" si="11"/>
        <v>100</v>
      </c>
      <c r="V40" s="776" t="s">
        <v>17</v>
      </c>
      <c r="W40" s="777">
        <f t="shared" si="12"/>
        <v>100</v>
      </c>
      <c r="X40" s="778"/>
      <c r="Y40" s="3212"/>
      <c r="Z40" s="779">
        <f t="shared" si="13"/>
        <v>111</v>
      </c>
      <c r="AA40" s="1807">
        <f t="shared" si="3"/>
        <v>1</v>
      </c>
      <c r="AB40" s="1807">
        <f t="shared" si="4"/>
        <v>1</v>
      </c>
      <c r="AC40" s="1807">
        <f t="shared" si="5"/>
        <v>1</v>
      </c>
    </row>
    <row r="41" spans="1:29" ht="15">
      <c r="A41" s="478" t="s">
        <v>2712</v>
      </c>
      <c r="B41" s="2697" t="s">
        <v>2790</v>
      </c>
      <c r="C41" s="681" t="s">
        <v>1</v>
      </c>
      <c r="D41" s="480"/>
      <c r="E41" s="481"/>
      <c r="F41" s="482"/>
      <c r="G41" s="483"/>
      <c r="H41" s="484"/>
      <c r="I41" s="481"/>
      <c r="J41" s="484"/>
      <c r="K41" s="782"/>
      <c r="L41" s="1139"/>
      <c r="M41" s="1127"/>
      <c r="N41" s="1127"/>
      <c r="O41" s="1140"/>
      <c r="P41" s="3207" t="str">
        <f>A41</f>
        <v>成交单价</v>
      </c>
      <c r="Q41" s="3207"/>
      <c r="R41" s="3213">
        <f>E41</f>
        <v>0</v>
      </c>
      <c r="S41" s="3213"/>
      <c r="T41" s="3213">
        <f>G41</f>
        <v>0</v>
      </c>
      <c r="U41" s="3213"/>
      <c r="V41" s="3213">
        <f>I41</f>
        <v>0</v>
      </c>
      <c r="W41" s="3213"/>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39"/>
      <c r="M42" s="1127"/>
      <c r="N42" s="1127"/>
      <c r="O42" s="1140"/>
      <c r="P42" s="3207" t="str">
        <f>A42</f>
        <v>比较价值（元/平方米）</v>
      </c>
      <c r="Q42" s="3207"/>
      <c r="R42" s="3200" t="e">
        <f>ROUND(PRODUCT(R41,AA7:AA40),0)</f>
        <v>#DIV/0!</v>
      </c>
      <c r="S42" s="3200"/>
      <c r="T42" s="3200" t="e">
        <f>ROUND(PRODUCT(T41,AB7:AB40),0)</f>
        <v>#DIV/0!</v>
      </c>
      <c r="U42" s="3200"/>
      <c r="V42" s="3200" t="e">
        <f>ROUND(PRODUCT(V41,AC7:AC40),0)</f>
        <v>#DIV/0!</v>
      </c>
      <c r="W42" s="3200"/>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39"/>
      <c r="M43" s="1127"/>
      <c r="N43" s="1127"/>
      <c r="O43" s="1140"/>
      <c r="P43" s="3201" t="str">
        <f>A43</f>
        <v>估价对象XX用房的比较价值（楼面单价，元/平方米）</v>
      </c>
      <c r="Q43" s="3202"/>
      <c r="R43" s="3203" t="e">
        <f>ROUND(AVERAGE(R42:V42),0)</f>
        <v>#DIV/0!</v>
      </c>
      <c r="S43" s="3203"/>
      <c r="T43" s="3203"/>
      <c r="U43" s="3203"/>
      <c r="V43" s="3203"/>
      <c r="W43" s="3203"/>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2749</v>
      </c>
      <c r="B50" s="684" t="s">
        <v>2750</v>
      </c>
      <c r="C50" s="2698" t="s">
        <v>2751</v>
      </c>
      <c r="D50" s="2699" t="s">
        <v>2752</v>
      </c>
      <c r="E50" s="685" t="s">
        <v>2753</v>
      </c>
      <c r="F50" s="686" t="s">
        <v>2754</v>
      </c>
      <c r="G50" s="3204" t="s">
        <v>2755</v>
      </c>
      <c r="H50" s="3205"/>
      <c r="I50" s="1810" t="s">
        <v>2791</v>
      </c>
      <c r="J50" s="1810" t="str">
        <f>项目基本情况!F35</f>
        <v>陕西省西安市</v>
      </c>
      <c r="K50" s="2701" t="s">
        <v>2757</v>
      </c>
      <c r="L50" s="1102"/>
      <c r="M50" s="1140"/>
      <c r="N50" s="1140"/>
      <c r="O50" s="1140"/>
    </row>
    <row r="51" spans="1:17" s="691" customFormat="1">
      <c r="A51" s="687" t="s">
        <v>2758</v>
      </c>
      <c r="B51" s="688" t="e">
        <f>C43</f>
        <v>#DIV/0!</v>
      </c>
      <c r="C51" s="689">
        <v>1</v>
      </c>
      <c r="D51" s="1159">
        <v>1</v>
      </c>
      <c r="E51" s="689">
        <f>'数据-汇总表'!E8+'数据-汇总表'!E9</f>
        <v>64979.24</v>
      </c>
      <c r="F51" s="690" t="e">
        <f t="shared" ref="F51:F60" si="15">ROUND(B51*E51/10000,0)</f>
        <v>#DIV/0!</v>
      </c>
      <c r="G51" s="3206"/>
      <c r="H51" s="3207"/>
      <c r="I51" s="938">
        <v>1</v>
      </c>
      <c r="J51" s="938">
        <v>1</v>
      </c>
      <c r="K51" s="1141"/>
      <c r="L51" s="937"/>
      <c r="M51" s="937"/>
      <c r="N51" s="937"/>
      <c r="O51" s="937"/>
    </row>
    <row r="52" spans="1:17" s="691" customFormat="1">
      <c r="A52" s="692" t="s">
        <v>2759</v>
      </c>
      <c r="B52" s="261" t="e">
        <f>ROUND($C$43*C52*D52,0)</f>
        <v>#DIV/0!</v>
      </c>
      <c r="C52" s="199">
        <f t="shared" ref="C52:C60" si="16">IF($C$50="北京市系数",I52,J52)</f>
        <v>0</v>
      </c>
      <c r="D52" s="1160">
        <v>0.25</v>
      </c>
      <c r="E52" s="693"/>
      <c r="F52" s="690" t="e">
        <f t="shared" si="15"/>
        <v>#DIV/0!</v>
      </c>
      <c r="G52" s="3208" t="s">
        <v>2760</v>
      </c>
      <c r="H52" s="1100">
        <f>项目基本情况!B37</f>
        <v>0</v>
      </c>
      <c r="I52" s="938">
        <f>SUMIF(修正!A45:A56,H52,修正!B45:B56)</f>
        <v>0</v>
      </c>
      <c r="J52" s="939"/>
      <c r="K52" s="1140"/>
      <c r="L52" s="937"/>
      <c r="M52" s="937"/>
      <c r="N52" s="937"/>
      <c r="O52" s="937"/>
    </row>
    <row r="53" spans="1:17" s="691" customFormat="1">
      <c r="A53" s="692" t="s">
        <v>2761</v>
      </c>
      <c r="B53" s="261" t="e">
        <f t="shared" ref="B53:B60" si="17">ROUND($C$43*C53*D53,0)</f>
        <v>#DIV/0!</v>
      </c>
      <c r="C53" s="199">
        <f t="shared" si="16"/>
        <v>0</v>
      </c>
      <c r="D53" s="1160">
        <v>0.25</v>
      </c>
      <c r="E53" s="693"/>
      <c r="F53" s="690" t="e">
        <f t="shared" si="15"/>
        <v>#DIV/0!</v>
      </c>
      <c r="G53" s="3208"/>
      <c r="H53" s="1100">
        <f>项目基本情况!B37</f>
        <v>0</v>
      </c>
      <c r="I53" s="938">
        <f>SUMIF(修正!A45:A56,H53,修正!C45:C56)</f>
        <v>0</v>
      </c>
      <c r="J53" s="939"/>
      <c r="K53" s="1141"/>
      <c r="L53" s="937"/>
      <c r="M53" s="937"/>
      <c r="N53" s="937"/>
      <c r="O53" s="937"/>
    </row>
    <row r="54" spans="1:17" s="691" customFormat="1">
      <c r="A54" s="692" t="s">
        <v>2762</v>
      </c>
      <c r="B54" s="261" t="e">
        <f t="shared" si="17"/>
        <v>#DIV/0!</v>
      </c>
      <c r="C54" s="199">
        <f t="shared" si="16"/>
        <v>0</v>
      </c>
      <c r="D54" s="1160">
        <v>0.25</v>
      </c>
      <c r="E54" s="693"/>
      <c r="F54" s="690" t="e">
        <f t="shared" si="15"/>
        <v>#DIV/0!</v>
      </c>
      <c r="G54" s="3208"/>
      <c r="H54" s="1100">
        <f>项目基本情况!B37</f>
        <v>0</v>
      </c>
      <c r="I54" s="938">
        <f>SUMIF(修正!A45:A56,H54,修正!D45:D56)</f>
        <v>0</v>
      </c>
      <c r="J54" s="939"/>
      <c r="K54" s="1140"/>
      <c r="L54" s="937"/>
      <c r="M54" s="937"/>
      <c r="N54" s="937"/>
      <c r="O54" s="937"/>
    </row>
    <row r="55" spans="1:17" s="691" customFormat="1">
      <c r="A55" s="692" t="s">
        <v>2763</v>
      </c>
      <c r="B55" s="261" t="e">
        <f t="shared" si="17"/>
        <v>#DIV/0!</v>
      </c>
      <c r="C55" s="199">
        <f t="shared" si="16"/>
        <v>0</v>
      </c>
      <c r="D55" s="1160">
        <v>0.25</v>
      </c>
      <c r="E55" s="693"/>
      <c r="F55" s="690" t="e">
        <f t="shared" si="15"/>
        <v>#DIV/0!</v>
      </c>
      <c r="G55" s="3208"/>
      <c r="H55" s="1100">
        <f>项目基本情况!B37</f>
        <v>0</v>
      </c>
      <c r="I55" s="938">
        <f>SUMIF(修正!A45:A56,H55,修正!E45:E56)</f>
        <v>0</v>
      </c>
      <c r="J55" s="939"/>
      <c r="K55" s="1141"/>
      <c r="L55" s="937"/>
      <c r="M55" s="937"/>
      <c r="N55" s="937"/>
      <c r="O55" s="937"/>
    </row>
    <row r="56" spans="1:17" s="691" customFormat="1">
      <c r="A56" s="692" t="s">
        <v>2764</v>
      </c>
      <c r="B56" s="261" t="e">
        <f t="shared" si="17"/>
        <v>#DIV/0!</v>
      </c>
      <c r="C56" s="199">
        <f t="shared" si="16"/>
        <v>0</v>
      </c>
      <c r="D56" s="1160">
        <v>0.25</v>
      </c>
      <c r="E56" s="260">
        <f>'数据-汇总表'!E11</f>
        <v>0</v>
      </c>
      <c r="F56" s="690" t="e">
        <f t="shared" si="15"/>
        <v>#DIV/0!</v>
      </c>
      <c r="G56" s="2702" t="s">
        <v>2765</v>
      </c>
      <c r="H56" s="1100">
        <f>项目基本情况!C37</f>
        <v>0</v>
      </c>
      <c r="I56" s="938">
        <f>SUMIF(修正!A45:A56,H56,修正!F45:F56)</f>
        <v>0</v>
      </c>
      <c r="J56" s="939"/>
      <c r="K56" s="1140"/>
      <c r="L56" s="937"/>
      <c r="M56" s="937"/>
      <c r="N56" s="937"/>
      <c r="O56" s="937"/>
    </row>
    <row r="57" spans="1:17" s="691" customFormat="1">
      <c r="A57" s="692" t="s">
        <v>2766</v>
      </c>
      <c r="B57" s="261" t="e">
        <f t="shared" si="17"/>
        <v>#DIV/0!</v>
      </c>
      <c r="C57" s="199">
        <f t="shared" si="16"/>
        <v>0</v>
      </c>
      <c r="D57" s="1160">
        <v>0.25</v>
      </c>
      <c r="E57" s="260">
        <f>'数据-汇总表'!E12</f>
        <v>0</v>
      </c>
      <c r="F57" s="690" t="e">
        <f t="shared" si="15"/>
        <v>#DIV/0!</v>
      </c>
      <c r="G57" s="1105" t="s">
        <v>2767</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2768</v>
      </c>
      <c r="B58" s="261" t="e">
        <f t="shared" si="17"/>
        <v>#DIV/0!</v>
      </c>
      <c r="C58" s="199">
        <f t="shared" si="16"/>
        <v>0</v>
      </c>
      <c r="D58" s="1160">
        <v>0.25</v>
      </c>
      <c r="E58" s="260">
        <f>'数据-汇总表'!E13</f>
        <v>0</v>
      </c>
      <c r="F58" s="690" t="e">
        <f t="shared" si="15"/>
        <v>#DIV/0!</v>
      </c>
      <c r="G58" s="1105" t="s">
        <v>2769</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2770</v>
      </c>
      <c r="B59" s="261" t="e">
        <f t="shared" si="17"/>
        <v>#DIV/0!</v>
      </c>
      <c r="C59" s="199">
        <f t="shared" si="16"/>
        <v>0</v>
      </c>
      <c r="D59" s="1160">
        <v>0.25</v>
      </c>
      <c r="E59" s="260">
        <f>'数据-汇总表'!E14</f>
        <v>0</v>
      </c>
      <c r="F59" s="690" t="e">
        <f t="shared" si="15"/>
        <v>#DIV/0!</v>
      </c>
      <c r="G59" s="2702" t="s">
        <v>2760</v>
      </c>
      <c r="H59" s="1100">
        <f>项目基本情况!B37</f>
        <v>0</v>
      </c>
      <c r="I59" s="938">
        <f>SUMIF(修正!A45:A56,H59,修正!H45:H56)</f>
        <v>0</v>
      </c>
      <c r="J59" s="939"/>
      <c r="K59" s="1141"/>
      <c r="L59" s="937"/>
      <c r="M59" s="937"/>
      <c r="N59" s="937"/>
      <c r="O59" s="937"/>
    </row>
    <row r="60" spans="1:17" s="691" customFormat="1" ht="15" thickBot="1">
      <c r="A60" s="692" t="s">
        <v>2771</v>
      </c>
      <c r="B60" s="261" t="e">
        <f t="shared" si="17"/>
        <v>#DIV/0!</v>
      </c>
      <c r="C60" s="199">
        <f t="shared" si="16"/>
        <v>0</v>
      </c>
      <c r="D60" s="1160">
        <v>0.25</v>
      </c>
      <c r="E60" s="260">
        <f>'数据-汇总表'!E15</f>
        <v>0</v>
      </c>
      <c r="F60" s="690" t="e">
        <f t="shared" si="15"/>
        <v>#DIV/0!</v>
      </c>
      <c r="G60" s="2703" t="s">
        <v>2765</v>
      </c>
      <c r="H60" s="1110">
        <f>项目基本情况!C37</f>
        <v>0</v>
      </c>
      <c r="I60" s="938">
        <f>SUMIF(修正!A45:A56,H60,修正!H45:H56)</f>
        <v>0</v>
      </c>
      <c r="J60" s="939"/>
      <c r="K60" s="1140"/>
      <c r="L60" s="937"/>
      <c r="M60" s="937"/>
      <c r="N60" s="937"/>
      <c r="O60" s="937"/>
    </row>
    <row r="61" spans="1:17" s="691" customFormat="1" ht="15" thickBot="1">
      <c r="A61" s="694" t="s">
        <v>2772</v>
      </c>
      <c r="B61" s="695" t="s">
        <v>28</v>
      </c>
      <c r="C61" s="695" t="s">
        <v>29</v>
      </c>
      <c r="D61" s="695" t="s">
        <v>1029</v>
      </c>
      <c r="E61" s="695">
        <f>IF(B41="楼面地价",SUM(E51:E60),'数据-汇总表'!D3)</f>
        <v>27591.5</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2666</v>
      </c>
      <c r="B64" s="758"/>
      <c r="C64" s="763"/>
      <c r="D64" s="763"/>
      <c r="E64" s="763"/>
      <c r="F64" s="764"/>
      <c r="G64" s="764"/>
      <c r="H64" s="763"/>
      <c r="I64" s="763"/>
      <c r="J64" s="763"/>
      <c r="K64" s="765"/>
      <c r="L64" s="766"/>
      <c r="M64" s="763"/>
      <c r="N64" s="763"/>
      <c r="O64" s="1155"/>
      <c r="P64" s="502"/>
      <c r="Q64" s="503"/>
    </row>
    <row r="65" spans="1:17" s="507" customFormat="1" ht="15">
      <c r="A65" s="2704" t="s">
        <v>2773</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6"/>
    </row>
    <row r="66" spans="1:17" s="116" customFormat="1" ht="30.75" customHeight="1">
      <c r="A66" s="2709" t="s">
        <v>2792</v>
      </c>
      <c r="B66" s="331" t="str">
        <f>"北京市平均增长率"&amp;TEXT(基准地价修正!P24,"0.00%")</f>
        <v>北京市平均增长率1.35%</v>
      </c>
      <c r="C66" s="602">
        <v>100</v>
      </c>
      <c r="D66" s="594"/>
      <c r="E66" s="594"/>
      <c r="F66" s="594"/>
      <c r="G66" s="594"/>
      <c r="H66" s="594"/>
      <c r="I66" s="594"/>
      <c r="J66" s="594"/>
      <c r="K66" s="594"/>
      <c r="L66" s="594"/>
      <c r="M66" s="1563"/>
      <c r="N66" s="1563"/>
      <c r="O66" s="1565"/>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2580</v>
      </c>
      <c r="B70" s="527" t="s">
        <v>2546</v>
      </c>
      <c r="C70" s="529"/>
      <c r="D70" s="529"/>
      <c r="E70" s="529"/>
      <c r="F70" s="529"/>
      <c r="G70" s="529"/>
      <c r="H70" s="529"/>
      <c r="I70" s="529"/>
      <c r="J70" s="529"/>
      <c r="K70" s="530"/>
      <c r="L70" s="531"/>
      <c r="M70" s="532"/>
      <c r="N70" s="1148"/>
      <c r="O70" s="1148"/>
      <c r="P70" s="45"/>
      <c r="Q70" s="503"/>
    </row>
    <row r="71" spans="1:17" ht="15.75" thickBot="1">
      <c r="A71" s="533"/>
      <c r="B71" s="534"/>
      <c r="C71" s="535"/>
      <c r="D71" s="535"/>
      <c r="E71" s="535"/>
      <c r="F71" s="535"/>
      <c r="G71" s="535"/>
      <c r="H71" s="535"/>
      <c r="I71" s="535"/>
      <c r="J71" s="535"/>
      <c r="K71" s="535"/>
      <c r="L71" s="535"/>
      <c r="M71" s="536"/>
      <c r="N71" s="1149"/>
      <c r="O71" s="1149"/>
      <c r="P71" s="45"/>
      <c r="Q71" s="503"/>
    </row>
    <row r="72" spans="1:17" ht="27.75" thickTop="1">
      <c r="A72" s="533"/>
      <c r="B72" s="537" t="s">
        <v>2549</v>
      </c>
      <c r="C72" s="538"/>
      <c r="D72" s="538"/>
      <c r="E72" s="538"/>
      <c r="F72" s="538"/>
      <c r="G72" s="538"/>
      <c r="H72" s="538"/>
      <c r="I72" s="538"/>
      <c r="J72" s="538"/>
      <c r="K72" s="539"/>
      <c r="L72" s="540"/>
      <c r="M72" s="541"/>
      <c r="N72" s="1148"/>
      <c r="O72" s="1148"/>
      <c r="P72" s="45"/>
      <c r="Q72" s="503"/>
    </row>
    <row r="73" spans="1:17" ht="15.75" thickBot="1">
      <c r="A73" s="533"/>
      <c r="B73" s="542"/>
      <c r="C73" s="543"/>
      <c r="D73" s="543"/>
      <c r="E73" s="543"/>
      <c r="F73" s="543"/>
      <c r="G73" s="543"/>
      <c r="H73" s="543"/>
      <c r="I73" s="543"/>
      <c r="J73" s="543"/>
      <c r="K73" s="543"/>
      <c r="L73" s="543"/>
      <c r="M73" s="544"/>
      <c r="N73" s="1149"/>
      <c r="O73" s="1149"/>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ht="15">
      <c r="A75" s="533"/>
      <c r="B75" s="547"/>
      <c r="C75" s="548"/>
      <c r="D75" s="548"/>
      <c r="E75" s="548"/>
      <c r="F75" s="548"/>
      <c r="G75" s="548"/>
      <c r="H75" s="548"/>
      <c r="I75" s="548"/>
      <c r="J75" s="548"/>
      <c r="K75" s="549"/>
      <c r="L75" s="550"/>
      <c r="M75" s="551"/>
      <c r="N75" s="1148"/>
      <c r="O75" s="1148"/>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48"/>
      <c r="O85" s="1148"/>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15.75" thickTop="1">
      <c r="A87" s="578"/>
      <c r="B87" s="537" t="s">
        <v>2775</v>
      </c>
      <c r="C87" s="572" t="s">
        <v>2589</v>
      </c>
      <c r="D87" s="572" t="s">
        <v>2590</v>
      </c>
      <c r="E87" s="572" t="s">
        <v>2591</v>
      </c>
      <c r="F87" s="572" t="s">
        <v>2592</v>
      </c>
      <c r="G87" s="572" t="s">
        <v>2593</v>
      </c>
      <c r="H87" s="577"/>
      <c r="I87" s="577"/>
      <c r="J87" s="577"/>
      <c r="K87" s="577"/>
      <c r="L87" s="697"/>
      <c r="M87" s="621"/>
      <c r="N87" s="1147"/>
      <c r="O87" s="1147"/>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7.75" thickTop="1">
      <c r="A89" s="578"/>
      <c r="B89" s="537" t="s">
        <v>2776</v>
      </c>
      <c r="C89" s="572" t="s">
        <v>2589</v>
      </c>
      <c r="D89" s="572" t="s">
        <v>2590</v>
      </c>
      <c r="E89" s="572" t="s">
        <v>2591</v>
      </c>
      <c r="F89" s="572" t="s">
        <v>2592</v>
      </c>
      <c r="G89" s="572" t="s">
        <v>2593</v>
      </c>
      <c r="H89" s="577"/>
      <c r="I89" s="577"/>
      <c r="J89" s="577"/>
      <c r="K89" s="577"/>
      <c r="L89" s="577"/>
      <c r="M89" s="621"/>
      <c r="N89" s="1147"/>
      <c r="O89" s="1147"/>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2793</v>
      </c>
      <c r="C93" s="659" t="s">
        <v>2667</v>
      </c>
      <c r="D93" s="659" t="s">
        <v>2668</v>
      </c>
      <c r="E93" s="659" t="s">
        <v>2669</v>
      </c>
      <c r="F93" s="659" t="s">
        <v>2670</v>
      </c>
      <c r="G93" s="659" t="s">
        <v>2671</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2777</v>
      </c>
      <c r="D95" s="538" t="s">
        <v>2778</v>
      </c>
      <c r="E95" s="538" t="s">
        <v>2779</v>
      </c>
      <c r="F95" s="538" t="s">
        <v>2780</v>
      </c>
      <c r="G95" s="538"/>
      <c r="H95" s="538"/>
      <c r="I95" s="538"/>
      <c r="J95" s="538"/>
      <c r="K95" s="539"/>
      <c r="L95" s="540"/>
      <c r="M95" s="541"/>
      <c r="N95" s="1148"/>
      <c r="O95" s="1148"/>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7.75" thickTop="1">
      <c r="A97" s="533"/>
      <c r="B97" s="537" t="s">
        <v>2683</v>
      </c>
      <c r="C97" s="553"/>
      <c r="D97" s="553"/>
      <c r="E97" s="553"/>
      <c r="F97" s="553"/>
      <c r="G97" s="553"/>
      <c r="H97" s="582"/>
      <c r="I97" s="582"/>
      <c r="J97" s="582"/>
      <c r="K97" s="583"/>
      <c r="L97" s="584"/>
      <c r="M97" s="585"/>
      <c r="N97" s="1148"/>
      <c r="O97" s="1148"/>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75" thickTop="1">
      <c r="A99" s="533"/>
      <c r="B99" s="537" t="s">
        <v>2742</v>
      </c>
      <c r="C99" s="582"/>
      <c r="D99" s="582"/>
      <c r="E99" s="582"/>
      <c r="F99" s="582"/>
      <c r="G99" s="582"/>
      <c r="H99" s="582"/>
      <c r="I99" s="582"/>
      <c r="J99" s="582"/>
      <c r="K99" s="583"/>
      <c r="L99" s="584"/>
      <c r="M99" s="585"/>
      <c r="N99" s="1148"/>
      <c r="O99" s="1148"/>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5.75" thickTop="1">
      <c r="A101" s="533"/>
      <c r="B101" s="545">
        <f>B31</f>
        <v>111</v>
      </c>
      <c r="C101" s="553"/>
      <c r="D101" s="553"/>
      <c r="E101" s="553"/>
      <c r="F101" s="553"/>
      <c r="G101" s="586"/>
      <c r="H101" s="586"/>
      <c r="I101" s="586"/>
      <c r="J101" s="586"/>
      <c r="K101" s="587"/>
      <c r="L101" s="588"/>
      <c r="M101" s="589"/>
      <c r="N101" s="1148"/>
      <c r="O101" s="1148"/>
      <c r="P101" s="45"/>
      <c r="Q101" s="503"/>
    </row>
    <row r="102" spans="1:17" ht="15.75" thickBot="1">
      <c r="A102" s="533"/>
      <c r="B102" s="568"/>
      <c r="C102" s="559"/>
      <c r="D102" s="535"/>
      <c r="E102" s="535"/>
      <c r="F102" s="535"/>
      <c r="G102" s="590"/>
      <c r="H102" s="590"/>
      <c r="I102" s="590"/>
      <c r="J102" s="590"/>
      <c r="K102" s="590"/>
      <c r="L102" s="590"/>
      <c r="M102" s="591"/>
      <c r="N102" s="1149"/>
      <c r="O102" s="1149"/>
      <c r="P102" s="45"/>
      <c r="Q102" s="503"/>
    </row>
    <row r="103" spans="1:17" ht="15" thickTop="1">
      <c r="A103" s="674"/>
      <c r="B103" s="537">
        <f>B32</f>
        <v>111</v>
      </c>
      <c r="C103" s="553"/>
      <c r="D103" s="553"/>
      <c r="E103" s="553"/>
      <c r="F103" s="553"/>
      <c r="G103" s="582"/>
      <c r="H103" s="582"/>
      <c r="I103" s="582"/>
      <c r="J103" s="582"/>
      <c r="K103" s="583"/>
      <c r="L103" s="584"/>
      <c r="M103" s="585"/>
      <c r="N103" s="1148"/>
      <c r="O103" s="1148"/>
      <c r="P103" s="45"/>
      <c r="Q103" s="503"/>
    </row>
    <row r="104" spans="1:17" ht="15.75" thickBot="1">
      <c r="A104" s="533"/>
      <c r="B104" s="542"/>
      <c r="C104" s="559"/>
      <c r="D104" s="559"/>
      <c r="E104" s="559"/>
      <c r="F104" s="559"/>
      <c r="G104" s="535"/>
      <c r="H104" s="535"/>
      <c r="I104" s="535"/>
      <c r="J104" s="535"/>
      <c r="K104" s="535"/>
      <c r="L104" s="535"/>
      <c r="M104" s="536"/>
      <c r="N104" s="1149"/>
      <c r="O104" s="1149"/>
      <c r="P104" s="45"/>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2555</v>
      </c>
      <c r="B107" s="527" t="s">
        <v>2781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5"/>
      <c r="Q107" s="503"/>
    </row>
    <row r="108" spans="1:17" ht="15">
      <c r="A108" s="533"/>
      <c r="B108" s="545"/>
      <c r="C108" s="594"/>
      <c r="D108" s="594"/>
      <c r="E108" s="594"/>
      <c r="F108" s="594"/>
      <c r="G108" s="594"/>
      <c r="H108" s="594"/>
      <c r="I108" s="594"/>
      <c r="J108" s="595"/>
      <c r="K108" s="595"/>
      <c r="L108" s="596"/>
      <c r="M108" s="597"/>
      <c r="N108" s="1148"/>
      <c r="O108" s="1148"/>
      <c r="P108" s="45"/>
      <c r="Q108" s="503"/>
    </row>
    <row r="109" spans="1:17" ht="15.75"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2782</v>
      </c>
      <c r="C110" s="582"/>
      <c r="D110" s="582"/>
      <c r="E110" s="582"/>
      <c r="F110" s="582"/>
      <c r="G110" s="582"/>
      <c r="H110" s="582"/>
      <c r="I110" s="582"/>
      <c r="J110" s="582"/>
      <c r="K110" s="583"/>
      <c r="L110" s="584"/>
      <c r="M110" s="585"/>
      <c r="N110" s="1148"/>
      <c r="O110" s="1148"/>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2784</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2785</v>
      </c>
      <c r="C114" s="553"/>
      <c r="D114" s="553"/>
      <c r="E114" s="582"/>
      <c r="F114" s="582"/>
      <c r="G114" s="582"/>
      <c r="H114" s="582"/>
      <c r="I114" s="582"/>
      <c r="J114" s="582"/>
      <c r="K114" s="583"/>
      <c r="L114" s="584"/>
      <c r="M114" s="585"/>
      <c r="N114" s="1148"/>
      <c r="O114" s="1148"/>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5" thickTop="1">
      <c r="A116" s="598"/>
      <c r="B116" s="537">
        <f>B38</f>
        <v>111</v>
      </c>
      <c r="C116" s="553"/>
      <c r="D116" s="553"/>
      <c r="E116" s="553"/>
      <c r="F116" s="553"/>
      <c r="G116" s="553"/>
      <c r="H116" s="582"/>
      <c r="I116" s="582"/>
      <c r="J116" s="582"/>
      <c r="K116" s="583"/>
      <c r="L116" s="584"/>
      <c r="M116" s="585"/>
      <c r="N116" s="1148"/>
      <c r="O116" s="1148"/>
      <c r="P116" s="45"/>
      <c r="Q116" s="503"/>
    </row>
    <row r="117" spans="1:17" ht="15.75" thickBot="1">
      <c r="A117" s="533"/>
      <c r="B117" s="542"/>
      <c r="C117" s="559"/>
      <c r="D117" s="535"/>
      <c r="E117" s="535"/>
      <c r="F117" s="535"/>
      <c r="G117" s="535"/>
      <c r="H117" s="535"/>
      <c r="I117" s="535"/>
      <c r="J117" s="535"/>
      <c r="K117" s="535"/>
      <c r="L117" s="535"/>
      <c r="M117" s="536"/>
      <c r="N117" s="1149"/>
      <c r="O117" s="1149"/>
      <c r="P117" s="45"/>
      <c r="Q117" s="503"/>
    </row>
    <row r="118" spans="1:17" ht="15" thickTop="1">
      <c r="A118" s="598"/>
      <c r="B118" s="537">
        <f>B39</f>
        <v>111</v>
      </c>
      <c r="C118" s="553"/>
      <c r="D118" s="553"/>
      <c r="E118" s="553"/>
      <c r="F118" s="553"/>
      <c r="G118" s="582"/>
      <c r="H118" s="582"/>
      <c r="I118" s="582"/>
      <c r="J118" s="582"/>
      <c r="K118" s="583"/>
      <c r="L118" s="584"/>
      <c r="M118" s="585"/>
      <c r="N118" s="1148"/>
      <c r="O118" s="1148"/>
      <c r="P118" s="45"/>
      <c r="Q118" s="503"/>
    </row>
    <row r="119" spans="1:17" ht="15.75" thickBot="1">
      <c r="A119" s="533"/>
      <c r="B119" s="542"/>
      <c r="C119" s="559"/>
      <c r="D119" s="559"/>
      <c r="E119" s="559"/>
      <c r="F119" s="559"/>
      <c r="G119" s="535"/>
      <c r="H119" s="535"/>
      <c r="I119" s="535"/>
      <c r="J119" s="535"/>
      <c r="K119" s="535"/>
      <c r="L119" s="535"/>
      <c r="M119" s="536"/>
      <c r="N119" s="1149"/>
      <c r="O119" s="1149"/>
      <c r="P119" s="45"/>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8" customWidth="1"/>
    <col min="33" max="36" width="9.375" style="2789" customWidth="1"/>
    <col min="37" max="38" width="9.375" style="2713" customWidth="1"/>
    <col min="39" max="16384" width="12" style="2713"/>
  </cols>
  <sheetData>
    <row r="1" spans="1:36" ht="28.5">
      <c r="A1" s="239" t="s">
        <v>2794</v>
      </c>
      <c r="B1" s="240"/>
      <c r="C1" s="244" t="s">
        <v>2795</v>
      </c>
      <c r="D1" s="387">
        <f>SUM(D29:D30,D33:D39)</f>
        <v>0</v>
      </c>
      <c r="E1" s="2710"/>
      <c r="F1" s="2710"/>
      <c r="G1" s="2710"/>
      <c r="H1" s="2710"/>
      <c r="I1" s="2710"/>
      <c r="J1" s="2710"/>
      <c r="K1" s="1366"/>
      <c r="L1" s="2711" t="s">
        <v>2796</v>
      </c>
      <c r="M1" s="1076">
        <f>SUMPRODUCT((区片价!B5:B9=I2)*(区片价!C3:F3=E2)*(区片价!C5:F9))</f>
        <v>0</v>
      </c>
      <c r="N1" s="1079">
        <f>SUMPRODUCT((因素修正幅度!B5:B9=I2)*(因素修正幅度!C3:F3=E2)*(因素修正幅度!C5:F9))</f>
        <v>0</v>
      </c>
      <c r="O1" s="2712"/>
      <c r="P1" s="2712"/>
      <c r="Q1" s="1366"/>
      <c r="R1" s="1598" t="s">
        <v>2797</v>
      </c>
      <c r="S1" s="1598" t="s">
        <v>2798</v>
      </c>
      <c r="T1" s="1598" t="s">
        <v>2799</v>
      </c>
      <c r="U1" s="1598" t="s">
        <v>2800</v>
      </c>
      <c r="V1" s="1598" t="s">
        <v>2801</v>
      </c>
      <c r="W1" s="1602"/>
      <c r="X1" s="1602"/>
      <c r="Y1" s="1602"/>
      <c r="Z1" s="1602"/>
      <c r="AA1" s="1602"/>
      <c r="AB1" s="1602"/>
      <c r="AC1" s="1603"/>
      <c r="AD1" s="1604"/>
      <c r="AE1" s="1604"/>
      <c r="AF1" s="1604"/>
      <c r="AG1" s="1604"/>
      <c r="AH1" s="1604"/>
      <c r="AI1" s="1604"/>
      <c r="AJ1" s="1605"/>
    </row>
    <row r="2" spans="1:36" ht="15.75">
      <c r="A2" s="244" t="s">
        <v>2802</v>
      </c>
      <c r="B2" s="247" t="e">
        <f>C26</f>
        <v>#DIV/0!</v>
      </c>
      <c r="C2" s="2714" t="s">
        <v>2803</v>
      </c>
      <c r="D2" s="2715" t="s">
        <v>2804</v>
      </c>
      <c r="E2" s="2716"/>
      <c r="F2" s="2715" t="s">
        <v>2805</v>
      </c>
      <c r="G2" s="2717">
        <f>IF(E2="商业",项目基本情况!B37,IF(E2="办公",项目基本情况!C37,IF(E2="住宅",项目基本情况!D37,项目基本情况!E37)))</f>
        <v>0</v>
      </c>
      <c r="H2" s="2715" t="s">
        <v>2806</v>
      </c>
      <c r="I2" s="2717">
        <f>IF(E2="商业",项目基本情况!B38,IF(E2="办公",项目基本情况!C38,IF(E2="住宅",项目基本情况!D38,项目基本情况!E38)))</f>
        <v>0</v>
      </c>
      <c r="J2" s="2718"/>
      <c r="K2" s="1366"/>
      <c r="L2" s="2719" t="s">
        <v>2807</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2808</v>
      </c>
      <c r="B3" s="247" t="e">
        <f>ROUND(B2*10000/D1,0)</f>
        <v>#DIV/0!</v>
      </c>
      <c r="C3" s="2714" t="s">
        <v>2809</v>
      </c>
      <c r="D3" s="2715" t="s">
        <v>2810</v>
      </c>
      <c r="E3" s="2720"/>
      <c r="F3" s="2721" t="s">
        <v>2811</v>
      </c>
      <c r="G3" s="909">
        <f>IF(F3="宗地容积率",'数据-汇总表'!I4,IF(F3="估价对象容积率",'数据-汇总表'!I6,'数据-汇总表'!I7))</f>
        <v>2.41</v>
      </c>
      <c r="H3" s="197" t="s">
        <v>2812</v>
      </c>
      <c r="I3" s="940"/>
      <c r="J3" s="2718" t="s">
        <v>2813</v>
      </c>
      <c r="K3" s="1366"/>
      <c r="L3" s="2719" t="s">
        <v>2814</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03"/>
      <c r="B4" s="3304"/>
      <c r="C4" s="3304"/>
      <c r="D4" s="3305"/>
      <c r="E4" s="3305"/>
      <c r="F4" s="3305"/>
      <c r="G4" s="3305"/>
      <c r="H4" s="3305"/>
      <c r="I4" s="3305"/>
      <c r="J4" s="3306"/>
      <c r="K4" s="1366"/>
      <c r="L4" s="2719" t="s">
        <v>2815</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1" customFormat="1" ht="15.75" thickBot="1">
      <c r="A5" s="2722" t="s">
        <v>807</v>
      </c>
      <c r="B5" s="2723" t="s">
        <v>2816</v>
      </c>
      <c r="C5" s="910" t="e">
        <f>ROUND(IF(E2="商业",IF(F16="增加",C6*C7+C16,C6*C7-C16),IF(E2="住宅",IF(F16="增加",C6*C12+C16,C6*C12-C16),IF(F16="增加",C6+C16,C6-C16))),0)</f>
        <v>#DIV/0!</v>
      </c>
      <c r="D5" s="1783">
        <f>ROUND(IF(E2="商业",IF(F16="增加",C6+C16,C6-C16)),0)</f>
        <v>0</v>
      </c>
      <c r="E5" s="2724"/>
      <c r="F5" s="2724"/>
      <c r="G5" s="2725"/>
      <c r="H5" s="2725"/>
      <c r="I5" s="2725"/>
      <c r="J5" s="2726"/>
      <c r="K5" s="2727"/>
      <c r="L5" s="2719" t="s">
        <v>2817</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8"/>
      <c r="AD5" s="2729"/>
      <c r="AE5" s="2729"/>
      <c r="AF5" s="2729"/>
      <c r="AG5" s="2729"/>
      <c r="AH5" s="2729"/>
      <c r="AI5" s="2729"/>
      <c r="AJ5" s="2730"/>
    </row>
    <row r="6" spans="1:36" ht="15.75" thickBot="1">
      <c r="A6" s="2732" t="s">
        <v>2818</v>
      </c>
      <c r="B6" s="2733" t="s">
        <v>2819</v>
      </c>
      <c r="C6" s="911">
        <f>SUMIF(L1:L12,G2,M1:M12)</f>
        <v>0</v>
      </c>
      <c r="D6" s="2734" t="s">
        <v>2820</v>
      </c>
      <c r="E6" s="2735"/>
      <c r="F6" s="2735"/>
      <c r="G6" s="2736"/>
      <c r="H6" s="2736"/>
      <c r="I6" s="2736"/>
      <c r="J6" s="2737"/>
      <c r="K6" s="1838"/>
      <c r="L6" s="2719" t="s">
        <v>2821</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8"/>
      <c r="AD6" s="2729"/>
      <c r="AE6" s="2729"/>
      <c r="AF6" s="2729"/>
      <c r="AG6" s="2729"/>
      <c r="AH6" s="2729"/>
      <c r="AI6" s="2729"/>
      <c r="AJ6" s="2730"/>
    </row>
    <row r="7" spans="1:36" ht="24">
      <c r="A7" s="3307" t="str">
        <f>IF(E2="商业",IF(C8="不临58条商业街","",2),"")</f>
        <v/>
      </c>
      <c r="B7" s="2738" t="s">
        <v>2822</v>
      </c>
      <c r="C7" s="912" t="e">
        <f>IF(C8="不临58条商业街",1,ROUND(1+(1.6*E8+1.2*E9+0.8*E10+0.4*E11)*C9,4))</f>
        <v>#DIV/0!</v>
      </c>
      <c r="D7" s="2739" t="s">
        <v>2823</v>
      </c>
      <c r="E7" s="941"/>
      <c r="F7" s="2740"/>
      <c r="G7" s="2741"/>
      <c r="H7" s="2741"/>
      <c r="I7" s="2741"/>
      <c r="J7" s="2742"/>
      <c r="K7" s="1838"/>
      <c r="L7" s="2719" t="s">
        <v>2824</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2825</v>
      </c>
      <c r="X7" s="1600">
        <f>G2</f>
        <v>0</v>
      </c>
      <c r="Y7" s="1600" t="s">
        <v>2826</v>
      </c>
      <c r="Z7" s="1601">
        <f>G3</f>
        <v>2.41</v>
      </c>
      <c r="AA7" s="1602"/>
      <c r="AB7" s="1602"/>
      <c r="AC7" s="1603"/>
      <c r="AD7" s="1604"/>
      <c r="AE7" s="1604"/>
      <c r="AF7" s="1604"/>
      <c r="AG7" s="1604"/>
      <c r="AH7" s="1604"/>
      <c r="AI7" s="1604"/>
      <c r="AJ7" s="1605"/>
    </row>
    <row r="8" spans="1:36" ht="15">
      <c r="A8" s="3308"/>
      <c r="B8" s="197" t="s">
        <v>2827</v>
      </c>
      <c r="C8" s="2743"/>
      <c r="D8" s="913" t="s">
        <v>139</v>
      </c>
      <c r="E8" s="914" t="e">
        <f>ROUND(C11/E7,4)</f>
        <v>#DIV/0!</v>
      </c>
      <c r="F8" s="2744" t="s">
        <v>2828</v>
      </c>
      <c r="G8" s="2745"/>
      <c r="H8" s="2745"/>
      <c r="I8" s="2745"/>
      <c r="J8" s="2746"/>
      <c r="K8" s="1366"/>
      <c r="L8" s="2719" t="s">
        <v>2829</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00" t="s">
        <v>2830</v>
      </c>
      <c r="X8" s="3301"/>
      <c r="Y8" s="1606" t="s">
        <v>2831</v>
      </c>
      <c r="Z8" s="1606" t="s">
        <v>2832</v>
      </c>
      <c r="AA8" s="1606" t="s">
        <v>2833</v>
      </c>
      <c r="AB8" s="1606" t="s">
        <v>2834</v>
      </c>
      <c r="AC8" s="1606" t="s">
        <v>2835</v>
      </c>
      <c r="AD8" s="1606" t="s">
        <v>2836</v>
      </c>
      <c r="AE8" s="1606" t="s">
        <v>2837</v>
      </c>
      <c r="AF8" s="1606" t="s">
        <v>2838</v>
      </c>
      <c r="AG8" s="1606" t="s">
        <v>2839</v>
      </c>
      <c r="AH8" s="1606" t="s">
        <v>2840</v>
      </c>
      <c r="AI8" s="1606" t="s">
        <v>2841</v>
      </c>
      <c r="AJ8" s="1606" t="s">
        <v>2842</v>
      </c>
    </row>
    <row r="9" spans="1:36" ht="15">
      <c r="A9" s="3308"/>
      <c r="B9" s="197" t="s">
        <v>2843</v>
      </c>
      <c r="C9" s="915">
        <f>SUMIF(修正!C59:C119,C8,修正!E59:E119)</f>
        <v>0</v>
      </c>
      <c r="D9" s="199" t="s">
        <v>140</v>
      </c>
      <c r="E9" s="199" t="e">
        <f>ROUND(C11/E7,4)</f>
        <v>#DIV/0!</v>
      </c>
      <c r="F9" s="2744" t="s">
        <v>2844</v>
      </c>
      <c r="G9" s="2745"/>
      <c r="H9" s="2745"/>
      <c r="I9" s="2745"/>
      <c r="J9" s="2746"/>
      <c r="K9" s="1366"/>
      <c r="L9" s="2719" t="s">
        <v>2845</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02" t="s">
        <v>2846</v>
      </c>
      <c r="X9" s="1607" t="s">
        <v>2847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08"/>
      <c r="B10" s="197" t="s">
        <v>2848</v>
      </c>
      <c r="C10" s="199">
        <f>SUMIF(修正!C59:C119,C8,修正!F59:F119)</f>
        <v>0</v>
      </c>
      <c r="D10" s="199" t="s">
        <v>141</v>
      </c>
      <c r="E10" s="199" t="e">
        <f>ROUND(C11/E7,4)</f>
        <v>#DIV/0!</v>
      </c>
      <c r="F10" s="2744" t="s">
        <v>2849</v>
      </c>
      <c r="G10" s="2745"/>
      <c r="H10" s="2745"/>
      <c r="I10" s="2745"/>
      <c r="J10" s="2746"/>
      <c r="K10" s="1366"/>
      <c r="L10" s="2719" t="s">
        <v>2850</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0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08"/>
      <c r="B11" s="2747" t="s">
        <v>2851</v>
      </c>
      <c r="C11" s="916">
        <f>C10/4</f>
        <v>0</v>
      </c>
      <c r="D11" s="916" t="s">
        <v>142</v>
      </c>
      <c r="E11" s="916" t="e">
        <f>ROUND(C11/E7,4)</f>
        <v>#DIV/0!</v>
      </c>
      <c r="F11" s="2748" t="s">
        <v>2852</v>
      </c>
      <c r="G11" s="2749"/>
      <c r="H11" s="2749"/>
      <c r="I11" s="2749"/>
      <c r="J11" s="2750"/>
      <c r="K11" s="1366"/>
      <c r="L11" s="2719" t="s">
        <v>2853</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02" t="s">
        <v>2854</v>
      </c>
      <c r="X11" s="1610" t="s">
        <v>2855</v>
      </c>
      <c r="Y11" s="1611">
        <f>$G$3</f>
        <v>2.41</v>
      </c>
      <c r="Z11" s="1611">
        <f t="shared" ref="Z11:AJ11" si="3">$G$3</f>
        <v>2.41</v>
      </c>
      <c r="AA11" s="1611">
        <f t="shared" si="3"/>
        <v>2.41</v>
      </c>
      <c r="AB11" s="1611">
        <f t="shared" si="3"/>
        <v>2.41</v>
      </c>
      <c r="AC11" s="1611">
        <f t="shared" si="3"/>
        <v>2.41</v>
      </c>
      <c r="AD11" s="1611">
        <f t="shared" si="3"/>
        <v>2.41</v>
      </c>
      <c r="AE11" s="1611">
        <f t="shared" si="3"/>
        <v>2.41</v>
      </c>
      <c r="AF11" s="1611">
        <f t="shared" si="3"/>
        <v>2.41</v>
      </c>
      <c r="AG11" s="1611">
        <f t="shared" si="3"/>
        <v>2.41</v>
      </c>
      <c r="AH11" s="1611">
        <f t="shared" si="3"/>
        <v>2.41</v>
      </c>
      <c r="AI11" s="1611">
        <f t="shared" si="3"/>
        <v>2.41</v>
      </c>
      <c r="AJ11" s="1611">
        <f t="shared" si="3"/>
        <v>2.41</v>
      </c>
    </row>
    <row r="12" spans="1:36" ht="25.5" thickBot="1">
      <c r="A12" s="3307" t="s">
        <v>2856</v>
      </c>
      <c r="B12" s="2751" t="s">
        <v>2857</v>
      </c>
      <c r="C12" s="912">
        <f>ROUND(C15*D15*E15*F15*G15*H15*I15*J15,4)</f>
        <v>1</v>
      </c>
      <c r="D12" s="2752" t="s">
        <v>2858</v>
      </c>
      <c r="E12" s="2753"/>
      <c r="F12" s="2753"/>
      <c r="G12" s="2754"/>
      <c r="H12" s="2754"/>
      <c r="I12" s="2754"/>
      <c r="J12" s="2755"/>
      <c r="K12" s="1366"/>
      <c r="L12" s="2756" t="s">
        <v>2859</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02"/>
      <c r="X12" s="1612" t="s">
        <v>2860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09"/>
      <c r="B13" s="2757" t="s">
        <v>2861</v>
      </c>
      <c r="C13" s="2758" t="s">
        <v>2862</v>
      </c>
      <c r="D13" s="1804" t="s">
        <v>2863</v>
      </c>
      <c r="E13" s="1804" t="s">
        <v>2864</v>
      </c>
      <c r="F13" s="30" t="s">
        <v>2865</v>
      </c>
      <c r="G13" s="2759" t="s">
        <v>2866</v>
      </c>
      <c r="H13" s="2759" t="s">
        <v>2866</v>
      </c>
      <c r="I13" s="2759" t="s">
        <v>2866</v>
      </c>
      <c r="J13" s="2760" t="s">
        <v>2866</v>
      </c>
      <c r="K13" s="1366"/>
      <c r="L13" s="1366"/>
      <c r="M13" s="1366"/>
      <c r="N13" s="1366"/>
      <c r="O13" s="1366"/>
      <c r="P13" s="1366"/>
      <c r="Q13" s="1366"/>
      <c r="R13" s="1598">
        <v>12</v>
      </c>
      <c r="S13" s="1599"/>
      <c r="T13" s="1598" t="e">
        <f t="shared" si="0"/>
        <v>#DIV/0!</v>
      </c>
      <c r="U13" s="1599"/>
      <c r="V13" s="1598" t="e">
        <f t="shared" si="1"/>
        <v>#DIV/0!</v>
      </c>
      <c r="W13" s="3302"/>
      <c r="X13" s="1612"/>
      <c r="Y13" s="1609">
        <f>(-0.163*(Y12^2)-0.59*Y12+7617)*(10^(-4))/Y11</f>
        <v>0.31605809128630707</v>
      </c>
      <c r="Z13" s="1609">
        <f t="shared" ref="Z13:AJ13" si="5">(-0.163*(Z12^2)-0.59*Z12+7617)*(10^(-4))/Z11</f>
        <v>0.31605809128630707</v>
      </c>
      <c r="AA13" s="1609">
        <f t="shared" si="5"/>
        <v>0.31605809128630707</v>
      </c>
      <c r="AB13" s="1609">
        <f t="shared" si="5"/>
        <v>0.31605809128630707</v>
      </c>
      <c r="AC13" s="1609">
        <f t="shared" si="5"/>
        <v>0.31605809128630707</v>
      </c>
      <c r="AD13" s="1609">
        <f t="shared" si="5"/>
        <v>0.31605809128630707</v>
      </c>
      <c r="AE13" s="1609">
        <f t="shared" si="5"/>
        <v>0.31605809128630707</v>
      </c>
      <c r="AF13" s="1609">
        <f t="shared" si="5"/>
        <v>0.31605809128630707</v>
      </c>
      <c r="AG13" s="1609">
        <f t="shared" si="5"/>
        <v>0.31605809128630707</v>
      </c>
      <c r="AH13" s="1609">
        <f t="shared" si="5"/>
        <v>0.31605809128630707</v>
      </c>
      <c r="AI13" s="1609">
        <f t="shared" si="5"/>
        <v>0.31605809128630707</v>
      </c>
      <c r="AJ13" s="1609">
        <f t="shared" si="5"/>
        <v>0.31605809128630707</v>
      </c>
    </row>
    <row r="14" spans="1:36" ht="15">
      <c r="A14" s="3309"/>
      <c r="B14" s="2761"/>
      <c r="C14" s="2762"/>
      <c r="D14" s="2763"/>
      <c r="E14" s="2763"/>
      <c r="F14" s="2764"/>
      <c r="G14" s="2765" t="s">
        <v>2867</v>
      </c>
      <c r="H14" s="2766"/>
      <c r="I14" s="2767"/>
      <c r="J14" s="2768"/>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10"/>
      <c r="B15" s="2769" t="s">
        <v>2868</v>
      </c>
      <c r="C15" s="228">
        <f>IF(C14="有",1.1,1)</f>
        <v>1</v>
      </c>
      <c r="D15" s="228">
        <f>IF(D14="有",1.1,1)</f>
        <v>1</v>
      </c>
      <c r="E15" s="228">
        <f>IF(E14="有",1.1,1)</f>
        <v>1</v>
      </c>
      <c r="F15" s="228">
        <f>IF(F14="500米范围内",1.2,IF(F14="500-1000米",1.1,1))</f>
        <v>1</v>
      </c>
      <c r="G15" s="942">
        <v>1</v>
      </c>
      <c r="H15" s="942">
        <v>1</v>
      </c>
      <c r="I15" s="942">
        <v>1</v>
      </c>
      <c r="J15" s="943">
        <v>1</v>
      </c>
      <c r="K15" s="1366"/>
      <c r="L15" s="2770" t="s">
        <v>2804</v>
      </c>
      <c r="M15" s="913" t="s">
        <v>2869</v>
      </c>
      <c r="N15" s="913" t="s">
        <v>2870</v>
      </c>
      <c r="O15" s="913" t="s">
        <v>2871</v>
      </c>
      <c r="P15" s="2771" t="s">
        <v>2872</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07" t="s">
        <v>2873</v>
      </c>
      <c r="B16" s="2738" t="s">
        <v>2874</v>
      </c>
      <c r="C16" s="1797" t="e">
        <f>ROUND(SUM(G17:J17)/C17,0)</f>
        <v>#DIV/0!</v>
      </c>
      <c r="D16" s="2772" t="s">
        <v>2875</v>
      </c>
      <c r="E16" s="2773"/>
      <c r="F16" s="2774"/>
      <c r="G16" s="2775"/>
      <c r="H16" s="2775"/>
      <c r="I16" s="2775"/>
      <c r="J16" s="2776"/>
      <c r="K16" s="1366"/>
      <c r="L16" s="2777" t="s">
        <v>2876</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08"/>
      <c r="B17" s="2778" t="s">
        <v>2877</v>
      </c>
      <c r="C17" s="917">
        <f>SUMPRODUCT((修正!A2:A5=E2)*(修正!B1:M1=G2)*(修正!B2:M5))</f>
        <v>0</v>
      </c>
      <c r="D17" s="2779" t="s">
        <v>2878</v>
      </c>
      <c r="E17" s="916" t="str">
        <f>IF(OR(G2="八级",G2="九级",G2="十级",G2="十一级",G2="十二级"),"五通一平","七通一平")</f>
        <v>七通一平</v>
      </c>
      <c r="F17" s="917" t="s">
        <v>2879</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0" t="s">
        <v>2880</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1"/>
      <c r="AF17" s="2781"/>
      <c r="AG17" s="2713"/>
      <c r="AH17" s="2713"/>
      <c r="AI17" s="2713"/>
      <c r="AJ17" s="2713"/>
    </row>
    <row r="18" spans="1:37" s="2731" customFormat="1" ht="15.75" thickBot="1">
      <c r="A18" s="2782" t="s">
        <v>808</v>
      </c>
      <c r="B18" s="2783" t="s">
        <v>2881</v>
      </c>
      <c r="C18" s="919">
        <f>SUMIF(修正!C18:C39,E3,修正!E18:E39)</f>
        <v>0</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1" customFormat="1" ht="27.75" thickBot="1">
      <c r="A19" s="2782" t="s">
        <v>809</v>
      </c>
      <c r="B19" s="2783" t="s">
        <v>2882</v>
      </c>
      <c r="C19" s="920" t="e">
        <f>ROUND(IF(H19="按公示增长率计算",SUMPRODUCT((地价!A3:A22=YEAR(G19)&amp;"-"&amp;ROUNDUP(MONTH(G19)/3,0))*(地价!X2:AB2=E2)*(地价!X3:AB22)),IF(H19="地价指数",M20/M19,(1+I19)^O19)),4)</f>
        <v>#DIV/0!</v>
      </c>
      <c r="D19" s="2790" t="s">
        <v>2883</v>
      </c>
      <c r="E19" s="921">
        <v>41640</v>
      </c>
      <c r="F19" s="2790" t="s">
        <v>2884</v>
      </c>
      <c r="G19" s="922">
        <f>'数据-取费表'!B2</f>
        <v>43265</v>
      </c>
      <c r="H19" s="2791" t="s">
        <v>2885</v>
      </c>
      <c r="I19" s="923" t="str">
        <f>IF(H19="季度增幅（自定义）",SUMIF(N21:N24,E2,O21:O24),"")</f>
        <v/>
      </c>
      <c r="J19" s="2788"/>
      <c r="K19" s="1373"/>
      <c r="L19" s="2792" t="s">
        <v>2886</v>
      </c>
      <c r="M19" s="1730">
        <f>ROUND(SUMIF(地价!B2:F2,E2,地价!B22:F22),0)</f>
        <v>0</v>
      </c>
      <c r="N19" s="2793" t="s">
        <v>2887</v>
      </c>
      <c r="O19" s="924">
        <f>ROUNDDOWN(DATEDIF(E19,G19,"M")/3,0)</f>
        <v>17</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1" customFormat="1" ht="27.75" thickBot="1">
      <c r="A20" s="2797" t="s">
        <v>810</v>
      </c>
      <c r="B20" s="2798" t="s">
        <v>2888</v>
      </c>
      <c r="C20" s="925" t="e">
        <f>ROUND(POWER(1+G20,J20-I20)*(POWER(1+G20,I20)-1)/(POWER(1+G20,J20)-1),4)</f>
        <v>#DIV/0!</v>
      </c>
      <c r="D20" s="2799" t="s">
        <v>2889</v>
      </c>
      <c r="E20" s="1764">
        <f ca="1">存贷款利率!D4/100</f>
        <v>4.3499999999999997E-2</v>
      </c>
      <c r="F20" s="2799" t="s">
        <v>2880</v>
      </c>
      <c r="G20" s="930">
        <f>SUMIF(M15:P15,E2,M17:P17)</f>
        <v>0</v>
      </c>
      <c r="H20" s="2799" t="s">
        <v>2890</v>
      </c>
      <c r="I20" s="931" t="e">
        <f>SUMIF('数据-取费表'!C6:C15,E2,'数据-取费表'!F6:F15)/COUNTIF('数据-取费表'!C6:C15,E2)</f>
        <v>#DIV/0!</v>
      </c>
      <c r="J20" s="932">
        <f>IF(E2="住宅",70,IF(E2="商业",40,50))</f>
        <v>50</v>
      </c>
      <c r="K20" s="1373"/>
      <c r="L20" s="2800" t="s">
        <v>2891</v>
      </c>
      <c r="M20" s="1731">
        <f>ROUND(SUMPRODUCT((地价!A4:A22=YEAR(G19)&amp;"-"&amp;ROUNDUP(MONTH(G19)/3,0))*(地价!B2:F2=E2)*(地价!B4:F22)),0)</f>
        <v>0</v>
      </c>
      <c r="N20" s="2801" t="s">
        <v>2892</v>
      </c>
      <c r="O20" s="2802" t="s">
        <v>2893</v>
      </c>
      <c r="P20" s="2803" t="s">
        <v>2894</v>
      </c>
      <c r="R20" s="1372"/>
      <c r="S20" s="1372"/>
      <c r="T20" s="1367"/>
      <c r="U20" s="1367"/>
      <c r="V20" s="1367"/>
      <c r="W20" s="1366"/>
      <c r="X20" s="1366"/>
      <c r="Y20" s="1366"/>
      <c r="Z20" s="1373"/>
      <c r="AA20" s="1374"/>
      <c r="AB20" s="1374"/>
      <c r="AC20" s="1374"/>
      <c r="AD20" s="1374"/>
      <c r="AE20" s="1374"/>
      <c r="AF20" s="1374"/>
    </row>
    <row r="21" spans="1:37" s="2731" customFormat="1" ht="15">
      <c r="A21" s="2804" t="s">
        <v>811</v>
      </c>
      <c r="B21" s="2805" t="s">
        <v>2895</v>
      </c>
      <c r="C21" s="933">
        <f>IF(B21="容积率修正",IF(G3&lt;=10,D22,J22),C23)</f>
        <v>0</v>
      </c>
      <c r="D21" s="2806"/>
      <c r="E21" s="2806"/>
      <c r="F21" s="2806"/>
      <c r="G21" s="2806"/>
      <c r="H21" s="2806"/>
      <c r="I21" s="2806"/>
      <c r="J21" s="2807"/>
      <c r="K21" s="1373"/>
      <c r="N21" s="2808" t="s">
        <v>2896</v>
      </c>
      <c r="O21" s="1557"/>
      <c r="P21" s="1558">
        <f>SUMPRODUCT((地价!A3:A22=YEAR(G19)&amp;"-"&amp;ROUNDUP(MONTH(G19)/3,0))*(地价!AD2:AH2=N21)*(地价!AD3:AH22))</f>
        <v>1.5699999999999999E-2</v>
      </c>
      <c r="R21" s="1372"/>
      <c r="S21" s="1372"/>
      <c r="T21" s="1367"/>
      <c r="U21" s="1367"/>
      <c r="V21" s="1367"/>
      <c r="W21" s="1366"/>
      <c r="X21" s="1366"/>
      <c r="Y21" s="1366"/>
      <c r="Z21" s="1373"/>
      <c r="AA21" s="1374"/>
      <c r="AB21" s="1374"/>
      <c r="AC21" s="1374"/>
      <c r="AD21" s="1374"/>
      <c r="AE21" s="1374"/>
      <c r="AF21" s="1374"/>
    </row>
    <row r="22" spans="1:37" s="2731" customFormat="1" ht="14.25">
      <c r="A22" s="2657" t="s">
        <v>2897</v>
      </c>
      <c r="B22" s="2809" t="s">
        <v>2898</v>
      </c>
      <c r="C22" s="1806" t="s">
        <v>2899</v>
      </c>
      <c r="D22" s="1806">
        <f>IF(E22=G22,F22,IF(G3&lt;=10,ROUND(F22+(H22-F22)*(G3-E22)/(G22-E22),4),"——"))</f>
        <v>0</v>
      </c>
      <c r="E22" s="909">
        <f>ROUNDDOWN(G3,1)</f>
        <v>2.4</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8" t="s">
        <v>2900</v>
      </c>
      <c r="O22" s="1557"/>
      <c r="P22" s="1558">
        <f>SUMPRODUCT((地价!A3:A22=YEAR(G19)&amp;"-"&amp;ROUNDUP(MONTH(G19)/3,0))*(地价!AD2:AH2=N22)*(地价!AD3:AH22))</f>
        <v>1.5699999999999999E-2</v>
      </c>
      <c r="R22" s="1372"/>
      <c r="S22" s="1372"/>
      <c r="T22" s="1367"/>
      <c r="U22" s="1367"/>
      <c r="V22" s="1367"/>
      <c r="W22" s="1366"/>
      <c r="X22" s="1366"/>
      <c r="Y22" s="1366"/>
      <c r="Z22" s="1373"/>
      <c r="AA22" s="1374"/>
      <c r="AB22" s="1374"/>
      <c r="AC22" s="1374"/>
      <c r="AD22" s="1374"/>
      <c r="AE22" s="1374"/>
      <c r="AF22" s="1374"/>
    </row>
    <row r="23" spans="1:37" ht="27.75" thickBot="1">
      <c r="A23" s="2657" t="s">
        <v>2901</v>
      </c>
      <c r="B23" s="2810" t="s">
        <v>2902</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2903</v>
      </c>
      <c r="O23" s="1557"/>
      <c r="P23" s="1558">
        <f>SUMPRODUCT((地价!A3:A22=YEAR(G19)&amp;"-"&amp;ROUNDUP(MONTH(G19)/3,0))*(地价!AD2:AH2=N23)*(地价!AD3:AH22))</f>
        <v>2.5000000000000001E-2</v>
      </c>
      <c r="R23" s="1372"/>
      <c r="S23" s="1372"/>
      <c r="T23" s="1367"/>
      <c r="U23" s="1367"/>
      <c r="V23" s="1367"/>
      <c r="W23" s="1366"/>
      <c r="X23" s="1366"/>
      <c r="Y23" s="1366"/>
      <c r="Z23" s="1373"/>
      <c r="AA23" s="1374"/>
      <c r="AB23" s="1374"/>
      <c r="AC23" s="1374"/>
      <c r="AD23" s="1374"/>
      <c r="AK23" s="2789"/>
    </row>
    <row r="24" spans="1:37" s="2731" customFormat="1" ht="15.75" thickBot="1">
      <c r="A24" s="2797" t="s">
        <v>812</v>
      </c>
      <c r="B24" s="2783" t="s">
        <v>2904</v>
      </c>
      <c r="C24" s="920">
        <f>SUMIF(A45:A88,E2,B45:B88)</f>
        <v>0</v>
      </c>
      <c r="D24" s="2786"/>
      <c r="E24" s="2816"/>
      <c r="F24" s="2816"/>
      <c r="G24" s="2816"/>
      <c r="H24" s="2816"/>
      <c r="I24" s="2816"/>
      <c r="J24" s="2817"/>
      <c r="K24" s="1373"/>
      <c r="N24" s="2818" t="s">
        <v>2905</v>
      </c>
      <c r="O24" s="1559"/>
      <c r="P24" s="1560">
        <f>SUMPRODUCT((地价!A3:A22=YEAR(G19)&amp;"-"&amp;ROUNDUP(MONTH(G19)/3,0))*(地价!AD2:AH2=N24)*(地价!AD3:AH22))</f>
        <v>1.35E-2</v>
      </c>
      <c r="R24" s="1372"/>
      <c r="S24" s="1372"/>
      <c r="T24" s="1367"/>
      <c r="U24" s="1367"/>
      <c r="V24" s="1367"/>
      <c r="W24" s="1366"/>
      <c r="X24" s="1366"/>
      <c r="Y24" s="1366"/>
      <c r="Z24" s="1373"/>
      <c r="AA24" s="1374"/>
      <c r="AB24" s="1374"/>
      <c r="AC24" s="1374"/>
      <c r="AD24" s="1374"/>
      <c r="AE24" s="1374"/>
      <c r="AF24" s="1374"/>
    </row>
    <row r="25" spans="1:37" ht="15.75" thickBot="1">
      <c r="A25" s="2797" t="s">
        <v>813</v>
      </c>
      <c r="B25" s="2819" t="s">
        <v>2906</v>
      </c>
      <c r="C25" s="926"/>
      <c r="D25" s="2741"/>
      <c r="E25" s="2741"/>
      <c r="F25" s="2820"/>
      <c r="G25" s="2741"/>
      <c r="H25" s="2741"/>
      <c r="I25" s="2741"/>
      <c r="J25" s="2742"/>
      <c r="K25" s="1366"/>
      <c r="N25" s="2821" t="s">
        <v>2907</v>
      </c>
      <c r="O25" s="1561"/>
      <c r="P25" s="1560">
        <f>SUMPRODUCT((地价!A3:A22=YEAR(G19)&amp;"-"&amp;ROUNDUP(MONTH(G19)/3,0))*(地价!AD2:AH2=N25)*(地价!AD3:AH22))</f>
        <v>2.2700000000000001E-2</v>
      </c>
      <c r="R25" s="1372"/>
      <c r="S25" s="1372"/>
      <c r="T25" s="1367"/>
      <c r="U25" s="1367"/>
      <c r="V25" s="1367"/>
      <c r="W25" s="1366"/>
      <c r="X25" s="1366"/>
      <c r="Y25" s="1366"/>
      <c r="Z25" s="1373"/>
      <c r="AA25" s="1374"/>
      <c r="AB25" s="1374"/>
      <c r="AC25" s="1374"/>
      <c r="AD25" s="1374"/>
    </row>
    <row r="26" spans="1:37" ht="15">
      <c r="A26" s="2822"/>
      <c r="B26" s="2809" t="s">
        <v>2908</v>
      </c>
      <c r="C26" s="205" t="e">
        <f>E29+SUM(E33:E39)</f>
        <v>#DIV/0!</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75" thickBot="1">
      <c r="A27" s="2822"/>
      <c r="B27" s="2826" t="s">
        <v>2909</v>
      </c>
      <c r="C27" s="927" t="e">
        <f>E30+SUM(I33:I39)</f>
        <v>#DIV/0!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1"/>
      <c r="B28" s="2832" t="s">
        <v>2910</v>
      </c>
      <c r="C28" s="2833" t="s">
        <v>2911</v>
      </c>
      <c r="D28" s="2833" t="s">
        <v>2912</v>
      </c>
      <c r="E28" s="2834" t="s">
        <v>2913</v>
      </c>
      <c r="F28" s="2835"/>
      <c r="G28" s="2754"/>
      <c r="H28" s="2754"/>
      <c r="I28" s="2754"/>
      <c r="J28" s="2755"/>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2914</v>
      </c>
      <c r="C29" s="205" t="e">
        <f>ROUND(C5*C18*C19*C20*C21*C24,0)</f>
        <v>#DIV/0!</v>
      </c>
      <c r="D29" s="2838"/>
      <c r="E29" s="938" t="e">
        <f>ROUND(C29*D29/10000,0)</f>
        <v>#DIV/0!</v>
      </c>
      <c r="F29" s="2839" t="s">
        <v>2915</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3"/>
      <c r="AH29" s="2713"/>
      <c r="AI29" s="2713"/>
      <c r="AJ29" s="2713"/>
    </row>
    <row r="30" spans="1:37" ht="25.5" thickBot="1">
      <c r="A30" s="2842"/>
      <c r="B30" s="2843" t="s">
        <v>2916</v>
      </c>
      <c r="C30" s="228" t="e">
        <f>ROUND(IF(E2="工业",C29*M39,C29*M38),0)</f>
        <v>#DIV/0!</v>
      </c>
      <c r="D30" s="2844"/>
      <c r="E30" s="938" t="e">
        <f>ROUND(C30*D30/10000,0)</f>
        <v>#DIV/0!</v>
      </c>
      <c r="F30" s="2845" t="s">
        <v>2917</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3"/>
      <c r="AH30" s="2713"/>
      <c r="AI30" s="2713"/>
      <c r="AJ30" s="2713"/>
    </row>
    <row r="31" spans="1:37" ht="14.25">
      <c r="A31" s="2848"/>
      <c r="B31" s="2849" t="s">
        <v>2918</v>
      </c>
      <c r="C31" s="2850" t="s">
        <v>2919</v>
      </c>
      <c r="D31" s="2754"/>
      <c r="E31" s="2850"/>
      <c r="F31" s="2850"/>
      <c r="G31" s="2752" t="s">
        <v>2920</v>
      </c>
      <c r="H31" s="2754"/>
      <c r="I31" s="2851"/>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3"/>
      <c r="AH31" s="2713"/>
      <c r="AI31" s="2713"/>
      <c r="AJ31" s="2713"/>
    </row>
    <row r="32" spans="1:37" ht="24">
      <c r="A32" s="2836"/>
      <c r="B32" s="2852"/>
      <c r="C32" s="500" t="s">
        <v>2911</v>
      </c>
      <c r="D32" s="497" t="s">
        <v>2912</v>
      </c>
      <c r="E32" s="497" t="s">
        <v>2913</v>
      </c>
      <c r="F32" s="387" t="s">
        <v>2921</v>
      </c>
      <c r="G32" s="2853" t="s">
        <v>2911</v>
      </c>
      <c r="H32" s="2853" t="s">
        <v>2912</v>
      </c>
      <c r="I32" s="2853" t="s">
        <v>2913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3"/>
      <c r="AH32" s="2713"/>
      <c r="AI32" s="2713"/>
      <c r="AJ32" s="2713"/>
    </row>
    <row r="33" spans="1:37" ht="36" customHeight="1">
      <c r="A33" s="3317" t="s">
        <v>2922</v>
      </c>
      <c r="B33" s="2854" t="s">
        <v>2923</v>
      </c>
      <c r="C33" s="205" t="e">
        <f>ROUND(D5*C19*C20*C24*F33,0)</f>
        <v>#DIV/0!</v>
      </c>
      <c r="D33" s="2838"/>
      <c r="E33" s="199" t="e">
        <f>ROUND(C33*D33/10000,0)</f>
        <v>#DIV/0!</v>
      </c>
      <c r="F33" s="199">
        <f>SUMIF(修正!A45:A56,G2,修正!B45:B56)</f>
        <v>0</v>
      </c>
      <c r="G33" s="199" t="e">
        <f t="shared" ref="G33:G39" si="6">ROUND(IF(E2="工业",C33*$M$39,C33*$M$38),0)</f>
        <v>#DIV/0!</v>
      </c>
      <c r="H33" s="199">
        <f>D33</f>
        <v>0</v>
      </c>
      <c r="I33" s="199" t="e">
        <f>ROUND(G33*H33/10000,0)</f>
        <v>#DIV/0!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18"/>
      <c r="B34" s="2758" t="s">
        <v>2924</v>
      </c>
      <c r="C34" s="205" t="e">
        <f>ROUND(D5*C19*C20*C24*F34,0)</f>
        <v>#DIV/0!</v>
      </c>
      <c r="D34" s="2838"/>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18"/>
      <c r="B35" s="2758" t="s">
        <v>2925</v>
      </c>
      <c r="C35" s="205" t="e">
        <f>ROUND(D5*C19*C20*C24*F35,0)</f>
        <v>#DIV/0!</v>
      </c>
      <c r="D35" s="2838"/>
      <c r="E35" s="199" t="e">
        <f t="shared" si="7"/>
        <v>#DIV/0!</v>
      </c>
      <c r="F35" s="199">
        <f>SUMIF(修正!A45:A56,G2,修正!D45:D56)</f>
        <v>0</v>
      </c>
      <c r="G35" s="199" t="e">
        <f t="shared" si="6"/>
        <v>#DIV/0!</v>
      </c>
      <c r="H35" s="199">
        <f t="shared" si="8"/>
        <v>0</v>
      </c>
      <c r="I35" s="199" t="e">
        <f t="shared" si="9"/>
        <v>#DIV/0!</v>
      </c>
      <c r="J35" s="2855"/>
      <c r="K35" s="1366"/>
      <c r="L35" s="1366"/>
      <c r="M35" s="1366"/>
      <c r="N35" s="1366"/>
      <c r="O35" s="1366"/>
      <c r="P35" s="1366"/>
      <c r="Q35" s="1366"/>
      <c r="R35" s="1366"/>
      <c r="S35" s="1366"/>
      <c r="T35" s="1366"/>
      <c r="U35" s="1366"/>
      <c r="V35" s="1366"/>
      <c r="W35" s="1366"/>
      <c r="X35" s="1366"/>
      <c r="Y35" s="1366"/>
      <c r="Z35" s="1367"/>
    </row>
    <row r="36" spans="1:37" ht="13.5" thickBot="1">
      <c r="A36" s="3319"/>
      <c r="B36" s="2758" t="s">
        <v>2926</v>
      </c>
      <c r="C36" s="205" t="e">
        <f>ROUND(D5*C19*C20*C24*F36,0)</f>
        <v>#DIV/0!</v>
      </c>
      <c r="D36" s="2838"/>
      <c r="E36" s="199" t="e">
        <f t="shared" si="7"/>
        <v>#DIV/0!</v>
      </c>
      <c r="F36" s="199">
        <f>SUMIF(修正!A45:A56,G2,修正!E45:E56)</f>
        <v>0</v>
      </c>
      <c r="G36" s="199" t="e">
        <f t="shared" si="6"/>
        <v>#DIV/0!</v>
      </c>
      <c r="H36" s="199">
        <f t="shared" si="8"/>
        <v>0</v>
      </c>
      <c r="I36" s="199" t="e">
        <f t="shared" si="9"/>
        <v>#DIV/0!</v>
      </c>
      <c r="J36" s="2855"/>
      <c r="K36" s="1366"/>
      <c r="L36" s="2712"/>
      <c r="M36" s="2712"/>
      <c r="N36" s="1366"/>
      <c r="O36" s="1366"/>
      <c r="P36" s="1366"/>
      <c r="Q36" s="1366"/>
      <c r="R36" s="1366"/>
      <c r="S36" s="1366"/>
      <c r="T36" s="1366"/>
      <c r="U36" s="1366"/>
      <c r="V36" s="1366"/>
      <c r="W36" s="1366"/>
      <c r="X36" s="1366"/>
      <c r="Y36" s="1366"/>
      <c r="Z36" s="1367"/>
    </row>
    <row r="37" spans="1:37">
      <c r="A37" s="2856"/>
      <c r="B37" s="2758" t="s">
        <v>2927</v>
      </c>
      <c r="C37" s="199" t="e">
        <f>ROUND(C5*C19*C20*C24*F37,0)</f>
        <v>#DIV/0!</v>
      </c>
      <c r="D37" s="2838"/>
      <c r="E37" s="199" t="e">
        <f t="shared" si="7"/>
        <v>#DIV/0!</v>
      </c>
      <c r="F37" s="205">
        <f>SUMIF(修正!A45:A56,G2,修正!F45:F56)</f>
        <v>0</v>
      </c>
      <c r="G37" s="199" t="e">
        <f t="shared" si="6"/>
        <v>#DIV/0!</v>
      </c>
      <c r="H37" s="199">
        <f t="shared" si="8"/>
        <v>0</v>
      </c>
      <c r="I37" s="199" t="e">
        <f t="shared" si="9"/>
        <v>#DIV/0!</v>
      </c>
      <c r="J37" s="2855"/>
      <c r="K37" s="1366"/>
      <c r="L37" s="2857" t="s">
        <v>2928</v>
      </c>
      <c r="M37" s="2858"/>
      <c r="N37" s="1366"/>
      <c r="O37" s="1366"/>
      <c r="P37" s="1366"/>
      <c r="Q37" s="1366"/>
      <c r="R37" s="1366"/>
      <c r="S37" s="1366"/>
      <c r="T37" s="1366"/>
      <c r="U37" s="1366"/>
      <c r="V37" s="1366"/>
      <c r="W37" s="1366"/>
      <c r="X37" s="1366"/>
      <c r="Y37" s="1366"/>
      <c r="Z37" s="1367"/>
    </row>
    <row r="38" spans="1:37">
      <c r="A38" s="2856"/>
      <c r="B38" s="2758" t="s">
        <v>2929</v>
      </c>
      <c r="C38" s="199" t="e">
        <f>ROUND(C5*C19*C20*C24*F38,0)</f>
        <v>#DIV/0!</v>
      </c>
      <c r="D38" s="2838"/>
      <c r="E38" s="199" t="e">
        <f t="shared" si="7"/>
        <v>#DIV/0!</v>
      </c>
      <c r="F38" s="205">
        <f>SUMIF(修正!A45:A56,G2,修正!G45:G56)</f>
        <v>0</v>
      </c>
      <c r="G38" s="199" t="e">
        <f t="shared" si="6"/>
        <v>#DIV/0!</v>
      </c>
      <c r="H38" s="199">
        <f t="shared" si="8"/>
        <v>0</v>
      </c>
      <c r="I38" s="199" t="e">
        <f t="shared" si="9"/>
        <v>#DIV/0!</v>
      </c>
      <c r="J38" s="2855"/>
      <c r="K38" s="1366"/>
      <c r="L38" s="1883" t="s">
        <v>2930</v>
      </c>
      <c r="M38" s="2859">
        <v>0.25</v>
      </c>
      <c r="N38" s="1366"/>
      <c r="O38" s="1366"/>
      <c r="P38" s="1366"/>
      <c r="Q38" s="1366"/>
      <c r="R38" s="1366"/>
      <c r="S38" s="1366"/>
      <c r="T38" s="1366"/>
      <c r="U38" s="1366"/>
      <c r="V38" s="1366"/>
      <c r="W38" s="1366"/>
      <c r="X38" s="1366"/>
      <c r="Y38" s="1366"/>
      <c r="Z38" s="1367"/>
    </row>
    <row r="39" spans="1:37" ht="13.5" thickBot="1">
      <c r="A39" s="2842"/>
      <c r="B39" s="2860" t="s">
        <v>2931</v>
      </c>
      <c r="C39" s="228" t="e">
        <f>ROUND(C5*C19*C20*C24*F39,0)</f>
        <v>#DIV/0!</v>
      </c>
      <c r="D39" s="2844"/>
      <c r="E39" s="228" t="e">
        <f t="shared" si="7"/>
        <v>#DIV/0!</v>
      </c>
      <c r="F39" s="928">
        <f>SUMIF(修正!A45:A56,G2,修正!H45:H56)</f>
        <v>0</v>
      </c>
      <c r="G39" s="228" t="e">
        <f t="shared" si="6"/>
        <v>#DIV/0!</v>
      </c>
      <c r="H39" s="228">
        <f t="shared" si="8"/>
        <v>0</v>
      </c>
      <c r="I39" s="228" t="e">
        <f t="shared" si="9"/>
        <v>#DIV/0!</v>
      </c>
      <c r="J39" s="2861"/>
      <c r="K39" s="1366"/>
      <c r="L39" s="2862" t="s">
        <v>2872</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75" thickBot="1">
      <c r="A45" s="2865" t="s">
        <v>2932</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c r="A46" s="2867" t="s">
        <v>2933</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c r="A47" s="2871" t="s">
        <v>2934</v>
      </c>
      <c r="B47" s="1805" t="s">
        <v>2935</v>
      </c>
      <c r="C47" s="1805" t="s">
        <v>2936</v>
      </c>
      <c r="D47" s="1805" t="s">
        <v>2937</v>
      </c>
      <c r="E47" s="812" t="s">
        <v>2938</v>
      </c>
      <c r="F47" s="2872" t="s">
        <v>2939</v>
      </c>
      <c r="G47" s="1805" t="s">
        <v>754</v>
      </c>
      <c r="H47" s="2873" t="s">
        <v>2940</v>
      </c>
      <c r="I47" s="1805" t="s">
        <v>2941</v>
      </c>
      <c r="J47" s="602" t="s">
        <v>2589</v>
      </c>
      <c r="K47" s="602" t="s">
        <v>2590</v>
      </c>
      <c r="L47" s="602" t="s">
        <v>2591</v>
      </c>
      <c r="M47" s="602" t="s">
        <v>2592</v>
      </c>
      <c r="N47" s="602" t="s">
        <v>2593</v>
      </c>
      <c r="AA47" s="1367"/>
      <c r="AB47" s="1367"/>
      <c r="AC47" s="1367"/>
      <c r="AD47" s="1367"/>
      <c r="AE47" s="1367"/>
      <c r="AF47" s="1367"/>
      <c r="AG47" s="1367"/>
      <c r="AH47" s="1367"/>
      <c r="AI47" s="1367"/>
      <c r="AJ47" s="1367"/>
      <c r="AK47" s="1367"/>
    </row>
    <row r="48" spans="1:37" s="1366" customFormat="1" ht="51">
      <c r="A48" s="2871" t="s">
        <v>2942</v>
      </c>
      <c r="B48" s="2874" t="str">
        <f>估价对象房地状况!C4</f>
        <v>估价对象位于曲江新区，周边商业氛围较不成熟，人流量一般，商业繁华度一般。</v>
      </c>
      <c r="C48" s="2763"/>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3.75">
      <c r="A49" s="2871" t="s">
        <v>2943</v>
      </c>
      <c r="B49" s="2875" t="str">
        <f>估价对象房地状况!C18</f>
        <v>估价对象周边道路通达状况一般、公共交通通达情况一般、停车便捷程度一般，综合评价交通便捷度一般。</v>
      </c>
      <c r="C49" s="2763"/>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1" t="s">
        <v>2944</v>
      </c>
      <c r="B50" s="2875">
        <f>估价对象房地状况!C19</f>
        <v>0</v>
      </c>
      <c r="C50" s="2763"/>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1" t="s">
        <v>2945</v>
      </c>
      <c r="B51" s="2876" t="s">
        <v>2946</v>
      </c>
      <c r="C51" s="2763"/>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1" t="s">
        <v>2947</v>
      </c>
      <c r="B52" s="2875">
        <f>估价对象房地状况!C24</f>
        <v>0</v>
      </c>
      <c r="C52" s="2763"/>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1" t="s">
        <v>2948</v>
      </c>
      <c r="B53" s="2877" t="s">
        <v>2949</v>
      </c>
      <c r="C53" s="2763"/>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14.75">
      <c r="A54" s="2878" t="s">
        <v>2950</v>
      </c>
      <c r="B54" s="1721" t="str">
        <f>估价对象房地状况!C21</f>
        <v>估价对象所在区域2公里范围内有：银行（恒丰银行、中国建设银行），商场（佳乐购物中心、西安安瑞桥超市），医院（西北妇女儿童医院），学校（三兆小学、曲江第二幼儿园）等，公共配套设施齐备情况较好。</v>
      </c>
      <c r="C54" s="2763"/>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8" t="s">
        <v>2951</v>
      </c>
      <c r="B55" s="2875" t="str">
        <f>估价对象房地状况!C22</f>
        <v>估价对象所在区域基础设施水平达到“七通”。</v>
      </c>
      <c r="C55" s="2763"/>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79" t="s">
        <v>2952</v>
      </c>
      <c r="B56" s="2880" t="str">
        <f>估价对象房地状况!C20</f>
        <v>区域自然环境：杜陵遗址生态公园；人文环境：厦门华侨博物馆；综合评价环境状况较好。</v>
      </c>
      <c r="C56" s="2763"/>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7" t="s">
        <v>2953</v>
      </c>
      <c r="B57" s="2868">
        <f>1+E59</f>
        <v>1</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1" t="s">
        <v>2934</v>
      </c>
      <c r="B58" s="1805"/>
      <c r="C58" s="1805" t="s">
        <v>2936</v>
      </c>
      <c r="D58" s="1805" t="s">
        <v>2937</v>
      </c>
      <c r="E58" s="812" t="s">
        <v>2938</v>
      </c>
      <c r="F58" s="2872" t="s">
        <v>2954</v>
      </c>
      <c r="G58" s="1805" t="s">
        <v>754</v>
      </c>
      <c r="H58" s="2873" t="s">
        <v>2940</v>
      </c>
      <c r="I58" s="1805" t="s">
        <v>2941</v>
      </c>
      <c r="J58" s="602" t="s">
        <v>2589</v>
      </c>
      <c r="K58" s="602" t="s">
        <v>2590</v>
      </c>
      <c r="L58" s="602" t="s">
        <v>2591</v>
      </c>
      <c r="M58" s="602" t="s">
        <v>2592</v>
      </c>
      <c r="N58" s="602" t="s">
        <v>2593</v>
      </c>
      <c r="AA58" s="1367"/>
      <c r="AB58" s="1367"/>
      <c r="AC58" s="1367"/>
      <c r="AD58" s="1367"/>
      <c r="AE58" s="1367"/>
      <c r="AF58" s="1367"/>
      <c r="AG58" s="1367"/>
      <c r="AH58" s="1367"/>
      <c r="AI58" s="1367"/>
      <c r="AJ58" s="1367"/>
      <c r="AK58" s="1367"/>
    </row>
    <row r="59" spans="1:37" s="1366" customFormat="1" ht="51">
      <c r="A59" s="2871" t="s">
        <v>2955</v>
      </c>
      <c r="B59" s="2874" t="str">
        <f>估价对象房地状况!C17</f>
        <v>估价对象位于曲江新区，周边办公楼项目数量一般，入驻率一般，办公集聚程度一般。</v>
      </c>
      <c r="C59" s="2763"/>
      <c r="D59" s="1282">
        <f t="shared" ref="D59:D67" si="15">SUMIF($J$58:$N$58,C59,J59:N59)</f>
        <v>0</v>
      </c>
      <c r="E59" s="814">
        <f>ROUND(SUM(D59:D67),4)</f>
        <v>0</v>
      </c>
      <c r="F59" s="2494"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3.75">
      <c r="A60" s="2871" t="s">
        <v>2943</v>
      </c>
      <c r="B60" s="2875" t="str">
        <f>估价对象房地状况!C18</f>
        <v>估价对象周边道路通达状况一般、公共交通通达情况一般、停车便捷程度一般，综合评价交通便捷度一般。</v>
      </c>
      <c r="C60" s="2763"/>
      <c r="D60" s="1282">
        <f t="shared" si="15"/>
        <v>0</v>
      </c>
      <c r="E60" s="815"/>
      <c r="F60" s="2494"/>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1" t="s">
        <v>2944</v>
      </c>
      <c r="B61" s="2875">
        <f>估价对象房地状况!C19</f>
        <v>0</v>
      </c>
      <c r="C61" s="2763"/>
      <c r="D61" s="1282">
        <f t="shared" si="15"/>
        <v>0</v>
      </c>
      <c r="E61" s="815"/>
      <c r="F61" s="2494"/>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1" t="s">
        <v>2945</v>
      </c>
      <c r="B62" s="2876" t="s">
        <v>2946</v>
      </c>
      <c r="C62" s="2763"/>
      <c r="D62" s="1282">
        <f t="shared" si="15"/>
        <v>0</v>
      </c>
      <c r="E62" s="815"/>
      <c r="F62" s="2494"/>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1" t="s">
        <v>2947</v>
      </c>
      <c r="B63" s="2875">
        <f>估价对象房地状况!C24</f>
        <v>0</v>
      </c>
      <c r="C63" s="2763"/>
      <c r="D63" s="1282">
        <f t="shared" si="15"/>
        <v>0</v>
      </c>
      <c r="E63" s="815"/>
      <c r="F63" s="2494"/>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1" t="s">
        <v>2948</v>
      </c>
      <c r="B64" s="2877" t="s">
        <v>2949</v>
      </c>
      <c r="C64" s="2763"/>
      <c r="D64" s="1282">
        <f t="shared" si="15"/>
        <v>0</v>
      </c>
      <c r="E64" s="815"/>
      <c r="F64" s="2494"/>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14.75">
      <c r="A65" s="2871" t="s">
        <v>2950</v>
      </c>
      <c r="B65" s="1721" t="str">
        <f>估价对象房地状况!C21</f>
        <v>估价对象所在区域2公里范围内有：银行（恒丰银行、中国建设银行），商场（佳乐购物中心、西安安瑞桥超市），医院（西北妇女儿童医院），学校（三兆小学、曲江第二幼儿园）等，公共配套设施齐备情况较好。</v>
      </c>
      <c r="C65" s="2763"/>
      <c r="D65" s="1282">
        <f t="shared" si="15"/>
        <v>0</v>
      </c>
      <c r="E65" s="815"/>
      <c r="F65" s="2494"/>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1" t="s">
        <v>2951</v>
      </c>
      <c r="B66" s="1721" t="str">
        <f>估价对象房地状况!C22</f>
        <v>估价对象所在区域基础设施水平达到“七通”。</v>
      </c>
      <c r="C66" s="2763"/>
      <c r="D66" s="1282">
        <f t="shared" si="15"/>
        <v>0</v>
      </c>
      <c r="E66" s="815"/>
      <c r="F66" s="2494"/>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79" t="s">
        <v>2952</v>
      </c>
      <c r="B67" s="2881" t="str">
        <f>估价对象房地状况!C20</f>
        <v>区域自然环境：杜陵遗址生态公园；人文环境：厦门华侨博物馆；综合评价环境状况较好。</v>
      </c>
      <c r="C67" s="2763"/>
      <c r="D67" s="1282">
        <f t="shared" si="15"/>
        <v>0</v>
      </c>
      <c r="E67" s="818"/>
      <c r="F67" s="2494"/>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7" t="s">
        <v>2956</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1" t="s">
        <v>2934</v>
      </c>
      <c r="B69" s="1805"/>
      <c r="C69" s="1805" t="s">
        <v>2936</v>
      </c>
      <c r="D69" s="1805" t="s">
        <v>2937</v>
      </c>
      <c r="E69" s="812" t="s">
        <v>2938</v>
      </c>
      <c r="F69" s="2872" t="s">
        <v>2954</v>
      </c>
      <c r="G69" s="1805" t="s">
        <v>754</v>
      </c>
      <c r="H69" s="2873" t="s">
        <v>2940</v>
      </c>
      <c r="I69" s="1805" t="s">
        <v>2941</v>
      </c>
      <c r="J69" s="602" t="s">
        <v>2589</v>
      </c>
      <c r="K69" s="602" t="s">
        <v>2590</v>
      </c>
      <c r="L69" s="602" t="s">
        <v>2591</v>
      </c>
      <c r="M69" s="602" t="s">
        <v>2592</v>
      </c>
      <c r="N69" s="602" t="s">
        <v>2593</v>
      </c>
      <c r="AA69" s="1367"/>
      <c r="AB69" s="1367"/>
      <c r="AC69" s="1367"/>
      <c r="AD69" s="1367"/>
      <c r="AE69" s="1367"/>
      <c r="AF69" s="1367"/>
      <c r="AG69" s="1367"/>
      <c r="AH69" s="1367"/>
      <c r="AI69" s="1367"/>
      <c r="AJ69" s="1367"/>
      <c r="AK69" s="1367"/>
    </row>
    <row r="70" spans="1:37" s="1366" customFormat="1" ht="24">
      <c r="A70" s="2871" t="s">
        <v>2957</v>
      </c>
      <c r="B70" s="2874">
        <f>估价对象房地状况!C15</f>
        <v>0</v>
      </c>
      <c r="C70" s="2763"/>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3.75">
      <c r="A71" s="2871" t="s">
        <v>2943</v>
      </c>
      <c r="B71" s="2875" t="str">
        <f>估价对象房地状况!C18</f>
        <v>估价对象周边道路通达状况一般、公共交通通达情况一般、停车便捷程度一般，综合评价交通便捷度一般。</v>
      </c>
      <c r="C71" s="2763"/>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1" t="s">
        <v>2944</v>
      </c>
      <c r="B72" s="2875">
        <f>估价对象房地状况!C19</f>
        <v>0</v>
      </c>
      <c r="C72" s="2763"/>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1" t="s">
        <v>2958</v>
      </c>
      <c r="B73" s="2875">
        <f>估价对象房地状况!C24</f>
        <v>0</v>
      </c>
      <c r="C73" s="2763"/>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14.75">
      <c r="A74" s="2871" t="s">
        <v>2950</v>
      </c>
      <c r="B74" s="1721" t="str">
        <f>估价对象房地状况!C21</f>
        <v>估价对象所在区域2公里范围内有：银行（恒丰银行、中国建设银行），商场（佳乐购物中心、西安安瑞桥超市），医院（西北妇女儿童医院），学校（三兆小学、曲江第二幼儿园）等，公共配套设施齐备情况较好。</v>
      </c>
      <c r="C74" s="2763"/>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1" t="s">
        <v>2951</v>
      </c>
      <c r="B75" s="1721" t="str">
        <f>估价对象房地状况!C22</f>
        <v>估价对象所在区域基础设施水平达到“七通”。</v>
      </c>
      <c r="C75" s="2763"/>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24">
      <c r="A76" s="2871" t="s">
        <v>2948</v>
      </c>
      <c r="B76" s="2877" t="s">
        <v>2949</v>
      </c>
      <c r="C76" s="2763"/>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51">
      <c r="A77" s="2871" t="s">
        <v>2952</v>
      </c>
      <c r="B77" s="2874" t="str">
        <f>估价对象房地状况!C20</f>
        <v>区域自然环境：杜陵遗址生态公园；人文环境：厦门华侨博物馆；综合评价环境状况较好。</v>
      </c>
      <c r="C77" s="2763"/>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3"/>
      <c r="AA77" s="2789"/>
      <c r="AG77" s="1368"/>
      <c r="AK77" s="2789"/>
    </row>
    <row r="78" spans="1:37" ht="24.75" thickBot="1">
      <c r="A78" s="2879" t="s">
        <v>2959</v>
      </c>
      <c r="B78" s="2883"/>
      <c r="C78" s="2763"/>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3"/>
      <c r="AA78" s="2789"/>
      <c r="AG78" s="1368"/>
      <c r="AK78" s="2789"/>
    </row>
    <row r="79" spans="1:37" ht="15">
      <c r="A79" s="2867" t="s">
        <v>2960</v>
      </c>
      <c r="B79" s="2868">
        <f>1+E81</f>
        <v>1</v>
      </c>
      <c r="C79" s="807"/>
      <c r="D79" s="807"/>
      <c r="E79" s="808"/>
      <c r="F79" s="2870"/>
      <c r="G79" s="6"/>
      <c r="H79" s="6"/>
      <c r="I79" s="6"/>
      <c r="J79" s="7"/>
      <c r="K79" s="7"/>
      <c r="L79" s="7"/>
      <c r="M79" s="7"/>
      <c r="N79" s="7"/>
      <c r="Z79" s="2713"/>
      <c r="AA79" s="2789"/>
      <c r="AG79" s="1368"/>
      <c r="AK79" s="2789"/>
    </row>
    <row r="80" spans="1:37" ht="24.75">
      <c r="A80" s="2871" t="s">
        <v>2934</v>
      </c>
      <c r="B80" s="1805"/>
      <c r="C80" s="1805" t="s">
        <v>2936</v>
      </c>
      <c r="D80" s="1805" t="s">
        <v>2937</v>
      </c>
      <c r="E80" s="812" t="s">
        <v>2938</v>
      </c>
      <c r="F80" s="2872" t="s">
        <v>2954</v>
      </c>
      <c r="G80" s="1805" t="s">
        <v>754</v>
      </c>
      <c r="H80" s="2873" t="s">
        <v>2940</v>
      </c>
      <c r="I80" s="1805" t="s">
        <v>2941</v>
      </c>
      <c r="J80" s="602" t="s">
        <v>2589</v>
      </c>
      <c r="K80" s="602" t="s">
        <v>2590</v>
      </c>
      <c r="L80" s="602" t="s">
        <v>2591</v>
      </c>
      <c r="M80" s="602" t="s">
        <v>2592</v>
      </c>
      <c r="N80" s="602" t="s">
        <v>2593</v>
      </c>
      <c r="Z80" s="2713"/>
      <c r="AA80" s="2789"/>
      <c r="AG80" s="1368"/>
      <c r="AK80" s="2789"/>
    </row>
    <row r="81" spans="1:37" ht="38.25">
      <c r="A81" s="2871" t="s">
        <v>2961</v>
      </c>
      <c r="B81" s="2875" t="str">
        <f>估价对象房地状况!G15</f>
        <v>估价对象位于XX开发区，园区建设成熟度XX，产业集聚程度XX</v>
      </c>
      <c r="C81" s="2763"/>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3"/>
      <c r="AA81" s="2789"/>
      <c r="AG81" s="1368"/>
      <c r="AK81" s="2789"/>
    </row>
    <row r="82" spans="1:37" ht="51">
      <c r="A82" s="2871" t="s">
        <v>2943</v>
      </c>
      <c r="B82" s="2875" t="str">
        <f>估价对象房地状况!G16</f>
        <v>估价对象周边道路状况、公共交通通达情况、停车便捷程度，综合评价交通便捷度较好</v>
      </c>
      <c r="C82" s="2763"/>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3"/>
      <c r="AA82" s="2789"/>
      <c r="AG82" s="1368"/>
      <c r="AK82" s="2789"/>
    </row>
    <row r="83" spans="1:37" ht="24">
      <c r="A83" s="2871" t="s">
        <v>2944</v>
      </c>
      <c r="B83" s="2875">
        <f>估价对象房地状况!G17</f>
        <v>0</v>
      </c>
      <c r="C83" s="2763"/>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3"/>
      <c r="AA83" s="2789"/>
      <c r="AG83" s="1368"/>
      <c r="AK83" s="2789"/>
    </row>
    <row r="84" spans="1:37" ht="14.25">
      <c r="A84" s="2871" t="s">
        <v>2958</v>
      </c>
      <c r="B84" s="2875">
        <f>估价对象房地状况!G22</f>
        <v>0</v>
      </c>
      <c r="C84" s="2763"/>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3"/>
      <c r="AA84" s="2789"/>
      <c r="AG84" s="1368"/>
      <c r="AK84" s="2789"/>
    </row>
    <row r="85" spans="1:37" ht="25.5">
      <c r="A85" s="2871" t="s">
        <v>2950</v>
      </c>
      <c r="B85" s="1721" t="str">
        <f>估价对象房地状况!G19</f>
        <v>估价对象所在区域公共配套设施齐备情况</v>
      </c>
      <c r="C85" s="2763"/>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3"/>
      <c r="AA85" s="2789"/>
      <c r="AG85" s="1368"/>
      <c r="AK85" s="2789"/>
    </row>
    <row r="86" spans="1:37" ht="25.5">
      <c r="A86" s="2871" t="s">
        <v>2951</v>
      </c>
      <c r="B86" s="1721" t="str">
        <f>估价对象房地状况!G20</f>
        <v>估价对象所在区域基础设施水平</v>
      </c>
      <c r="C86" s="2763"/>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3"/>
      <c r="AA86" s="2789"/>
      <c r="AG86" s="1368"/>
      <c r="AK86" s="2789"/>
    </row>
    <row r="87" spans="1:37" ht="24">
      <c r="A87" s="2871" t="s">
        <v>2948</v>
      </c>
      <c r="B87" s="2877" t="s">
        <v>2962</v>
      </c>
      <c r="C87" s="2763"/>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3"/>
      <c r="AA87" s="2789"/>
      <c r="AG87" s="1368"/>
      <c r="AK87" s="2789"/>
    </row>
    <row r="88" spans="1:37" ht="39" thickBot="1">
      <c r="A88" s="2879" t="s">
        <v>2963</v>
      </c>
      <c r="B88" s="2884" t="str">
        <f>估价对象房地状况!G18</f>
        <v>该园区内是否有污染型企业，绿化情况，卫生条件，整体环境状况判断</v>
      </c>
      <c r="C88" s="2763"/>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3"/>
      <c r="AA88" s="2789"/>
      <c r="AG88" s="1368"/>
      <c r="AK88" s="2789"/>
    </row>
    <row r="90" spans="1:37">
      <c r="A90" s="3311" t="s">
        <v>2964</v>
      </c>
      <c r="B90" s="3311"/>
      <c r="C90" s="3311"/>
      <c r="D90" s="3311"/>
      <c r="E90" s="3311"/>
      <c r="F90" s="3311"/>
      <c r="G90" s="3311"/>
      <c r="H90" s="3311"/>
      <c r="I90" s="3311"/>
      <c r="J90" s="3311"/>
      <c r="K90" s="2885"/>
      <c r="L90" s="2885"/>
      <c r="M90" s="2885"/>
      <c r="N90" s="2885"/>
    </row>
    <row r="91" spans="1:37">
      <c r="A91" s="3313" t="s">
        <v>2965</v>
      </c>
      <c r="B91" s="3313" t="s">
        <v>2966</v>
      </c>
      <c r="C91" s="2839" t="s">
        <v>2967</v>
      </c>
      <c r="D91" s="2840"/>
      <c r="E91" s="2840"/>
      <c r="F91" s="2840"/>
      <c r="G91" s="2840"/>
      <c r="H91" s="2840"/>
      <c r="I91" s="2840"/>
      <c r="J91" s="2886"/>
      <c r="K91" s="2887"/>
      <c r="L91" s="2887"/>
      <c r="M91" s="2887"/>
      <c r="N91" s="2887"/>
    </row>
    <row r="92" spans="1:37">
      <c r="A92" s="3313"/>
      <c r="B92" s="3313"/>
      <c r="C92" s="938" t="s">
        <v>2831</v>
      </c>
      <c r="D92" s="938" t="s">
        <v>2832</v>
      </c>
      <c r="E92" s="938" t="s">
        <v>2833</v>
      </c>
      <c r="F92" s="938" t="s">
        <v>2834</v>
      </c>
      <c r="G92" s="938" t="s">
        <v>2835</v>
      </c>
      <c r="H92" s="938" t="s">
        <v>2836</v>
      </c>
      <c r="I92" s="938" t="s">
        <v>2837</v>
      </c>
      <c r="J92" s="938" t="s">
        <v>2838</v>
      </c>
      <c r="K92" s="938" t="s">
        <v>2839</v>
      </c>
      <c r="L92" s="938" t="s">
        <v>2840</v>
      </c>
      <c r="M92" s="938" t="s">
        <v>2841</v>
      </c>
      <c r="N92" s="938" t="s">
        <v>2842</v>
      </c>
    </row>
    <row r="93" spans="1:37">
      <c r="A93" s="3314" t="s">
        <v>2968</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1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1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1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1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1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15"/>
      <c r="B99" s="2888" t="s">
        <v>2847</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1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14" t="s">
        <v>2969</v>
      </c>
      <c r="B101" s="2892" t="s">
        <v>2970</v>
      </c>
      <c r="C101" s="2893">
        <f>$G$3</f>
        <v>2.41</v>
      </c>
      <c r="D101" s="2893">
        <f t="shared" ref="D101:N101" si="31">$G$3</f>
        <v>2.41</v>
      </c>
      <c r="E101" s="2893">
        <f t="shared" si="31"/>
        <v>2.41</v>
      </c>
      <c r="F101" s="2893">
        <f t="shared" si="31"/>
        <v>2.41</v>
      </c>
      <c r="G101" s="2893">
        <f t="shared" si="31"/>
        <v>2.41</v>
      </c>
      <c r="H101" s="2893">
        <f t="shared" si="31"/>
        <v>2.41</v>
      </c>
      <c r="I101" s="2893">
        <f t="shared" si="31"/>
        <v>2.41</v>
      </c>
      <c r="J101" s="2893">
        <f t="shared" si="31"/>
        <v>2.41</v>
      </c>
      <c r="K101" s="2893">
        <f t="shared" si="31"/>
        <v>2.41</v>
      </c>
      <c r="L101" s="2893">
        <f t="shared" si="31"/>
        <v>2.41</v>
      </c>
      <c r="M101" s="2893">
        <f t="shared" si="31"/>
        <v>2.41</v>
      </c>
      <c r="N101" s="2893">
        <f t="shared" si="31"/>
        <v>2.41</v>
      </c>
    </row>
    <row r="102" spans="1:14">
      <c r="A102" s="3315"/>
      <c r="B102" s="2888">
        <v>1</v>
      </c>
      <c r="C102" s="2889">
        <f>1.9362/C101</f>
        <v>0.80340248962655592</v>
      </c>
      <c r="D102" s="2889">
        <f>1.9362/D101</f>
        <v>0.80340248962655592</v>
      </c>
      <c r="E102" s="2889">
        <f>1.8629/E101</f>
        <v>0.7729875518672199</v>
      </c>
      <c r="F102" s="2889">
        <f>1.8629/F101</f>
        <v>0.7729875518672199</v>
      </c>
      <c r="G102" s="2889">
        <f>1.8629/G101</f>
        <v>0.7729875518672199</v>
      </c>
      <c r="H102" s="2889">
        <f>1.8629/H101</f>
        <v>0.7729875518672199</v>
      </c>
      <c r="I102" s="2889">
        <f>1.8629/I101</f>
        <v>0.7729875518672199</v>
      </c>
      <c r="J102" s="2889">
        <f>1.942/J101</f>
        <v>0.80580912863070531</v>
      </c>
      <c r="K102" s="2889">
        <f>1.942/K101</f>
        <v>0.80580912863070531</v>
      </c>
      <c r="L102" s="2889">
        <f>1.942/L101</f>
        <v>0.80580912863070531</v>
      </c>
      <c r="M102" s="2889">
        <f>1.942/M101</f>
        <v>0.80580912863070531</v>
      </c>
      <c r="N102" s="2889">
        <f>1.942/N101</f>
        <v>0.80580912863070531</v>
      </c>
    </row>
    <row r="103" spans="1:14">
      <c r="A103" s="3315"/>
      <c r="B103" s="2888">
        <v>2</v>
      </c>
      <c r="C103" s="2889">
        <f>1.4198/C101</f>
        <v>0.58912863070539412</v>
      </c>
      <c r="D103" s="2889">
        <f>1.4198/D101</f>
        <v>0.58912863070539412</v>
      </c>
      <c r="E103" s="2889">
        <f>1.3372/E101</f>
        <v>0.55485477178423226</v>
      </c>
      <c r="F103" s="2889">
        <f>1.3372/F101</f>
        <v>0.55485477178423226</v>
      </c>
      <c r="G103" s="2889">
        <f>1.3372/G101</f>
        <v>0.55485477178423226</v>
      </c>
      <c r="H103" s="2889">
        <f>1.3372/H101</f>
        <v>0.55485477178423226</v>
      </c>
      <c r="I103" s="2889">
        <f>1.3372/I101</f>
        <v>0.55485477178423226</v>
      </c>
      <c r="J103" s="2889">
        <f>1.2799/J101</f>
        <v>0.53107883817427382</v>
      </c>
      <c r="K103" s="2889">
        <f>1.2799/K101</f>
        <v>0.53107883817427382</v>
      </c>
      <c r="L103" s="2889">
        <f>1.2799/L101</f>
        <v>0.53107883817427382</v>
      </c>
      <c r="M103" s="2889">
        <f>1.2799/M101</f>
        <v>0.53107883817427382</v>
      </c>
      <c r="N103" s="2889">
        <f>1.2799/N101</f>
        <v>0.53107883817427382</v>
      </c>
    </row>
    <row r="104" spans="1:14">
      <c r="A104" s="3315"/>
      <c r="B104" s="2888">
        <v>3</v>
      </c>
      <c r="C104" s="2889">
        <f>1.1594/C101</f>
        <v>0.48107883817427383</v>
      </c>
      <c r="D104" s="2889">
        <f>1.1594/D101</f>
        <v>0.48107883817427383</v>
      </c>
      <c r="E104" s="2889">
        <f>1.0788/E101</f>
        <v>0.44763485477178422</v>
      </c>
      <c r="F104" s="2889">
        <f>1.0788/F101</f>
        <v>0.44763485477178422</v>
      </c>
      <c r="G104" s="2889">
        <f>1.0788/G101</f>
        <v>0.44763485477178422</v>
      </c>
      <c r="H104" s="2889">
        <f>1.0788/H101</f>
        <v>0.44763485477178422</v>
      </c>
      <c r="I104" s="2889">
        <f>1.0788/I101</f>
        <v>0.44763485477178422</v>
      </c>
      <c r="J104" s="2889">
        <f>1.0072/J101</f>
        <v>0.41792531120331949</v>
      </c>
      <c r="K104" s="2889">
        <f>1.0072/K101</f>
        <v>0.41792531120331949</v>
      </c>
      <c r="L104" s="2889">
        <f>1.0072/L101</f>
        <v>0.41792531120331949</v>
      </c>
      <c r="M104" s="2889">
        <f>1.0072/M101</f>
        <v>0.41792531120331949</v>
      </c>
      <c r="N104" s="2889">
        <f>1.0072/N101</f>
        <v>0.41792531120331949</v>
      </c>
    </row>
    <row r="105" spans="1:14">
      <c r="A105" s="3315"/>
      <c r="B105" s="2888">
        <v>4</v>
      </c>
      <c r="C105" s="2889">
        <f>0.9622/C101</f>
        <v>0.39925311203319502</v>
      </c>
      <c r="D105" s="2889">
        <f>0.9622/D101</f>
        <v>0.39925311203319502</v>
      </c>
      <c r="E105" s="2889">
        <f>0.8656/E101</f>
        <v>0.35917012448132779</v>
      </c>
      <c r="F105" s="2889">
        <f>0.8656/F101</f>
        <v>0.35917012448132779</v>
      </c>
      <c r="G105" s="2889">
        <f>0.8656/G101</f>
        <v>0.35917012448132779</v>
      </c>
      <c r="H105" s="2889">
        <f>0.8656/H101</f>
        <v>0.35917012448132779</v>
      </c>
      <c r="I105" s="2889">
        <f>0.8656/I101</f>
        <v>0.35917012448132779</v>
      </c>
      <c r="J105" s="2889">
        <f>0.7525/J101</f>
        <v>0.31224066390041488</v>
      </c>
      <c r="K105" s="2889">
        <f>0.7525/K101</f>
        <v>0.31224066390041488</v>
      </c>
      <c r="L105" s="2889">
        <f>0.7525/L101</f>
        <v>0.31224066390041488</v>
      </c>
      <c r="M105" s="2889">
        <f>0.7525/M101</f>
        <v>0.31224066390041488</v>
      </c>
      <c r="N105" s="2889">
        <f>0.7525/N101</f>
        <v>0.31224066390041488</v>
      </c>
    </row>
    <row r="106" spans="1:14">
      <c r="A106" s="3315"/>
      <c r="B106" s="2888">
        <v>5</v>
      </c>
      <c r="C106" s="2889">
        <f>0.8417/C101</f>
        <v>0.34925311203319498</v>
      </c>
      <c r="D106" s="2889">
        <f>0.8417/D101</f>
        <v>0.34925311203319498</v>
      </c>
      <c r="E106" s="2889">
        <f>0.7371/E101</f>
        <v>0.30585062240663896</v>
      </c>
      <c r="F106" s="2889">
        <f>0.7371/F101</f>
        <v>0.30585062240663896</v>
      </c>
      <c r="G106" s="2889">
        <f>0.7371/G101</f>
        <v>0.30585062240663896</v>
      </c>
      <c r="H106" s="2889">
        <f>0.7371/H101</f>
        <v>0.30585062240663896</v>
      </c>
      <c r="I106" s="2889">
        <f>0.7371/I101</f>
        <v>0.30585062240663896</v>
      </c>
      <c r="J106" s="2889">
        <f>0.5659/J101</f>
        <v>0.23481327800829874</v>
      </c>
      <c r="K106" s="2889">
        <f>0.5659/K101</f>
        <v>0.23481327800829874</v>
      </c>
      <c r="L106" s="2889">
        <f>0.5659/L101</f>
        <v>0.23481327800829874</v>
      </c>
      <c r="M106" s="2889">
        <f>0.5659/M101</f>
        <v>0.23481327800829874</v>
      </c>
      <c r="N106" s="2889">
        <f>0.5659/N101</f>
        <v>0.23481327800829874</v>
      </c>
    </row>
    <row r="107" spans="1:14">
      <c r="A107" s="3315"/>
      <c r="B107" s="2888">
        <v>6</v>
      </c>
      <c r="C107" s="2889">
        <f>0.7608/C101</f>
        <v>0.31568464730290458</v>
      </c>
      <c r="D107" s="2889">
        <f>0.7608/D101</f>
        <v>0.31568464730290458</v>
      </c>
      <c r="E107" s="2889">
        <f>0.6482/E101</f>
        <v>0.26896265560165972</v>
      </c>
      <c r="F107" s="2889">
        <f>0.6482/F101</f>
        <v>0.26896265560165972</v>
      </c>
      <c r="G107" s="2889">
        <f>0.6482/G101</f>
        <v>0.26896265560165972</v>
      </c>
      <c r="H107" s="2889">
        <f>0.6482/H101</f>
        <v>0.26896265560165972</v>
      </c>
      <c r="I107" s="2889">
        <f>0.6482/I101</f>
        <v>0.26896265560165972</v>
      </c>
      <c r="J107" s="2889">
        <f>0.4525/J101</f>
        <v>0.18775933609958506</v>
      </c>
      <c r="K107" s="2889">
        <f>0.4525/K101</f>
        <v>0.18775933609958506</v>
      </c>
      <c r="L107" s="2889">
        <f>0.4525/L101</f>
        <v>0.18775933609958506</v>
      </c>
      <c r="M107" s="2889">
        <f>0.4525/M101</f>
        <v>0.18775933609958506</v>
      </c>
      <c r="N107" s="2889">
        <f>0.4525/N101</f>
        <v>0.18775933609958506</v>
      </c>
    </row>
    <row r="108" spans="1:14">
      <c r="A108" s="3315"/>
      <c r="B108" s="3170" t="s">
        <v>2971</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16"/>
      <c r="B109" s="3171"/>
      <c r="C109" s="2891">
        <f>(-0.163*(C108^2)-0.59*C108+7617)*(10^(-4))/C101</f>
        <v>0.31605809128630707</v>
      </c>
      <c r="D109" s="2891">
        <f>(-0.163*(D108^2)-0.59*D108+7617)*(10^(-4))/D101</f>
        <v>0.31605809128630707</v>
      </c>
      <c r="E109" s="2891">
        <f>(-0.161*(E108^2)-7.509*E108+6533)*(10^(-4))/E101</f>
        <v>0.27107883817427386</v>
      </c>
      <c r="F109" s="2891">
        <f>(-0.161*(F108^2)-7.509*F108+6533)*(10^(-4))/F101</f>
        <v>0.27107883817427386</v>
      </c>
      <c r="G109" s="2891">
        <f>(-0.161*(G108^2)-7.509*G108+6533)*(10^(-4))/G101</f>
        <v>0.27107883817427386</v>
      </c>
      <c r="H109" s="2891">
        <f>(-0.161*(H108^2)-7.509*H108+6533)*(10^(-4))/H101</f>
        <v>0.27107883817427386</v>
      </c>
      <c r="I109" s="2891">
        <f>(-0.161*(I108^2)-7.509*I108+6533)*(10^(-4))/I101</f>
        <v>0.27107883817427386</v>
      </c>
      <c r="J109" s="2891">
        <f>(-0.214*(J108^2)-21.991*J108+4665)*(10^(-4))/J101</f>
        <v>0.19356846473029046</v>
      </c>
      <c r="K109" s="2891">
        <f>(-0.214*(K108^2)-21.991*K108+4665)*(10^(-4))/K101</f>
        <v>0.19356846473029046</v>
      </c>
      <c r="L109" s="2891">
        <f>(-0.214*(L108^2)-21.991*L108+4665)*(10^(-4))/L101</f>
        <v>0.19356846473029046</v>
      </c>
      <c r="M109" s="2891">
        <f>(-0.214*(M108^2)-21.991*M108+4665)*(10^(-4))/M101</f>
        <v>0.19356846473029046</v>
      </c>
      <c r="N109" s="2891">
        <f>(-0.214*(N108^2)-21.991*N108+4665)*(10^(-4))/N101</f>
        <v>0.19356846473029046</v>
      </c>
    </row>
    <row r="110" spans="1:14">
      <c r="A110" s="3312" t="s">
        <v>2972</v>
      </c>
      <c r="B110" s="3312"/>
      <c r="C110" s="3312"/>
      <c r="D110" s="3312"/>
      <c r="E110" s="3312"/>
      <c r="F110" s="3312"/>
      <c r="G110" s="3312"/>
      <c r="H110" s="3312"/>
      <c r="I110" s="3312"/>
      <c r="J110" s="3312"/>
      <c r="K110" s="2894"/>
      <c r="L110" s="2894"/>
      <c r="M110" s="2894"/>
      <c r="N110" s="2894"/>
    </row>
    <row r="112" spans="1:14" ht="13.5" thickBot="1"/>
    <row r="113" spans="1:13" ht="25.5" thickBot="1">
      <c r="A113" s="896" t="s">
        <v>2973</v>
      </c>
      <c r="B113" s="1283">
        <f>G3</f>
        <v>2.41</v>
      </c>
      <c r="C113" s="897" t="s">
        <v>2974</v>
      </c>
      <c r="D113" s="898">
        <f>SUMPRODUCT((A115:A118=F113)*(B114:M114=H113)*B115:M118)</f>
        <v>0</v>
      </c>
      <c r="E113" s="2717" t="s">
        <v>2804</v>
      </c>
      <c r="F113" s="2896">
        <f>E2</f>
        <v>0</v>
      </c>
      <c r="G113" s="2717" t="s">
        <v>2805</v>
      </c>
      <c r="H113" s="2896">
        <f>G2</f>
        <v>0</v>
      </c>
      <c r="I113" s="2717"/>
      <c r="J113" s="2897"/>
      <c r="K113" s="2897"/>
      <c r="L113" s="2897"/>
      <c r="M113" s="2897"/>
    </row>
    <row r="114" spans="1:13">
      <c r="A114" s="901"/>
      <c r="B114" s="2898" t="s">
        <v>2975</v>
      </c>
      <c r="C114" s="2898" t="s">
        <v>2976</v>
      </c>
      <c r="D114" s="2898" t="s">
        <v>2977</v>
      </c>
      <c r="E114" s="2899" t="s">
        <v>2978</v>
      </c>
      <c r="F114" s="2899" t="s">
        <v>2979</v>
      </c>
      <c r="G114" s="2899" t="s">
        <v>2980</v>
      </c>
      <c r="H114" s="2900" t="s">
        <v>2981</v>
      </c>
      <c r="I114" s="2900" t="s">
        <v>2982</v>
      </c>
      <c r="J114" s="2901" t="s">
        <v>2983</v>
      </c>
      <c r="K114" s="2901" t="s">
        <v>2984</v>
      </c>
      <c r="L114" s="2901" t="s">
        <v>2985</v>
      </c>
      <c r="M114" s="2902" t="s">
        <v>2986</v>
      </c>
    </row>
    <row r="115" spans="1:13">
      <c r="A115" s="902" t="s">
        <v>2869</v>
      </c>
      <c r="B115" s="903">
        <f>ROUND(0.9335-0.0094*B113,4)</f>
        <v>0.91080000000000005</v>
      </c>
      <c r="C115" s="903">
        <f>B115</f>
        <v>0.91080000000000005</v>
      </c>
      <c r="D115" s="903">
        <f>ROUND(0.8331-0.0109*B113,4)</f>
        <v>0.80679999999999996</v>
      </c>
      <c r="E115" s="903">
        <f>D115</f>
        <v>0.80679999999999996</v>
      </c>
      <c r="F115" s="903">
        <f>E115</f>
        <v>0.80679999999999996</v>
      </c>
      <c r="G115" s="903">
        <f>F115</f>
        <v>0.80679999999999996</v>
      </c>
      <c r="H115" s="903">
        <f>G115</f>
        <v>0.80679999999999996</v>
      </c>
      <c r="I115" s="903">
        <f>ROUND(0.689-0.0155*B113,4)</f>
        <v>0.65159999999999996</v>
      </c>
      <c r="J115" s="903">
        <f t="shared" ref="J115:M118" si="33">I115</f>
        <v>0.65159999999999996</v>
      </c>
      <c r="K115" s="903">
        <f t="shared" si="33"/>
        <v>0.65159999999999996</v>
      </c>
      <c r="L115" s="903">
        <f t="shared" si="33"/>
        <v>0.65159999999999996</v>
      </c>
      <c r="M115" s="904">
        <f t="shared" si="33"/>
        <v>0.65159999999999996</v>
      </c>
    </row>
    <row r="116" spans="1:13">
      <c r="A116" s="902" t="s">
        <v>2870</v>
      </c>
      <c r="B116" s="903">
        <f>ROUND(0.949-0.012*B113,4)</f>
        <v>0.92010000000000003</v>
      </c>
      <c r="C116" s="903">
        <f>B116</f>
        <v>0.92010000000000003</v>
      </c>
      <c r="D116" s="903">
        <f>ROUND(0.8567-0.013*B113,4)</f>
        <v>0.82540000000000002</v>
      </c>
      <c r="E116" s="903">
        <f t="shared" ref="E116:H117" si="34">D116</f>
        <v>0.82540000000000002</v>
      </c>
      <c r="F116" s="903">
        <f t="shared" si="34"/>
        <v>0.82540000000000002</v>
      </c>
      <c r="G116" s="903">
        <f t="shared" si="34"/>
        <v>0.82540000000000002</v>
      </c>
      <c r="H116" s="903">
        <f t="shared" si="34"/>
        <v>0.82540000000000002</v>
      </c>
      <c r="I116" s="903">
        <f>ROUND(0.7694-0.014*B113,4)</f>
        <v>0.73570000000000002</v>
      </c>
      <c r="J116" s="903">
        <f t="shared" si="33"/>
        <v>0.73570000000000002</v>
      </c>
      <c r="K116" s="903">
        <f t="shared" si="33"/>
        <v>0.73570000000000002</v>
      </c>
      <c r="L116" s="903">
        <f t="shared" si="33"/>
        <v>0.73570000000000002</v>
      </c>
      <c r="M116" s="904">
        <f t="shared" si="33"/>
        <v>0.73570000000000002</v>
      </c>
    </row>
    <row r="117" spans="1:13">
      <c r="A117" s="902" t="s">
        <v>2871</v>
      </c>
      <c r="B117" s="903">
        <f>ROUND(0.8808-0.006*B113,4)</f>
        <v>0.86629999999999996</v>
      </c>
      <c r="C117" s="903">
        <f>B117</f>
        <v>0.86629999999999996</v>
      </c>
      <c r="D117" s="903">
        <f>ROUND(0.8748-0.008*B113,4)</f>
        <v>0.85550000000000004</v>
      </c>
      <c r="E117" s="903">
        <f t="shared" si="34"/>
        <v>0.85550000000000004</v>
      </c>
      <c r="F117" s="903">
        <f t="shared" si="34"/>
        <v>0.85550000000000004</v>
      </c>
      <c r="G117" s="903">
        <f t="shared" si="34"/>
        <v>0.85550000000000004</v>
      </c>
      <c r="H117" s="903">
        <f t="shared" si="34"/>
        <v>0.85550000000000004</v>
      </c>
      <c r="I117" s="903">
        <f>ROUND(0.7412-0.0095*B113,4)</f>
        <v>0.71830000000000005</v>
      </c>
      <c r="J117" s="903">
        <f t="shared" si="33"/>
        <v>0.71830000000000005</v>
      </c>
      <c r="K117" s="903">
        <f t="shared" si="33"/>
        <v>0.71830000000000005</v>
      </c>
      <c r="L117" s="903">
        <f t="shared" si="33"/>
        <v>0.71830000000000005</v>
      </c>
      <c r="M117" s="904">
        <f t="shared" si="33"/>
        <v>0.71830000000000005</v>
      </c>
    </row>
    <row r="118" spans="1:13" ht="13.5" thickBot="1">
      <c r="A118" s="713" t="s">
        <v>2872</v>
      </c>
      <c r="B118" s="905">
        <f>ROUND(0.7275-0.01*B113,4)</f>
        <v>0.70340000000000003</v>
      </c>
      <c r="C118" s="905">
        <f>B118</f>
        <v>0.70340000000000003</v>
      </c>
      <c r="D118" s="905">
        <f>ROUND(0.7043-0.012*B113,4)</f>
        <v>0.6754</v>
      </c>
      <c r="E118" s="905">
        <f>D118</f>
        <v>0.6754</v>
      </c>
      <c r="F118" s="905">
        <f>E118</f>
        <v>0.6754</v>
      </c>
      <c r="G118" s="905">
        <f>ROUND(0.6299-0.0122*B113,4)</f>
        <v>0.60050000000000003</v>
      </c>
      <c r="H118" s="905">
        <f>G118</f>
        <v>0.60050000000000003</v>
      </c>
      <c r="I118" s="905">
        <f>ROUND(0.5667-0.0136*B113,4)</f>
        <v>0.53390000000000004</v>
      </c>
      <c r="J118" s="905">
        <f t="shared" si="33"/>
        <v>0.53390000000000004</v>
      </c>
      <c r="K118" s="905">
        <f t="shared" si="33"/>
        <v>0.53390000000000004</v>
      </c>
      <c r="L118" s="905">
        <f t="shared" si="33"/>
        <v>0.53390000000000004</v>
      </c>
      <c r="M118" s="906">
        <f t="shared" si="33"/>
        <v>0.53390000000000004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20" t="s">
        <v>183</v>
      </c>
      <c r="B18" s="875" t="s">
        <v>560</v>
      </c>
      <c r="C18" s="876" t="s">
        <v>561</v>
      </c>
      <c r="D18" s="877"/>
      <c r="E18" s="875">
        <v>1</v>
      </c>
      <c r="F18" s="878" t="s">
        <v>562</v>
      </c>
      <c r="G18" s="879"/>
      <c r="H18" s="871"/>
      <c r="I18" s="871"/>
    </row>
    <row r="19" spans="1:9" s="880" customFormat="1" ht="19.5" customHeight="1">
      <c r="A19" s="3320"/>
      <c r="B19" s="3320" t="s">
        <v>563</v>
      </c>
      <c r="C19" s="876" t="s">
        <v>564</v>
      </c>
      <c r="D19" s="877"/>
      <c r="E19" s="875">
        <v>0.9</v>
      </c>
      <c r="F19" s="878" t="s">
        <v>565</v>
      </c>
      <c r="G19" s="879"/>
      <c r="H19" s="871"/>
      <c r="I19" s="871"/>
    </row>
    <row r="20" spans="1:9" s="880" customFormat="1" ht="19.5" customHeight="1">
      <c r="A20" s="3320"/>
      <c r="B20" s="3320"/>
      <c r="C20" s="876" t="s">
        <v>566</v>
      </c>
      <c r="D20" s="877"/>
      <c r="E20" s="875">
        <v>1.1000000000000001</v>
      </c>
      <c r="F20" s="878" t="s">
        <v>567</v>
      </c>
      <c r="G20" s="879"/>
      <c r="H20" s="871"/>
      <c r="I20" s="871"/>
    </row>
    <row r="21" spans="1:9" s="880" customFormat="1" ht="19.5" customHeight="1">
      <c r="A21" s="3320"/>
      <c r="B21" s="3320"/>
      <c r="C21" s="876" t="s">
        <v>568</v>
      </c>
      <c r="D21" s="877"/>
      <c r="E21" s="875">
        <v>0.8</v>
      </c>
      <c r="F21" s="878" t="s">
        <v>569</v>
      </c>
      <c r="G21" s="879"/>
      <c r="H21" s="871"/>
      <c r="I21" s="871"/>
    </row>
    <row r="22" spans="1:9" s="880" customFormat="1" ht="19.5" customHeight="1">
      <c r="A22" s="3320"/>
      <c r="B22" s="3320"/>
      <c r="C22" s="876" t="s">
        <v>570</v>
      </c>
      <c r="D22" s="877"/>
      <c r="E22" s="875">
        <v>0.5</v>
      </c>
      <c r="F22" s="878"/>
      <c r="G22" s="879"/>
      <c r="H22" s="871"/>
      <c r="I22" s="871"/>
    </row>
    <row r="23" spans="1:9" s="880" customFormat="1" ht="19.5" customHeight="1">
      <c r="A23" s="3320" t="s">
        <v>184</v>
      </c>
      <c r="B23" s="875" t="s">
        <v>560</v>
      </c>
      <c r="C23" s="876" t="s">
        <v>571</v>
      </c>
      <c r="D23" s="877"/>
      <c r="E23" s="875">
        <v>1</v>
      </c>
      <c r="F23" s="878" t="s">
        <v>572</v>
      </c>
      <c r="G23" s="879"/>
      <c r="H23" s="871"/>
      <c r="I23" s="871"/>
    </row>
    <row r="24" spans="1:9" s="880" customFormat="1" ht="19.5" customHeight="1">
      <c r="A24" s="3320"/>
      <c r="B24" s="3320" t="s">
        <v>563</v>
      </c>
      <c r="C24" s="876" t="s">
        <v>573</v>
      </c>
      <c r="D24" s="877"/>
      <c r="E24" s="875">
        <v>0.5</v>
      </c>
      <c r="F24" s="878"/>
      <c r="G24" s="879"/>
      <c r="H24" s="871"/>
      <c r="I24" s="871"/>
    </row>
    <row r="25" spans="1:9" s="880" customFormat="1" ht="19.5" customHeight="1">
      <c r="A25" s="3320"/>
      <c r="B25" s="3320"/>
      <c r="C25" s="876" t="s">
        <v>574</v>
      </c>
      <c r="D25" s="877"/>
      <c r="E25" s="875">
        <v>1.1000000000000001</v>
      </c>
      <c r="F25" s="878"/>
      <c r="G25" s="879"/>
      <c r="H25" s="871"/>
      <c r="I25" s="871"/>
    </row>
    <row r="26" spans="1:9" s="880" customFormat="1" ht="19.5" customHeight="1">
      <c r="A26" s="3320"/>
      <c r="B26" s="3320"/>
      <c r="C26" s="876" t="s">
        <v>575</v>
      </c>
      <c r="D26" s="877"/>
      <c r="E26" s="875">
        <v>1.1000000000000001</v>
      </c>
      <c r="F26" s="878"/>
      <c r="G26" s="879"/>
      <c r="H26" s="871"/>
      <c r="I26" s="871"/>
    </row>
    <row r="27" spans="1:9" s="880" customFormat="1" ht="19.5" customHeight="1">
      <c r="A27" s="3320"/>
      <c r="B27" s="3320"/>
      <c r="C27" s="876" t="s">
        <v>576</v>
      </c>
      <c r="D27" s="877"/>
      <c r="E27" s="875">
        <v>0.9</v>
      </c>
      <c r="F27" s="878" t="s">
        <v>577</v>
      </c>
      <c r="G27" s="879"/>
      <c r="H27" s="871"/>
      <c r="I27" s="871"/>
    </row>
    <row r="28" spans="1:9" s="880" customFormat="1" ht="19.5" customHeight="1">
      <c r="A28" s="3320"/>
      <c r="B28" s="3320"/>
      <c r="C28" s="876" t="s">
        <v>578</v>
      </c>
      <c r="D28" s="877"/>
      <c r="E28" s="875">
        <v>0.9</v>
      </c>
      <c r="F28" s="878" t="s">
        <v>579</v>
      </c>
      <c r="G28" s="879"/>
      <c r="H28" s="871"/>
      <c r="I28" s="871"/>
    </row>
    <row r="29" spans="1:9" s="880" customFormat="1" ht="19.5" customHeight="1">
      <c r="A29" s="3320"/>
      <c r="B29" s="3320"/>
      <c r="C29" s="876" t="s">
        <v>580</v>
      </c>
      <c r="D29" s="877"/>
      <c r="E29" s="875">
        <v>0.9</v>
      </c>
      <c r="F29" s="878" t="s">
        <v>581</v>
      </c>
      <c r="G29" s="879"/>
      <c r="H29" s="871"/>
      <c r="I29" s="871"/>
    </row>
    <row r="30" spans="1:9" s="880" customFormat="1" ht="19.5" customHeight="1">
      <c r="A30" s="3320"/>
      <c r="B30" s="3320"/>
      <c r="C30" s="876" t="s">
        <v>582</v>
      </c>
      <c r="D30" s="877"/>
      <c r="E30" s="875">
        <v>0.9</v>
      </c>
      <c r="F30" s="878" t="s">
        <v>583</v>
      </c>
      <c r="G30" s="879"/>
      <c r="H30" s="871"/>
      <c r="I30" s="871"/>
    </row>
    <row r="31" spans="1:9" s="880" customFormat="1" ht="19.5" customHeight="1">
      <c r="A31" s="3320"/>
      <c r="B31" s="3320"/>
      <c r="C31" s="876" t="s">
        <v>584</v>
      </c>
      <c r="D31" s="877"/>
      <c r="E31" s="875">
        <v>0.8</v>
      </c>
      <c r="F31" s="878" t="s">
        <v>585</v>
      </c>
      <c r="G31" s="879"/>
      <c r="H31" s="871"/>
      <c r="I31" s="871"/>
    </row>
    <row r="32" spans="1:9" s="880" customFormat="1" ht="19.5" customHeight="1">
      <c r="A32" s="3320"/>
      <c r="B32" s="3320"/>
      <c r="C32" s="876" t="s">
        <v>586</v>
      </c>
      <c r="D32" s="877"/>
      <c r="E32" s="875">
        <v>0.8</v>
      </c>
      <c r="F32" s="878" t="s">
        <v>587</v>
      </c>
      <c r="G32" s="879"/>
      <c r="H32" s="871"/>
      <c r="I32" s="871"/>
    </row>
    <row r="33" spans="1:9" s="880" customFormat="1" ht="19.5" customHeight="1">
      <c r="A33" s="3320" t="s">
        <v>185</v>
      </c>
      <c r="B33" s="875" t="s">
        <v>560</v>
      </c>
      <c r="C33" s="876" t="s">
        <v>588</v>
      </c>
      <c r="D33" s="877"/>
      <c r="E33" s="875">
        <v>1</v>
      </c>
      <c r="F33" s="878" t="s">
        <v>589</v>
      </c>
      <c r="G33" s="879"/>
      <c r="H33" s="871"/>
      <c r="I33" s="871"/>
    </row>
    <row r="34" spans="1:9" s="880" customFormat="1" ht="19.5" customHeight="1">
      <c r="A34" s="3320"/>
      <c r="B34" s="875" t="s">
        <v>563</v>
      </c>
      <c r="C34" s="876" t="s">
        <v>590</v>
      </c>
      <c r="D34" s="877"/>
      <c r="E34" s="875">
        <v>1.5</v>
      </c>
      <c r="F34" s="878" t="s">
        <v>591</v>
      </c>
      <c r="G34" s="879"/>
      <c r="H34" s="871"/>
      <c r="I34" s="871"/>
    </row>
    <row r="35" spans="1:9" s="880" customFormat="1" ht="19.5" customHeight="1">
      <c r="A35" s="3320" t="s">
        <v>186</v>
      </c>
      <c r="B35" s="875" t="s">
        <v>560</v>
      </c>
      <c r="C35" s="876" t="s">
        <v>592</v>
      </c>
      <c r="D35" s="877"/>
      <c r="E35" s="875">
        <v>1</v>
      </c>
      <c r="F35" s="878" t="s">
        <v>593</v>
      </c>
      <c r="G35" s="879"/>
      <c r="H35" s="871"/>
      <c r="I35" s="871"/>
    </row>
    <row r="36" spans="1:9" s="880" customFormat="1" ht="19.5" customHeight="1">
      <c r="A36" s="3320"/>
      <c r="B36" s="3320" t="s">
        <v>563</v>
      </c>
      <c r="C36" s="876" t="s">
        <v>594</v>
      </c>
      <c r="D36" s="877"/>
      <c r="E36" s="875">
        <v>1</v>
      </c>
      <c r="F36" s="878" t="s">
        <v>595</v>
      </c>
      <c r="G36" s="879"/>
      <c r="H36" s="871"/>
      <c r="I36" s="871"/>
    </row>
    <row r="37" spans="1:9" s="880" customFormat="1" ht="19.5" customHeight="1">
      <c r="A37" s="3320"/>
      <c r="B37" s="3320"/>
      <c r="C37" s="876" t="s">
        <v>596</v>
      </c>
      <c r="D37" s="877"/>
      <c r="E37" s="875">
        <v>1.5</v>
      </c>
      <c r="F37" s="878" t="s">
        <v>597</v>
      </c>
      <c r="G37" s="879"/>
      <c r="H37" s="871"/>
      <c r="I37" s="871"/>
    </row>
    <row r="38" spans="1:9" s="880" customFormat="1" ht="19.5" customHeight="1">
      <c r="A38" s="3320"/>
      <c r="B38" s="3320"/>
      <c r="C38" s="876" t="s">
        <v>598</v>
      </c>
      <c r="D38" s="877"/>
      <c r="E38" s="875">
        <v>1</v>
      </c>
      <c r="F38" s="878" t="s">
        <v>599</v>
      </c>
      <c r="G38" s="879"/>
      <c r="H38" s="871"/>
      <c r="I38" s="871"/>
    </row>
    <row r="39" spans="1:9" s="880" customFormat="1" ht="19.5" customHeight="1">
      <c r="A39" s="3320"/>
      <c r="B39" s="3320"/>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20" t="s">
        <v>614</v>
      </c>
      <c r="C61" s="811" t="s">
        <v>615</v>
      </c>
      <c r="D61" s="811" t="s">
        <v>616</v>
      </c>
      <c r="E61" s="888">
        <v>0.5</v>
      </c>
      <c r="F61" s="875">
        <v>80</v>
      </c>
    </row>
    <row r="62" spans="1:8" s="871" customFormat="1" ht="24">
      <c r="A62" s="875">
        <v>2</v>
      </c>
      <c r="B62" s="3320"/>
      <c r="C62" s="811" t="s">
        <v>617</v>
      </c>
      <c r="D62" s="811" t="s">
        <v>618</v>
      </c>
      <c r="E62" s="888">
        <v>0.5</v>
      </c>
      <c r="F62" s="875">
        <v>80</v>
      </c>
    </row>
    <row r="63" spans="1:8" s="871" customFormat="1" ht="36">
      <c r="A63" s="875">
        <v>3</v>
      </c>
      <c r="B63" s="3320"/>
      <c r="C63" s="811" t="s">
        <v>619</v>
      </c>
      <c r="D63" s="811" t="s">
        <v>620</v>
      </c>
      <c r="E63" s="888">
        <v>0.5</v>
      </c>
      <c r="F63" s="875">
        <v>80</v>
      </c>
    </row>
    <row r="64" spans="1:8" s="871" customFormat="1" ht="36">
      <c r="A64" s="875">
        <v>4</v>
      </c>
      <c r="B64" s="3320"/>
      <c r="C64" s="811" t="s">
        <v>621</v>
      </c>
      <c r="D64" s="811" t="s">
        <v>622</v>
      </c>
      <c r="E64" s="888">
        <v>0.4</v>
      </c>
      <c r="F64" s="875">
        <v>60</v>
      </c>
    </row>
    <row r="65" spans="1:6" s="871" customFormat="1" ht="36">
      <c r="A65" s="875">
        <v>5</v>
      </c>
      <c r="B65" s="3320"/>
      <c r="C65" s="811" t="s">
        <v>623</v>
      </c>
      <c r="D65" s="811" t="s">
        <v>624</v>
      </c>
      <c r="E65" s="888">
        <v>0.2</v>
      </c>
      <c r="F65" s="875">
        <v>30</v>
      </c>
    </row>
    <row r="66" spans="1:6" s="871" customFormat="1" ht="36">
      <c r="A66" s="875">
        <v>6</v>
      </c>
      <c r="B66" s="3320"/>
      <c r="C66" s="811" t="s">
        <v>625</v>
      </c>
      <c r="D66" s="811" t="s">
        <v>626</v>
      </c>
      <c r="E66" s="888">
        <v>0.3</v>
      </c>
      <c r="F66" s="875">
        <v>50</v>
      </c>
    </row>
    <row r="67" spans="1:6" s="871" customFormat="1" ht="36">
      <c r="A67" s="875">
        <v>7</v>
      </c>
      <c r="B67" s="3320"/>
      <c r="C67" s="811" t="s">
        <v>627</v>
      </c>
      <c r="D67" s="811" t="s">
        <v>628</v>
      </c>
      <c r="E67" s="888">
        <v>0.2</v>
      </c>
      <c r="F67" s="875">
        <v>30</v>
      </c>
    </row>
    <row r="68" spans="1:6" s="871" customFormat="1" ht="36">
      <c r="A68" s="875">
        <v>8</v>
      </c>
      <c r="B68" s="3320"/>
      <c r="C68" s="811" t="s">
        <v>629</v>
      </c>
      <c r="D68" s="811" t="s">
        <v>630</v>
      </c>
      <c r="E68" s="888">
        <v>0.2</v>
      </c>
      <c r="F68" s="875">
        <v>30</v>
      </c>
    </row>
    <row r="69" spans="1:6" s="871" customFormat="1" ht="36">
      <c r="A69" s="875">
        <v>9</v>
      </c>
      <c r="B69" s="3320"/>
      <c r="C69" s="811" t="s">
        <v>631</v>
      </c>
      <c r="D69" s="811" t="s">
        <v>632</v>
      </c>
      <c r="E69" s="888">
        <v>0.2</v>
      </c>
      <c r="F69" s="875">
        <v>30</v>
      </c>
    </row>
    <row r="70" spans="1:6" s="871" customFormat="1" ht="48">
      <c r="A70" s="875">
        <v>10</v>
      </c>
      <c r="B70" s="3320"/>
      <c r="C70" s="811" t="s">
        <v>633</v>
      </c>
      <c r="D70" s="811" t="s">
        <v>634</v>
      </c>
      <c r="E70" s="888">
        <v>0.2</v>
      </c>
      <c r="F70" s="875">
        <v>30</v>
      </c>
    </row>
    <row r="71" spans="1:6" s="871" customFormat="1" ht="48">
      <c r="A71" s="875">
        <v>11</v>
      </c>
      <c r="B71" s="3320"/>
      <c r="C71" s="811" t="s">
        <v>635</v>
      </c>
      <c r="D71" s="811" t="s">
        <v>636</v>
      </c>
      <c r="E71" s="888">
        <v>0.2</v>
      </c>
      <c r="F71" s="875">
        <v>30</v>
      </c>
    </row>
    <row r="72" spans="1:6" s="871" customFormat="1" ht="36">
      <c r="A72" s="875">
        <v>12</v>
      </c>
      <c r="B72" s="3320"/>
      <c r="C72" s="811" t="s">
        <v>637</v>
      </c>
      <c r="D72" s="811" t="s">
        <v>638</v>
      </c>
      <c r="E72" s="888">
        <v>0.5</v>
      </c>
      <c r="F72" s="875">
        <v>80</v>
      </c>
    </row>
    <row r="73" spans="1:6" s="871" customFormat="1" ht="24">
      <c r="A73" s="875">
        <v>13</v>
      </c>
      <c r="B73" s="3320"/>
      <c r="C73" s="811" t="s">
        <v>639</v>
      </c>
      <c r="D73" s="811" t="s">
        <v>640</v>
      </c>
      <c r="E73" s="888">
        <v>0.4</v>
      </c>
      <c r="F73" s="875">
        <v>60</v>
      </c>
    </row>
    <row r="74" spans="1:6" s="871" customFormat="1" ht="24">
      <c r="A74" s="875">
        <v>14</v>
      </c>
      <c r="B74" s="3320"/>
      <c r="C74" s="811" t="s">
        <v>641</v>
      </c>
      <c r="D74" s="811" t="s">
        <v>642</v>
      </c>
      <c r="E74" s="888">
        <v>0.2</v>
      </c>
      <c r="F74" s="875">
        <v>30</v>
      </c>
    </row>
    <row r="75" spans="1:6" s="871" customFormat="1" ht="24">
      <c r="A75" s="875">
        <v>15</v>
      </c>
      <c r="B75" s="3320"/>
      <c r="C75" s="811" t="s">
        <v>643</v>
      </c>
      <c r="D75" s="811" t="s">
        <v>644</v>
      </c>
      <c r="E75" s="888">
        <v>0.2</v>
      </c>
      <c r="F75" s="875">
        <v>30</v>
      </c>
    </row>
    <row r="76" spans="1:6" s="871" customFormat="1" ht="24">
      <c r="A76" s="875">
        <v>16</v>
      </c>
      <c r="B76" s="3320" t="s">
        <v>645</v>
      </c>
      <c r="C76" s="811" t="s">
        <v>646</v>
      </c>
      <c r="D76" s="811" t="s">
        <v>647</v>
      </c>
      <c r="E76" s="888">
        <v>0.5</v>
      </c>
      <c r="F76" s="875">
        <v>80</v>
      </c>
    </row>
    <row r="77" spans="1:6" s="871" customFormat="1" ht="24">
      <c r="A77" s="875">
        <v>17</v>
      </c>
      <c r="B77" s="3320"/>
      <c r="C77" s="811" t="s">
        <v>648</v>
      </c>
      <c r="D77" s="811" t="s">
        <v>649</v>
      </c>
      <c r="E77" s="888">
        <v>0.5</v>
      </c>
      <c r="F77" s="875">
        <v>80</v>
      </c>
    </row>
    <row r="78" spans="1:6" s="871" customFormat="1" ht="24">
      <c r="A78" s="875">
        <v>18</v>
      </c>
      <c r="B78" s="3320"/>
      <c r="C78" s="811" t="s">
        <v>650</v>
      </c>
      <c r="D78" s="811" t="s">
        <v>651</v>
      </c>
      <c r="E78" s="888">
        <v>0.2</v>
      </c>
      <c r="F78" s="875">
        <v>30</v>
      </c>
    </row>
    <row r="79" spans="1:6" s="871" customFormat="1" ht="24">
      <c r="A79" s="875">
        <v>19</v>
      </c>
      <c r="B79" s="3320"/>
      <c r="C79" s="811" t="s">
        <v>652</v>
      </c>
      <c r="D79" s="811" t="s">
        <v>653</v>
      </c>
      <c r="E79" s="888">
        <v>0.5</v>
      </c>
      <c r="F79" s="875">
        <v>80</v>
      </c>
    </row>
    <row r="80" spans="1:6" s="871" customFormat="1" ht="36">
      <c r="A80" s="875">
        <v>20</v>
      </c>
      <c r="B80" s="3320"/>
      <c r="C80" s="811" t="s">
        <v>654</v>
      </c>
      <c r="D80" s="811" t="s">
        <v>655</v>
      </c>
      <c r="E80" s="888">
        <v>0.2</v>
      </c>
      <c r="F80" s="875">
        <v>30</v>
      </c>
    </row>
    <row r="81" spans="1:6" s="871" customFormat="1" ht="36">
      <c r="A81" s="875">
        <v>21</v>
      </c>
      <c r="B81" s="3320"/>
      <c r="C81" s="811" t="s">
        <v>656</v>
      </c>
      <c r="D81" s="811" t="s">
        <v>657</v>
      </c>
      <c r="E81" s="888">
        <v>0.2</v>
      </c>
      <c r="F81" s="875">
        <v>30</v>
      </c>
    </row>
    <row r="82" spans="1:6" s="871" customFormat="1" ht="48">
      <c r="A82" s="875">
        <v>22</v>
      </c>
      <c r="B82" s="3320"/>
      <c r="C82" s="811" t="s">
        <v>658</v>
      </c>
      <c r="D82" s="811" t="s">
        <v>659</v>
      </c>
      <c r="E82" s="888">
        <v>0.2</v>
      </c>
      <c r="F82" s="875">
        <v>30</v>
      </c>
    </row>
    <row r="83" spans="1:6" s="871" customFormat="1" ht="48">
      <c r="A83" s="875">
        <v>23</v>
      </c>
      <c r="B83" s="3320"/>
      <c r="C83" s="811" t="s">
        <v>660</v>
      </c>
      <c r="D83" s="811" t="s">
        <v>661</v>
      </c>
      <c r="E83" s="888">
        <v>0.2</v>
      </c>
      <c r="F83" s="875">
        <v>30</v>
      </c>
    </row>
    <row r="84" spans="1:6" s="871" customFormat="1" ht="36">
      <c r="A84" s="875">
        <v>24</v>
      </c>
      <c r="B84" s="3320"/>
      <c r="C84" s="811" t="s">
        <v>662</v>
      </c>
      <c r="D84" s="811" t="s">
        <v>663</v>
      </c>
      <c r="E84" s="888">
        <v>0.2</v>
      </c>
      <c r="F84" s="875">
        <v>30</v>
      </c>
    </row>
    <row r="85" spans="1:6" s="871" customFormat="1" ht="36">
      <c r="A85" s="875">
        <v>25</v>
      </c>
      <c r="B85" s="3320"/>
      <c r="C85" s="811" t="s">
        <v>664</v>
      </c>
      <c r="D85" s="811" t="s">
        <v>665</v>
      </c>
      <c r="E85" s="888">
        <v>0.5</v>
      </c>
      <c r="F85" s="875">
        <v>80</v>
      </c>
    </row>
    <row r="86" spans="1:6" s="871" customFormat="1" ht="36">
      <c r="A86" s="875">
        <v>26</v>
      </c>
      <c r="B86" s="3320"/>
      <c r="C86" s="811" t="s">
        <v>666</v>
      </c>
      <c r="D86" s="811" t="s">
        <v>667</v>
      </c>
      <c r="E86" s="888">
        <v>0.2</v>
      </c>
      <c r="F86" s="875">
        <v>30</v>
      </c>
    </row>
    <row r="87" spans="1:6" s="871" customFormat="1" ht="36">
      <c r="A87" s="875">
        <v>27</v>
      </c>
      <c r="B87" s="3320"/>
      <c r="C87" s="811" t="s">
        <v>668</v>
      </c>
      <c r="D87" s="811" t="s">
        <v>669</v>
      </c>
      <c r="E87" s="888">
        <v>0.2</v>
      </c>
      <c r="F87" s="875">
        <v>30</v>
      </c>
    </row>
    <row r="88" spans="1:6" s="871" customFormat="1" ht="36">
      <c r="A88" s="875">
        <v>28</v>
      </c>
      <c r="B88" s="3320"/>
      <c r="C88" s="811" t="s">
        <v>670</v>
      </c>
      <c r="D88" s="811" t="s">
        <v>671</v>
      </c>
      <c r="E88" s="888">
        <v>0.2</v>
      </c>
      <c r="F88" s="875">
        <v>30</v>
      </c>
    </row>
    <row r="89" spans="1:6" s="871" customFormat="1" ht="24">
      <c r="A89" s="875">
        <v>29</v>
      </c>
      <c r="B89" s="3320"/>
      <c r="C89" s="811" t="s">
        <v>672</v>
      </c>
      <c r="D89" s="811" t="s">
        <v>673</v>
      </c>
      <c r="E89" s="888">
        <v>0.2</v>
      </c>
      <c r="F89" s="875">
        <v>30</v>
      </c>
    </row>
    <row r="90" spans="1:6" s="871" customFormat="1" ht="24">
      <c r="A90" s="875">
        <v>30</v>
      </c>
      <c r="B90" s="3320"/>
      <c r="C90" s="811" t="s">
        <v>674</v>
      </c>
      <c r="D90" s="811" t="s">
        <v>675</v>
      </c>
      <c r="E90" s="888">
        <v>0.2</v>
      </c>
      <c r="F90" s="875">
        <v>30</v>
      </c>
    </row>
    <row r="91" spans="1:6" s="871" customFormat="1" ht="36">
      <c r="A91" s="875">
        <v>31</v>
      </c>
      <c r="B91" s="3320"/>
      <c r="C91" s="811" t="s">
        <v>676</v>
      </c>
      <c r="D91" s="811" t="s">
        <v>677</v>
      </c>
      <c r="E91" s="888">
        <v>0.2</v>
      </c>
      <c r="F91" s="875">
        <v>30</v>
      </c>
    </row>
    <row r="92" spans="1:6" s="871" customFormat="1" ht="24">
      <c r="A92" s="875">
        <v>32</v>
      </c>
      <c r="B92" s="3320" t="s">
        <v>678</v>
      </c>
      <c r="C92" s="875" t="s">
        <v>679</v>
      </c>
      <c r="D92" s="811" t="s">
        <v>680</v>
      </c>
      <c r="E92" s="888">
        <v>0.2</v>
      </c>
      <c r="F92" s="875">
        <v>30</v>
      </c>
    </row>
    <row r="93" spans="1:6" s="871" customFormat="1" ht="36">
      <c r="A93" s="875">
        <v>33</v>
      </c>
      <c r="B93" s="3320"/>
      <c r="C93" s="875" t="s">
        <v>681</v>
      </c>
      <c r="D93" s="811" t="s">
        <v>682</v>
      </c>
      <c r="E93" s="888">
        <v>0.2</v>
      </c>
      <c r="F93" s="875">
        <v>30</v>
      </c>
    </row>
    <row r="94" spans="1:6" s="871" customFormat="1" ht="48">
      <c r="A94" s="875">
        <v>34</v>
      </c>
      <c r="B94" s="3320"/>
      <c r="C94" s="875" t="s">
        <v>683</v>
      </c>
      <c r="D94" s="811" t="s">
        <v>684</v>
      </c>
      <c r="E94" s="888">
        <v>0.2</v>
      </c>
      <c r="F94" s="875">
        <v>30</v>
      </c>
    </row>
    <row r="95" spans="1:6" s="871" customFormat="1" ht="36">
      <c r="A95" s="875">
        <v>35</v>
      </c>
      <c r="B95" s="3320"/>
      <c r="C95" s="875" t="s">
        <v>685</v>
      </c>
      <c r="D95" s="811" t="s">
        <v>686</v>
      </c>
      <c r="E95" s="888">
        <v>0.2</v>
      </c>
      <c r="F95" s="875">
        <v>30</v>
      </c>
    </row>
    <row r="96" spans="1:6" s="871" customFormat="1" ht="48">
      <c r="A96" s="875">
        <v>36</v>
      </c>
      <c r="B96" s="3320"/>
      <c r="C96" s="811" t="s">
        <v>687</v>
      </c>
      <c r="D96" s="811" t="s">
        <v>688</v>
      </c>
      <c r="E96" s="888">
        <v>0.2</v>
      </c>
      <c r="F96" s="875">
        <v>30</v>
      </c>
    </row>
    <row r="97" spans="1:6" s="871" customFormat="1" ht="36">
      <c r="A97" s="875">
        <v>37</v>
      </c>
      <c r="B97" s="3320"/>
      <c r="C97" s="875" t="s">
        <v>689</v>
      </c>
      <c r="D97" s="811" t="s">
        <v>690</v>
      </c>
      <c r="E97" s="888">
        <v>0.2</v>
      </c>
      <c r="F97" s="875">
        <v>30</v>
      </c>
    </row>
    <row r="98" spans="1:6" s="871" customFormat="1" ht="36">
      <c r="A98" s="875">
        <v>38</v>
      </c>
      <c r="B98" s="3320"/>
      <c r="C98" s="875" t="s">
        <v>691</v>
      </c>
      <c r="D98" s="811" t="s">
        <v>692</v>
      </c>
      <c r="E98" s="888">
        <v>0.2</v>
      </c>
      <c r="F98" s="875">
        <v>30</v>
      </c>
    </row>
    <row r="99" spans="1:6" s="871" customFormat="1" ht="36">
      <c r="A99" s="875">
        <v>39</v>
      </c>
      <c r="B99" s="3320" t="s">
        <v>693</v>
      </c>
      <c r="C99" s="875" t="s">
        <v>694</v>
      </c>
      <c r="D99" s="811" t="s">
        <v>695</v>
      </c>
      <c r="E99" s="888">
        <v>0.3</v>
      </c>
      <c r="F99" s="875">
        <v>50</v>
      </c>
    </row>
    <row r="100" spans="1:6" s="871" customFormat="1" ht="24">
      <c r="A100" s="875">
        <v>40</v>
      </c>
      <c r="B100" s="3320"/>
      <c r="C100" s="875" t="s">
        <v>696</v>
      </c>
      <c r="D100" s="811" t="s">
        <v>697</v>
      </c>
      <c r="E100" s="888">
        <v>0.2</v>
      </c>
      <c r="F100" s="875">
        <v>30</v>
      </c>
    </row>
    <row r="101" spans="1:6" s="871" customFormat="1" ht="36">
      <c r="A101" s="875">
        <v>41</v>
      </c>
      <c r="B101" s="3320"/>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20" t="s">
        <v>708</v>
      </c>
      <c r="C105" s="875" t="s">
        <v>709</v>
      </c>
      <c r="D105" s="811" t="s">
        <v>710</v>
      </c>
      <c r="E105" s="888">
        <v>0.2</v>
      </c>
      <c r="F105" s="875">
        <v>30</v>
      </c>
    </row>
    <row r="106" spans="1:6" s="871" customFormat="1" ht="36">
      <c r="A106" s="875">
        <v>46</v>
      </c>
      <c r="B106" s="3320"/>
      <c r="C106" s="875" t="s">
        <v>711</v>
      </c>
      <c r="D106" s="811" t="s">
        <v>712</v>
      </c>
      <c r="E106" s="888">
        <v>0.2</v>
      </c>
      <c r="F106" s="875">
        <v>30</v>
      </c>
    </row>
    <row r="107" spans="1:6" s="871" customFormat="1" ht="36">
      <c r="A107" s="875">
        <v>47</v>
      </c>
      <c r="B107" s="3320" t="s">
        <v>713</v>
      </c>
      <c r="C107" s="875" t="s">
        <v>714</v>
      </c>
      <c r="D107" s="811" t="s">
        <v>715</v>
      </c>
      <c r="E107" s="888">
        <v>0.3</v>
      </c>
      <c r="F107" s="875">
        <v>50</v>
      </c>
    </row>
    <row r="108" spans="1:6" s="871" customFormat="1" ht="36">
      <c r="A108" s="875">
        <v>48</v>
      </c>
      <c r="B108" s="3320"/>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20" t="s">
        <v>724</v>
      </c>
      <c r="C111" s="875" t="s">
        <v>725</v>
      </c>
      <c r="D111" s="811" t="s">
        <v>726</v>
      </c>
      <c r="E111" s="888">
        <v>0.2</v>
      </c>
      <c r="F111" s="875">
        <v>30</v>
      </c>
    </row>
    <row r="112" spans="1:6" s="871" customFormat="1" ht="24">
      <c r="A112" s="875">
        <v>52</v>
      </c>
      <c r="B112" s="3320"/>
      <c r="C112" s="875" t="s">
        <v>727</v>
      </c>
      <c r="D112" s="811" t="s">
        <v>728</v>
      </c>
      <c r="E112" s="888">
        <v>0.2</v>
      </c>
      <c r="F112" s="875">
        <v>30</v>
      </c>
    </row>
    <row r="113" spans="1:6" s="871" customFormat="1" ht="24">
      <c r="A113" s="875">
        <v>53</v>
      </c>
      <c r="B113" s="3320"/>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20" t="s">
        <v>737</v>
      </c>
      <c r="C116" s="875" t="s">
        <v>738</v>
      </c>
      <c r="D116" s="811" t="s">
        <v>739</v>
      </c>
      <c r="E116" s="888">
        <v>0.2</v>
      </c>
      <c r="F116" s="875">
        <v>30</v>
      </c>
    </row>
    <row r="117" spans="1:6" ht="36">
      <c r="A117" s="875">
        <v>57</v>
      </c>
      <c r="B117" s="3320"/>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57"/>
      <c r="B4" s="3011" t="s">
        <v>1630</v>
      </c>
      <c r="C4" s="3011"/>
      <c r="D4" s="3011"/>
      <c r="E4" s="1957"/>
    </row>
    <row r="5" spans="1:5" ht="16.5" thickTop="1">
      <c r="A5" s="1955"/>
      <c r="B5" s="3009" t="s">
        <v>1622</v>
      </c>
      <c r="C5" s="1958" t="s">
        <v>1623</v>
      </c>
      <c r="D5" s="1036">
        <f ca="1">结果表!H101</f>
        <v>112046</v>
      </c>
      <c r="E5" s="1955"/>
    </row>
    <row r="6" spans="1:5" ht="15.75">
      <c r="A6" s="1955"/>
      <c r="B6" s="3009"/>
      <c r="C6" s="1958" t="s">
        <v>1624</v>
      </c>
      <c r="D6" s="1036" t="str">
        <f ca="1">NUMBERSTRING(INT(D5*10000),2)&amp;"元整"</f>
        <v>壹拾壹亿贰仟零肆拾陆万元整</v>
      </c>
      <c r="E6" s="1955"/>
    </row>
    <row r="7" spans="1:5" ht="15.75">
      <c r="A7" s="1955"/>
      <c r="B7" s="3014"/>
      <c r="C7" s="1959" t="s">
        <v>1625</v>
      </c>
      <c r="D7" s="1037">
        <f ca="1">结果表!H102</f>
        <v>10036</v>
      </c>
      <c r="E7" s="1955"/>
    </row>
    <row r="8" spans="1:5" ht="15.75">
      <c r="A8" s="1955"/>
      <c r="B8" s="3015" t="str">
        <f>结果表!E103</f>
        <v>2.估价师知悉的法定优先受偿款</v>
      </c>
      <c r="C8" s="1960" t="s">
        <v>1626</v>
      </c>
      <c r="D8" s="1037">
        <f>结果表!H103</f>
        <v>0</v>
      </c>
      <c r="E8" s="1955"/>
    </row>
    <row r="9" spans="1:5" ht="15.75">
      <c r="A9" s="1955"/>
      <c r="B9" s="3017"/>
      <c r="C9" s="1958" t="s">
        <v>1624</v>
      </c>
      <c r="D9" s="1036" t="str">
        <f>NUMBERSTRING(INT(D8*10000),2)&amp;"元整"</f>
        <v>零元整</v>
      </c>
      <c r="E9" s="1955"/>
    </row>
    <row r="10" spans="1:5" ht="15">
      <c r="A10" s="1955"/>
      <c r="B10" s="1961" t="s">
        <v>1629</v>
      </c>
      <c r="C10" s="1962" t="s">
        <v>1627</v>
      </c>
      <c r="D10" s="1038">
        <f>结果表!H104</f>
        <v>0</v>
      </c>
      <c r="E10" s="1955"/>
    </row>
    <row r="11" spans="1:5" ht="15">
      <c r="A11" s="1955"/>
      <c r="B11" s="1961" t="s">
        <v>1631</v>
      </c>
      <c r="C11" s="1962" t="s">
        <v>1632</v>
      </c>
      <c r="D11" s="1038">
        <f>结果表!H105</f>
        <v>0</v>
      </c>
      <c r="E11" s="1955"/>
    </row>
    <row r="12" spans="1:5" ht="15">
      <c r="A12" s="1955"/>
      <c r="B12" s="1961" t="s">
        <v>1633</v>
      </c>
      <c r="C12" s="1962" t="s">
        <v>1632</v>
      </c>
      <c r="D12" s="1038">
        <f>结果表!H106</f>
        <v>0</v>
      </c>
      <c r="E12" s="1955"/>
    </row>
    <row r="13" spans="1:5" ht="15.75">
      <c r="A13" s="1955"/>
      <c r="B13" s="3008" t="str">
        <f>结果表!E107</f>
        <v>3.房地产抵押价值</v>
      </c>
      <c r="C13" s="1963" t="s">
        <v>1623</v>
      </c>
      <c r="D13" s="1039">
        <f ca="1">结果表!H107</f>
        <v>112046</v>
      </c>
      <c r="E13" s="1955"/>
    </row>
    <row r="14" spans="1:5" ht="15.75">
      <c r="A14" s="1955"/>
      <c r="B14" s="3009"/>
      <c r="C14" s="1958" t="s">
        <v>1624</v>
      </c>
      <c r="D14" s="1036" t="str">
        <f ca="1">NUMBERSTRING(INT(D13*10000),2)&amp;"元整"</f>
        <v>壹拾壹亿贰仟零肆拾陆万元整</v>
      </c>
      <c r="E14" s="1955"/>
    </row>
    <row r="15" spans="1:5" ht="15">
      <c r="A15" s="1955"/>
      <c r="B15" s="3014"/>
      <c r="C15" s="1959" t="s">
        <v>1634</v>
      </c>
      <c r="D15" s="1048">
        <f ca="1">结果表!H108</f>
        <v>10036</v>
      </c>
      <c r="E15" s="1955"/>
    </row>
    <row r="16" spans="1:5" ht="15">
      <c r="A16" s="1955"/>
      <c r="B16" s="3015" t="str">
        <f>结果表!E109</f>
        <v>——</v>
      </c>
      <c r="C16" s="1963" t="s">
        <v>1635</v>
      </c>
      <c r="D16" s="1964" t="str">
        <f>结果表!H109</f>
        <v>——</v>
      </c>
      <c r="E16" s="1955"/>
    </row>
    <row r="17" spans="1:5" ht="15.75">
      <c r="A17" s="1955"/>
      <c r="B17" s="3016"/>
      <c r="C17" s="1958" t="s">
        <v>1636</v>
      </c>
      <c r="D17" s="1036" t="e">
        <f>NUMBERSTRING(INT(D16*10000),2)&amp;"元整"</f>
        <v>#VALUE!</v>
      </c>
      <c r="E17" s="1955"/>
    </row>
    <row r="18" spans="1:5" ht="15">
      <c r="A18" s="1955"/>
      <c r="B18" s="3017"/>
      <c r="C18" s="1959" t="s">
        <v>1625</v>
      </c>
      <c r="D18" s="1048" t="str">
        <f>结果表!H110</f>
        <v>——</v>
      </c>
      <c r="E18" s="1955"/>
    </row>
    <row r="19" spans="1:5" ht="15.75">
      <c r="A19" s="1955"/>
      <c r="B19" s="3008" t="str">
        <f>结果表!E111</f>
        <v>——</v>
      </c>
      <c r="C19" s="1963" t="s">
        <v>1623</v>
      </c>
      <c r="D19" s="1037" t="str">
        <f>结果表!H111</f>
        <v>——</v>
      </c>
      <c r="E19" s="1955"/>
    </row>
    <row r="20" spans="1:5" ht="15.75">
      <c r="A20" s="1955"/>
      <c r="B20" s="3009"/>
      <c r="C20" s="1958" t="s">
        <v>1636</v>
      </c>
      <c r="D20" s="1036" t="e">
        <f>NUMBERSTRING(INT(D19*10000),2)&amp;"元整"</f>
        <v>#VALUE!</v>
      </c>
      <c r="E20" s="1955"/>
    </row>
    <row r="21" spans="1:5" ht="15.75" thickBot="1">
      <c r="A21" s="1955"/>
      <c r="B21" s="3010"/>
      <c r="C21" s="1965" t="s">
        <v>1634</v>
      </c>
      <c r="D21" s="1049"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4" t="s">
        <v>2995</v>
      </c>
    </row>
    <row r="2" spans="1:5" ht="15.75">
      <c r="A2" s="2903" t="s">
        <v>2987</v>
      </c>
      <c r="B2" s="2904" t="e">
        <f ca="1">SUMIF(B6:B13,"&lt;&gt;#ref!",B6:B13)</f>
        <v>#DIV/0!</v>
      </c>
      <c r="C2" s="2903" t="s">
        <v>2988</v>
      </c>
      <c r="D2" s="2903" t="s">
        <v>2989</v>
      </c>
      <c r="E2" s="2904">
        <f ca="1">SUMIF(E6:E13,"&lt;&gt;#ref!",E6:E13)</f>
        <v>0</v>
      </c>
    </row>
    <row r="3" spans="1:5" ht="15.75">
      <c r="A3" s="2903" t="s">
        <v>2990</v>
      </c>
      <c r="B3" s="2904" t="e">
        <f ca="1">ROUND(B2*10000/E2,0)</f>
        <v>#DIV/0!</v>
      </c>
      <c r="C3" s="2903" t="s">
        <v>2996</v>
      </c>
      <c r="D3" s="2905"/>
      <c r="E3" s="2905"/>
    </row>
    <row r="4" spans="1:5" ht="15.75">
      <c r="A4" s="2906"/>
      <c r="B4" s="2905"/>
      <c r="C4" s="2905"/>
      <c r="D4" s="2905"/>
      <c r="E4" s="2905"/>
    </row>
    <row r="5" spans="1:5" ht="28.5">
      <c r="A5" s="2907" t="s">
        <v>2991</v>
      </c>
      <c r="B5" s="2903" t="s">
        <v>2992</v>
      </c>
      <c r="C5" s="2904"/>
      <c r="D5" s="2905"/>
      <c r="E5" s="2903" t="s">
        <v>2993</v>
      </c>
    </row>
    <row r="6" spans="1:5" ht="15.75">
      <c r="A6" s="2908" t="s">
        <v>2994</v>
      </c>
      <c r="B6" s="2904" t="e">
        <f ca="1">SUMIF(INDIRECT("'"&amp;A6&amp;"'"&amp;"!A:A"),"总价",INDIRECT("'"&amp;A6&amp;"'"&amp;"!B:B"))</f>
        <v>#DIV/0!</v>
      </c>
      <c r="C6" s="2903" t="s">
        <v>2988</v>
      </c>
      <c r="D6" s="2905"/>
      <c r="E6" s="2568">
        <f ca="1">SUMIF(INDIRECT("'"&amp;A6&amp;"'"&amp;"!C:C"),"建筑面积",INDIRECT("'"&amp;A6&amp;"'"&amp;"!D:D"))</f>
        <v>0</v>
      </c>
    </row>
    <row r="7" spans="1:5" ht="15.75">
      <c r="A7" s="2908"/>
      <c r="B7" s="2904" t="e">
        <f ca="1">SUMIF(INDIRECT("'"&amp;A7&amp;"'"&amp;"!A:A"),"总价",INDIRECT("'"&amp;A7&amp;"'"&amp;"!B:B"))</f>
        <v>#REF!</v>
      </c>
      <c r="C7" s="2903" t="s">
        <v>2988</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2988</v>
      </c>
      <c r="D8" s="2905"/>
      <c r="E8" s="2568" t="e">
        <f t="shared" ca="1" si="0"/>
        <v>#REF!</v>
      </c>
    </row>
    <row r="9" spans="1:5" ht="15.75">
      <c r="A9" s="2908"/>
      <c r="B9" s="2904" t="e">
        <f t="shared" ca="1" si="1"/>
        <v>#REF!</v>
      </c>
      <c r="C9" s="2903" t="s">
        <v>2988</v>
      </c>
      <c r="D9" s="2905"/>
      <c r="E9" s="2568" t="e">
        <f t="shared" ca="1" si="0"/>
        <v>#REF!</v>
      </c>
    </row>
    <row r="10" spans="1:5" ht="15.75">
      <c r="A10" s="2908"/>
      <c r="B10" s="2904" t="e">
        <f t="shared" ca="1" si="1"/>
        <v>#REF!</v>
      </c>
      <c r="C10" s="2903" t="s">
        <v>2988</v>
      </c>
      <c r="D10" s="2905"/>
      <c r="E10" s="2568" t="e">
        <f t="shared" ca="1" si="0"/>
        <v>#REF!</v>
      </c>
    </row>
    <row r="11" spans="1:5" ht="15.75">
      <c r="A11" s="2908"/>
      <c r="B11" s="2904" t="e">
        <f t="shared" ca="1" si="1"/>
        <v>#REF!</v>
      </c>
      <c r="C11" s="2903" t="s">
        <v>2988</v>
      </c>
      <c r="D11" s="2905"/>
      <c r="E11" s="2568" t="e">
        <f t="shared" ca="1" si="0"/>
        <v>#REF!</v>
      </c>
    </row>
    <row r="12" spans="1:5" ht="15.75">
      <c r="A12" s="2908"/>
      <c r="B12" s="2904" t="e">
        <f t="shared" ca="1" si="1"/>
        <v>#REF!</v>
      </c>
      <c r="C12" s="2903" t="s">
        <v>2988</v>
      </c>
      <c r="D12" s="2905"/>
      <c r="E12" s="2568" t="e">
        <f t="shared" ca="1" si="0"/>
        <v>#REF!</v>
      </c>
    </row>
    <row r="13" spans="1:5" ht="15.75">
      <c r="A13" s="2908"/>
      <c r="B13" s="2904" t="e">
        <f t="shared" ca="1" si="1"/>
        <v>#REF!</v>
      </c>
      <c r="C13" s="2903" t="s">
        <v>2988</v>
      </c>
      <c r="D13" s="2905"/>
      <c r="E13" s="256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26" t="s">
        <v>1150</v>
      </c>
      <c r="C1" s="3326"/>
      <c r="D1" s="3326"/>
      <c r="E1" s="3326"/>
      <c r="F1" s="3326"/>
      <c r="G1" s="3325" t="s">
        <v>1151</v>
      </c>
      <c r="H1" s="3325"/>
      <c r="I1" s="3325"/>
      <c r="J1" s="3325"/>
      <c r="K1" s="3325"/>
      <c r="L1" s="3325"/>
      <c r="N1" s="3325" t="s">
        <v>1152</v>
      </c>
      <c r="O1" s="3325"/>
      <c r="P1" s="3325"/>
      <c r="Q1" s="3325"/>
      <c r="R1" s="1442"/>
      <c r="S1" s="3325" t="s">
        <v>1153</v>
      </c>
      <c r="T1" s="3325"/>
      <c r="U1" s="3325"/>
      <c r="V1" s="3325"/>
      <c r="X1" s="3324" t="s">
        <v>1154</v>
      </c>
      <c r="Y1" s="3325"/>
      <c r="Z1" s="3325"/>
      <c r="AA1" s="3325"/>
      <c r="AB1" s="3325"/>
      <c r="AD1" s="3324" t="s">
        <v>1155</v>
      </c>
      <c r="AE1" s="3325"/>
      <c r="AF1" s="3325"/>
      <c r="AG1" s="3325"/>
      <c r="AH1" s="3325"/>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2" customFormat="1" ht="14.25">
      <c r="A3" s="2931" t="s">
        <v>3030</v>
      </c>
      <c r="B3" s="2923"/>
      <c r="C3" s="2923"/>
      <c r="D3" s="2924"/>
      <c r="E3" s="2924"/>
      <c r="F3" s="2923"/>
      <c r="G3" s="2925"/>
      <c r="H3" s="2926"/>
      <c r="I3" s="2927">
        <f>ROUND(AVERAGE($I7:$I22),2)</f>
        <v>2.4500000000000002</v>
      </c>
      <c r="J3" s="2927">
        <f>ROUND(AVERAGE($J7:$J22),2)</f>
        <v>1.65</v>
      </c>
      <c r="K3" s="2927">
        <f>ROUND(AVERAGE($K7:$K22),2)</f>
        <v>2.71</v>
      </c>
      <c r="L3" s="2927">
        <f>ROUND(AVERAGE($L7:$L22),2)</f>
        <v>1.39</v>
      </c>
      <c r="N3" s="2925"/>
      <c r="O3" s="2928"/>
      <c r="P3" s="2928"/>
      <c r="Q3" s="2928"/>
      <c r="R3" s="2928"/>
      <c r="S3" s="2925"/>
      <c r="T3" s="2928"/>
      <c r="U3" s="2928"/>
      <c r="V3" s="2928"/>
      <c r="W3" s="2920"/>
      <c r="X3" s="2929">
        <f>ROUND(SUMPRODUCT(PRODUCT(1+N3:N$21)),4)</f>
        <v>1.4517</v>
      </c>
      <c r="Y3" s="2929">
        <f>ROUND(SUMPRODUCT(PRODUCT(1+O3:O$21)),4)</f>
        <v>1.2928999999999999</v>
      </c>
      <c r="Z3" s="2929">
        <f t="shared" ref="Z3:Z19" si="0">Y3</f>
        <v>1.2928999999999999</v>
      </c>
      <c r="AA3" s="2929">
        <f>ROUND(SUMPRODUCT(PRODUCT(1+P3:P$21)),4)</f>
        <v>1.5068999999999999</v>
      </c>
      <c r="AB3" s="2929">
        <f>ROUND(SUMPRODUCT(PRODUCT(1+Q3:Q$21)),4)</f>
        <v>1.2557</v>
      </c>
      <c r="AD3" s="2930">
        <f>ROUND(AVERAGE(I3:I$22)/100,4)</f>
        <v>2.2800000000000001E-2</v>
      </c>
      <c r="AE3" s="2930">
        <f>ROUND(AVERAGE(J3:J$22)/100,4)</f>
        <v>1.5699999999999999E-2</v>
      </c>
      <c r="AF3" s="2930">
        <f t="shared" ref="AF3:AF20" si="1">AE3</f>
        <v>1.5699999999999999E-2</v>
      </c>
      <c r="AG3" s="2930">
        <f>ROUND(AVERAGE(K3:K$22)/100,4)</f>
        <v>2.5100000000000001E-2</v>
      </c>
      <c r="AH3" s="2930">
        <f>ROUND(AVERAGE(L3:L$22)/100,4)</f>
        <v>1.35E-2</v>
      </c>
    </row>
    <row r="4" spans="1:34" s="1449" customFormat="1" ht="14.25">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3036</v>
      </c>
      <c r="B5" s="1787">
        <f t="shared" ref="B5" si="2">B6*(1+N5)</f>
        <v>446.46299999999997</v>
      </c>
      <c r="C5" s="1787">
        <f t="shared" ref="C5" si="3">C6*(1+O5)</f>
        <v>333.27840000000003</v>
      </c>
      <c r="D5" s="1787">
        <f t="shared" ref="D5" si="4">C5</f>
        <v>333.27840000000003</v>
      </c>
      <c r="E5" s="1787">
        <f t="shared" ref="E5" si="5">E6*(1+P5)</f>
        <v>637.28279999999995</v>
      </c>
      <c r="F5" s="1787">
        <f t="shared" ref="F5" si="6">F6*(1+Q5)</f>
        <v>288.68830000000003</v>
      </c>
      <c r="G5" s="2932">
        <v>2018</v>
      </c>
      <c r="H5" s="1726">
        <v>2</v>
      </c>
      <c r="I5" s="2917">
        <v>0</v>
      </c>
      <c r="J5" s="2917">
        <v>0</v>
      </c>
      <c r="K5" s="2917">
        <v>0</v>
      </c>
      <c r="L5" s="2917">
        <v>0</v>
      </c>
      <c r="N5" s="1463">
        <f t="shared" ref="N5" si="7">I5/100</f>
        <v>0</v>
      </c>
      <c r="O5" s="1463">
        <f t="shared" ref="O5" si="8">J5/100</f>
        <v>0</v>
      </c>
      <c r="P5" s="1463">
        <f t="shared" ref="P5" si="9">K5/100</f>
        <v>0</v>
      </c>
      <c r="Q5" s="1463">
        <f t="shared" ref="Q5" si="10">L5/100</f>
        <v>0</v>
      </c>
      <c r="R5" s="1728"/>
      <c r="S5" s="1729"/>
      <c r="T5" s="1728"/>
      <c r="U5" s="1728"/>
      <c r="V5" s="1728"/>
      <c r="W5" s="2921" t="s">
        <v>3031</v>
      </c>
      <c r="X5" s="1722">
        <f>ROUND(SUMPRODUCT(PRODUCT(1+N5:N$21)),4)</f>
        <v>1.4517</v>
      </c>
      <c r="Y5" s="1722">
        <f>ROUND(SUMPRODUCT(PRODUCT(1+O5:O$21)),4)</f>
        <v>1.2928999999999999</v>
      </c>
      <c r="Z5" s="1722">
        <f t="shared" ref="Z5" si="11">Y5</f>
        <v>1.2928999999999999</v>
      </c>
      <c r="AA5" s="1722">
        <f>ROUND(SUMPRODUCT(PRODUCT(1+P5:P$21)),4)</f>
        <v>1.5068999999999999</v>
      </c>
      <c r="AB5" s="1722">
        <f>ROUND(SUMPRODUCT(PRODUCT(1+Q5:Q$21)),4)</f>
        <v>1.2557</v>
      </c>
      <c r="AD5" s="1464">
        <f>ROUND(AVERAGE(I5:I$22)/100,4)</f>
        <v>2.2700000000000001E-2</v>
      </c>
      <c r="AE5" s="1464">
        <f>ROUND(AVERAGE(J5:J$22)/100,4)</f>
        <v>1.5699999999999999E-2</v>
      </c>
      <c r="AF5" s="1464">
        <f t="shared" ref="AF5" si="12">AE5</f>
        <v>1.5699999999999999E-2</v>
      </c>
      <c r="AG5" s="1464">
        <f>ROUND(AVERAGE(K5:K$22)/100,4)</f>
        <v>2.5000000000000001E-2</v>
      </c>
      <c r="AH5" s="1464">
        <f>ROUND(AVERAGE(L5:L$22)/100,4)</f>
        <v>1.35E-2</v>
      </c>
    </row>
    <row r="6" spans="1:34" s="1462" customFormat="1" ht="13.5" thickBot="1">
      <c r="A6" s="1457" t="s">
        <v>3029</v>
      </c>
      <c r="B6" s="1473">
        <f t="shared" ref="B6" si="13">B7*(1+N6)</f>
        <v>446.46299999999997</v>
      </c>
      <c r="C6" s="1473">
        <f t="shared" ref="C6" si="14">C7*(1+O6)</f>
        <v>333.27840000000003</v>
      </c>
      <c r="D6" s="1473">
        <f t="shared" ref="D6" si="15">C6</f>
        <v>333.27840000000003</v>
      </c>
      <c r="E6" s="1473">
        <f t="shared" ref="E6" si="16">E7*(1+P6)</f>
        <v>637.28279999999995</v>
      </c>
      <c r="F6" s="1473">
        <f t="shared" ref="F6" si="17">F7*(1+Q6)</f>
        <v>288.68830000000003</v>
      </c>
      <c r="G6" s="2933">
        <v>2018</v>
      </c>
      <c r="H6" s="1460">
        <v>1</v>
      </c>
      <c r="I6" s="1460">
        <v>1.7</v>
      </c>
      <c r="J6" s="1460">
        <v>1.92</v>
      </c>
      <c r="K6" s="1460">
        <v>1.64</v>
      </c>
      <c r="L6" s="1474">
        <v>2.0099999999999998</v>
      </c>
      <c r="M6" s="1467"/>
      <c r="N6" s="1468">
        <f t="shared" ref="N6:N11" si="18">I6/100</f>
        <v>1.7000000000000001E-2</v>
      </c>
      <c r="O6" s="1469">
        <f t="shared" ref="O6" si="19">J6/100</f>
        <v>1.9199999999999998E-2</v>
      </c>
      <c r="P6" s="1469">
        <f t="shared" ref="P6" si="20">K6/100</f>
        <v>1.6399999999999998E-2</v>
      </c>
      <c r="Q6" s="1469">
        <f t="shared" ref="Q6" si="21">L6/100</f>
        <v>2.0099999999999996E-2</v>
      </c>
      <c r="R6" s="1470"/>
      <c r="S6" s="1468">
        <f>B6/B7-1</f>
        <v>1.6999999999999904E-2</v>
      </c>
      <c r="T6" s="1469">
        <f t="shared" ref="T6" si="22">C6/C7-1</f>
        <v>1.9200000000000106E-2</v>
      </c>
      <c r="U6" s="1469">
        <f t="shared" ref="U6" si="23">D6/D7-1</f>
        <v>1.9200000000000106E-2</v>
      </c>
      <c r="V6" s="1469">
        <f t="shared" ref="V6" si="24">E6/E7-1</f>
        <v>1.639999999999997E-2</v>
      </c>
      <c r="W6" s="1786"/>
      <c r="X6" s="1784">
        <f>ROUND(SUMPRODUCT(PRODUCT(1+N6:N$21)),4)</f>
        <v>1.4517</v>
      </c>
      <c r="Y6" s="1784">
        <f>ROUND(SUMPRODUCT(PRODUCT(1+O6:O$21)),4)</f>
        <v>1.2928999999999999</v>
      </c>
      <c r="Z6" s="1784">
        <f t="shared" ref="Z6" si="25">Y6</f>
        <v>1.2928999999999999</v>
      </c>
      <c r="AA6" s="1784">
        <f>ROUND(SUMPRODUCT(PRODUCT(1+P6:P$21)),4)</f>
        <v>1.5068999999999999</v>
      </c>
      <c r="AB6" s="1784">
        <f>ROUND(SUMPRODUCT(PRODUCT(1+Q6:Q$21)),4)</f>
        <v>1.2557</v>
      </c>
      <c r="AC6" s="1786"/>
      <c r="AD6" s="1785">
        <f>ROUND(AVERAGE(I6:I$22)/100,4)</f>
        <v>2.4E-2</v>
      </c>
      <c r="AE6" s="1785">
        <f>ROUND(AVERAGE(J6:J$22)/100,4)</f>
        <v>1.66E-2</v>
      </c>
      <c r="AF6" s="1785">
        <f t="shared" ref="AF6" si="26">AE6</f>
        <v>1.66E-2</v>
      </c>
      <c r="AG6" s="1785">
        <f>ROUND(AVERAGE(K6:K$22)/100,4)</f>
        <v>2.6499999999999999E-2</v>
      </c>
      <c r="AH6" s="1785">
        <f>ROUND(AVERAGE(L6:L$22)/100,4)</f>
        <v>1.43E-2</v>
      </c>
    </row>
    <row r="7" spans="1:34">
      <c r="A7" s="1457" t="s">
        <v>3026</v>
      </c>
      <c r="B7" s="1465">
        <v>439</v>
      </c>
      <c r="C7" s="1465">
        <v>327</v>
      </c>
      <c r="D7" s="1465">
        <f>C7</f>
        <v>327</v>
      </c>
      <c r="E7" s="1465">
        <v>627</v>
      </c>
      <c r="F7" s="1466">
        <v>283</v>
      </c>
      <c r="G7" s="2919">
        <v>2017</v>
      </c>
      <c r="H7" s="1458">
        <v>4</v>
      </c>
      <c r="I7" s="1458">
        <v>1.71</v>
      </c>
      <c r="J7" s="1458">
        <v>1.78</v>
      </c>
      <c r="K7" s="1458">
        <v>1.71</v>
      </c>
      <c r="L7" s="1459">
        <v>1.43</v>
      </c>
      <c r="N7" s="1468">
        <f t="shared" si="18"/>
        <v>1.7100000000000001E-2</v>
      </c>
      <c r="O7" s="1469">
        <f t="shared" ref="O7" si="27">J7/100</f>
        <v>1.78E-2</v>
      </c>
      <c r="P7" s="1469">
        <f t="shared" ref="P7" si="28">K7/100</f>
        <v>1.7100000000000001E-2</v>
      </c>
      <c r="Q7" s="1469">
        <f t="shared" ref="Q7" si="29">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3027</v>
      </c>
      <c r="B8" s="1473">
        <f t="shared" ref="B8:B9" si="30">B9*(1+N8)</f>
        <v>431.80730811680002</v>
      </c>
      <c r="C8" s="1473">
        <f t="shared" ref="C8:C9" si="31">C9*(1+O8)</f>
        <v>320.57880516480003</v>
      </c>
      <c r="D8" s="1473">
        <f t="shared" ref="D8:D9" si="32">C8</f>
        <v>320.57880516480003</v>
      </c>
      <c r="E8" s="1473">
        <f t="shared" ref="E8:E9" si="33">E9*(1+P8)</f>
        <v>615.96110553196797</v>
      </c>
      <c r="F8" s="1473">
        <f t="shared" ref="F8:F9" si="34">F9*(1+Q8)</f>
        <v>279.46777300108801</v>
      </c>
      <c r="G8" s="2915"/>
      <c r="H8" s="1460">
        <v>3</v>
      </c>
      <c r="I8" s="1460">
        <v>2.98</v>
      </c>
      <c r="J8" s="1460">
        <v>2.11</v>
      </c>
      <c r="K8" s="1460">
        <v>3.24</v>
      </c>
      <c r="L8" s="1474">
        <v>1.72</v>
      </c>
      <c r="M8" s="1467"/>
      <c r="N8" s="1468">
        <f t="shared" si="18"/>
        <v>2.98E-2</v>
      </c>
      <c r="O8" s="1469">
        <f t="shared" ref="O8" si="35">J8/100</f>
        <v>2.1099999999999997E-2</v>
      </c>
      <c r="P8" s="1469">
        <f t="shared" ref="P8" si="36">K8/100</f>
        <v>3.2400000000000005E-2</v>
      </c>
      <c r="Q8" s="1469">
        <f t="shared" ref="Q8" si="37">L8/100</f>
        <v>1.72E-2</v>
      </c>
      <c r="R8" s="1470"/>
      <c r="S8" s="1468"/>
      <c r="T8" s="1469"/>
      <c r="U8" s="1469"/>
      <c r="V8" s="1469"/>
      <c r="W8" s="1786"/>
      <c r="X8" s="1784">
        <f>ROUND(SUMPRODUCT(PRODUCT(1+N8:N$21)),4)</f>
        <v>1.4034</v>
      </c>
      <c r="Y8" s="1784">
        <f>ROUND(SUMPRODUCT(PRODUCT(1+O8:O$21)),4)</f>
        <v>1.2463</v>
      </c>
      <c r="Z8" s="1784">
        <f t="shared" si="0"/>
        <v>1.2463</v>
      </c>
      <c r="AA8" s="1784">
        <f>ROUND(SUMPRODUCT(PRODUCT(1+P8:P$21)),4)</f>
        <v>1.4577</v>
      </c>
      <c r="AB8" s="1784">
        <f>ROUND(SUMPRODUCT(PRODUCT(1+Q8:Q$21)),4)</f>
        <v>1.2136</v>
      </c>
      <c r="AC8" s="1786"/>
      <c r="AD8" s="1785">
        <f>ROUND(AVERAGE(I8:I$22)/100,4)</f>
        <v>2.4899999999999999E-2</v>
      </c>
      <c r="AE8" s="1785">
        <f>ROUND(AVERAGE(J8:J$22)/100,4)</f>
        <v>1.6400000000000001E-2</v>
      </c>
      <c r="AF8" s="1785">
        <f t="shared" si="1"/>
        <v>1.6400000000000001E-2</v>
      </c>
      <c r="AG8" s="1785">
        <f>ROUND(AVERAGE(K8:K$22)/100,4)</f>
        <v>2.7799999999999998E-2</v>
      </c>
      <c r="AH8" s="1785">
        <f>ROUND(AVERAGE(L8:L$22)/100,4)</f>
        <v>1.3899999999999999E-2</v>
      </c>
    </row>
    <row r="9" spans="1:34" s="1727" customFormat="1">
      <c r="A9" s="1457" t="s">
        <v>1386</v>
      </c>
      <c r="B9" s="1473">
        <f t="shared" si="30"/>
        <v>419.31181600000002</v>
      </c>
      <c r="C9" s="1473">
        <f t="shared" si="31"/>
        <v>313.95436800000004</v>
      </c>
      <c r="D9" s="1473">
        <f t="shared" si="32"/>
        <v>313.95436800000004</v>
      </c>
      <c r="E9" s="1473">
        <f t="shared" si="33"/>
        <v>596.63028431999999</v>
      </c>
      <c r="F9" s="1473">
        <f t="shared" si="34"/>
        <v>274.74220703999998</v>
      </c>
      <c r="G9" s="2914"/>
      <c r="H9" s="1461">
        <v>2</v>
      </c>
      <c r="I9" s="1461">
        <v>3.4</v>
      </c>
      <c r="J9" s="1461">
        <v>2</v>
      </c>
      <c r="K9" s="1461">
        <v>3.82</v>
      </c>
      <c r="L9" s="1475">
        <v>1.68</v>
      </c>
      <c r="M9" s="1467"/>
      <c r="N9" s="1468">
        <f t="shared" si="18"/>
        <v>3.4000000000000002E-2</v>
      </c>
      <c r="O9" s="1469">
        <f t="shared" ref="O9" si="38">J9/100</f>
        <v>0.02</v>
      </c>
      <c r="P9" s="1469">
        <f t="shared" ref="P9" si="39">K9/100</f>
        <v>3.8199999999999998E-2</v>
      </c>
      <c r="Q9" s="1469">
        <f t="shared" ref="Q9" si="40">L9/100</f>
        <v>1.6799999999999999E-2</v>
      </c>
      <c r="R9" s="1470"/>
      <c r="S9" s="1471"/>
      <c r="T9" s="1472"/>
      <c r="U9" s="1472"/>
      <c r="V9" s="1472"/>
      <c r="W9" s="1449"/>
      <c r="X9" s="1784">
        <f>ROUND(SUMPRODUCT(PRODUCT(1+N9:N$21)),4)</f>
        <v>1.3628</v>
      </c>
      <c r="Y9" s="1784">
        <f>ROUND(SUMPRODUCT(PRODUCT(1+O9:O$21)),4)</f>
        <v>1.2205999999999999</v>
      </c>
      <c r="Z9" s="1784">
        <f t="shared" si="0"/>
        <v>1.2205999999999999</v>
      </c>
      <c r="AA9" s="1784">
        <f>ROUND(SUMPRODUCT(PRODUCT(1+P9:P$21)),4)</f>
        <v>1.4118999999999999</v>
      </c>
      <c r="AB9" s="1784">
        <f>ROUND(SUMPRODUCT(PRODUCT(1+Q9:Q$21)),4)</f>
        <v>1.1930000000000001</v>
      </c>
      <c r="AC9" s="1449"/>
      <c r="AD9" s="1785">
        <f>ROUND(AVERAGE(I9:I$22)/100,4)</f>
        <v>2.46E-2</v>
      </c>
      <c r="AE9" s="1785">
        <f>ROUND(AVERAGE(J9:J$22)/100,4)</f>
        <v>1.6E-2</v>
      </c>
      <c r="AF9" s="1785">
        <f t="shared" si="1"/>
        <v>1.6E-2</v>
      </c>
      <c r="AG9" s="1785">
        <f>ROUND(AVERAGE(K9:K$22)/100,4)</f>
        <v>2.75E-2</v>
      </c>
      <c r="AH9" s="1785">
        <f>ROUND(AVERAGE(L9:L$22)/100,4)</f>
        <v>1.37E-2</v>
      </c>
    </row>
    <row r="10" spans="1:34" s="1462" customFormat="1" ht="13.5" thickBot="1">
      <c r="A10" s="1457" t="s">
        <v>1161</v>
      </c>
      <c r="B10" s="1473">
        <f>B11*(1+N10)</f>
        <v>405.524</v>
      </c>
      <c r="C10" s="1473">
        <f>C11*(1+O10)</f>
        <v>307.79840000000002</v>
      </c>
      <c r="D10" s="1473">
        <f>C10</f>
        <v>307.79840000000002</v>
      </c>
      <c r="E10" s="1473">
        <f>E11*(1+P10)</f>
        <v>574.67759999999998</v>
      </c>
      <c r="F10" s="1473">
        <f>F11*(1+Q10)</f>
        <v>270.20280000000002</v>
      </c>
      <c r="G10" s="2915"/>
      <c r="H10" s="1460">
        <v>1</v>
      </c>
      <c r="I10" s="1460">
        <v>3.45</v>
      </c>
      <c r="J10" s="1460">
        <v>1.92</v>
      </c>
      <c r="K10" s="1460">
        <v>3.92</v>
      </c>
      <c r="L10" s="1474">
        <v>1.58</v>
      </c>
      <c r="M10" s="1467"/>
      <c r="N10" s="1468">
        <f t="shared" si="18"/>
        <v>3.4500000000000003E-2</v>
      </c>
      <c r="O10" s="1469">
        <f t="shared" ref="O10:Q25" si="41">J10/100</f>
        <v>1.9199999999999998E-2</v>
      </c>
      <c r="P10" s="1469">
        <f t="shared" si="41"/>
        <v>3.9199999999999999E-2</v>
      </c>
      <c r="Q10" s="1469">
        <f t="shared" si="41"/>
        <v>1.5800000000000002E-2</v>
      </c>
      <c r="R10" s="1470"/>
      <c r="S10" s="1468">
        <f>B10/B11-1</f>
        <v>3.4499999999999975E-2</v>
      </c>
      <c r="T10" s="1469">
        <f t="shared" ref="T10:V10" si="42">C10/C11-1</f>
        <v>1.9200000000000106E-2</v>
      </c>
      <c r="U10" s="1469">
        <f t="shared" si="42"/>
        <v>1.9200000000000106E-2</v>
      </c>
      <c r="V10" s="1469">
        <f t="shared" si="42"/>
        <v>3.9199999999999902E-2</v>
      </c>
      <c r="W10" s="1786"/>
      <c r="X10" s="1784">
        <f>ROUND(SUMPRODUCT(PRODUCT(1+N10:N$21)),4)</f>
        <v>1.3180000000000001</v>
      </c>
      <c r="Y10" s="1784">
        <f>ROUND(SUMPRODUCT(PRODUCT(1+O10:O$21)),4)</f>
        <v>1.1966000000000001</v>
      </c>
      <c r="Z10" s="1784">
        <f t="shared" si="0"/>
        <v>1.1966000000000001</v>
      </c>
      <c r="AA10" s="1784">
        <f>ROUND(SUMPRODUCT(PRODUCT(1+P10:P$21)),4)</f>
        <v>1.36</v>
      </c>
      <c r="AB10" s="1784">
        <f>ROUND(SUMPRODUCT(PRODUCT(1+Q10:Q$21)),4)</f>
        <v>1.1733</v>
      </c>
      <c r="AC10" s="1786"/>
      <c r="AD10" s="1785">
        <f>ROUND(AVERAGE(I10:I$22)/100,4)</f>
        <v>2.3900000000000001E-2</v>
      </c>
      <c r="AE10" s="1785">
        <f>ROUND(AVERAGE(J10:J$22)/100,4)</f>
        <v>1.5699999999999999E-2</v>
      </c>
      <c r="AF10" s="1785">
        <f t="shared" si="1"/>
        <v>1.5699999999999999E-2</v>
      </c>
      <c r="AG10" s="1785">
        <f>ROUND(AVERAGE(K10:K$22)/100,4)</f>
        <v>2.6599999999999999E-2</v>
      </c>
      <c r="AH10" s="1785">
        <f>ROUND(AVERAGE(L10:L$22)/100,4)</f>
        <v>1.34E-2</v>
      </c>
    </row>
    <row r="11" spans="1:34">
      <c r="A11" s="1457" t="s">
        <v>154</v>
      </c>
      <c r="B11" s="1465">
        <v>392</v>
      </c>
      <c r="C11" s="1465">
        <v>302</v>
      </c>
      <c r="D11" s="1465">
        <f>C11</f>
        <v>302</v>
      </c>
      <c r="E11" s="1465">
        <v>553</v>
      </c>
      <c r="F11" s="1466">
        <v>266</v>
      </c>
      <c r="G11" s="3327">
        <v>2016</v>
      </c>
      <c r="H11" s="1458">
        <v>4</v>
      </c>
      <c r="I11" s="1458">
        <v>4.5599999999999996</v>
      </c>
      <c r="J11" s="1458">
        <v>2.15</v>
      </c>
      <c r="K11" s="1458">
        <v>5.32</v>
      </c>
      <c r="L11" s="1459">
        <v>1.57</v>
      </c>
      <c r="N11" s="1468">
        <f t="shared" si="18"/>
        <v>4.5599999999999995E-2</v>
      </c>
      <c r="O11" s="1469">
        <f t="shared" si="41"/>
        <v>2.1499999999999998E-2</v>
      </c>
      <c r="P11" s="1469">
        <f t="shared" si="41"/>
        <v>5.3200000000000004E-2</v>
      </c>
      <c r="Q11" s="1469">
        <f t="shared" si="41"/>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3">B11/(1+N11)</f>
        <v>374.90436113236416</v>
      </c>
      <c r="C12" s="1473">
        <f t="shared" si="43"/>
        <v>295.64366128242779</v>
      </c>
      <c r="D12" s="1473">
        <f t="shared" ref="D12:D71" si="44">C12</f>
        <v>295.64366128242779</v>
      </c>
      <c r="E12" s="1473">
        <f t="shared" ref="E12:F14" si="45">E11/(1+P11)</f>
        <v>525.06646410938095</v>
      </c>
      <c r="F12" s="1473">
        <f t="shared" si="45"/>
        <v>261.88835286009646</v>
      </c>
      <c r="G12" s="3322"/>
      <c r="H12" s="1460">
        <v>3</v>
      </c>
      <c r="I12" s="1460">
        <v>4.12</v>
      </c>
      <c r="J12" s="1460">
        <v>2</v>
      </c>
      <c r="K12" s="1460">
        <v>4.79</v>
      </c>
      <c r="L12" s="1474">
        <v>1.97</v>
      </c>
      <c r="N12" s="1468">
        <f t="shared" ref="N12:Q46" si="46">I12/100</f>
        <v>4.1200000000000001E-2</v>
      </c>
      <c r="O12" s="1469">
        <f t="shared" si="41"/>
        <v>0.02</v>
      </c>
      <c r="P12" s="1469">
        <f t="shared" si="41"/>
        <v>4.7899999999999998E-2</v>
      </c>
      <c r="Q12" s="1469">
        <f t="shared" si="41"/>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3"/>
        <v>360.06949782209392</v>
      </c>
      <c r="C13" s="1473">
        <f t="shared" si="43"/>
        <v>289.84672674747821</v>
      </c>
      <c r="D13" s="1473">
        <f t="shared" si="44"/>
        <v>289.84672674747821</v>
      </c>
      <c r="E13" s="1473">
        <f t="shared" si="45"/>
        <v>501.06543001181495</v>
      </c>
      <c r="F13" s="1473">
        <f t="shared" si="45"/>
        <v>256.82882500744967</v>
      </c>
      <c r="G13" s="3322"/>
      <c r="H13" s="1461">
        <v>2</v>
      </c>
      <c r="I13" s="1461">
        <v>3.85</v>
      </c>
      <c r="J13" s="1461">
        <v>1.95</v>
      </c>
      <c r="K13" s="1461">
        <v>4.4800000000000004</v>
      </c>
      <c r="L13" s="1475">
        <v>1.41</v>
      </c>
      <c r="N13" s="1468">
        <f t="shared" si="46"/>
        <v>3.85E-2</v>
      </c>
      <c r="O13" s="1469">
        <f t="shared" si="41"/>
        <v>1.95E-2</v>
      </c>
      <c r="P13" s="1469">
        <f t="shared" si="41"/>
        <v>4.4800000000000006E-2</v>
      </c>
      <c r="Q13" s="1469">
        <f t="shared" si="41"/>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3"/>
        <v>346.720748986128</v>
      </c>
      <c r="C14" s="1473">
        <f t="shared" si="43"/>
        <v>284.30282172386285</v>
      </c>
      <c r="D14" s="1473">
        <f t="shared" si="44"/>
        <v>284.30282172386285</v>
      </c>
      <c r="E14" s="1473">
        <f t="shared" si="45"/>
        <v>479.58023546306947</v>
      </c>
      <c r="F14" s="1473">
        <f t="shared" si="45"/>
        <v>253.25788877571213</v>
      </c>
      <c r="G14" s="3323"/>
      <c r="H14" s="1460">
        <v>1</v>
      </c>
      <c r="I14" s="1460">
        <v>4.09</v>
      </c>
      <c r="J14" s="1460">
        <v>2.93</v>
      </c>
      <c r="K14" s="1460">
        <v>4.54</v>
      </c>
      <c r="L14" s="1474">
        <v>1.48</v>
      </c>
      <c r="N14" s="1468">
        <f t="shared" si="46"/>
        <v>4.0899999999999999E-2</v>
      </c>
      <c r="O14" s="1469">
        <f t="shared" si="41"/>
        <v>2.9300000000000003E-2</v>
      </c>
      <c r="P14" s="1469">
        <f t="shared" si="41"/>
        <v>4.5400000000000003E-2</v>
      </c>
      <c r="Q14" s="1469">
        <f t="shared" si="41"/>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4"/>
        <v>277</v>
      </c>
      <c r="E15" s="1465">
        <v>459</v>
      </c>
      <c r="F15" s="1466">
        <v>249</v>
      </c>
      <c r="G15" s="3321">
        <v>2015</v>
      </c>
      <c r="H15" s="1478">
        <v>4</v>
      </c>
      <c r="I15" s="1478">
        <v>1.63</v>
      </c>
      <c r="J15" s="1478">
        <v>1.1100000000000001</v>
      </c>
      <c r="K15" s="1478">
        <v>1.77</v>
      </c>
      <c r="L15" s="1479">
        <v>1.89</v>
      </c>
      <c r="N15" s="1480">
        <f t="shared" si="46"/>
        <v>1.6299999999999999E-2</v>
      </c>
      <c r="O15" s="1481">
        <f t="shared" si="41"/>
        <v>1.11E-2</v>
      </c>
      <c r="P15" s="1481">
        <f t="shared" si="41"/>
        <v>1.77E-2</v>
      </c>
      <c r="Q15" s="1481">
        <f t="shared" si="41"/>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47">B15/(1+N15)</f>
        <v>327.65915576109415</v>
      </c>
      <c r="C16" s="1473">
        <f t="shared" si="47"/>
        <v>273.95905449510434</v>
      </c>
      <c r="D16" s="1473">
        <f t="shared" si="44"/>
        <v>273.95905449510434</v>
      </c>
      <c r="E16" s="1473">
        <f t="shared" ref="E16:F18" si="48">E15/(1+P15)</f>
        <v>451.01699911565294</v>
      </c>
      <c r="F16" s="1473">
        <f t="shared" si="48"/>
        <v>244.38119540681129</v>
      </c>
      <c r="G16" s="3322"/>
      <c r="H16" s="1483">
        <v>3</v>
      </c>
      <c r="I16" s="1483">
        <v>1.65</v>
      </c>
      <c r="J16" s="1483">
        <v>0.92</v>
      </c>
      <c r="K16" s="1483">
        <v>1.88</v>
      </c>
      <c r="L16" s="1484">
        <v>1.26</v>
      </c>
      <c r="N16" s="1468">
        <f t="shared" si="46"/>
        <v>1.6500000000000001E-2</v>
      </c>
      <c r="O16" s="1485">
        <f t="shared" si="41"/>
        <v>9.1999999999999998E-3</v>
      </c>
      <c r="P16" s="1485">
        <f t="shared" si="41"/>
        <v>1.8799999999999997E-2</v>
      </c>
      <c r="Q16" s="1485">
        <f t="shared" si="41"/>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47"/>
        <v>322.34053690220776</v>
      </c>
      <c r="C17" s="1473">
        <f t="shared" si="47"/>
        <v>271.46160770422546</v>
      </c>
      <c r="D17" s="1473">
        <f t="shared" si="44"/>
        <v>271.46160770422546</v>
      </c>
      <c r="E17" s="1473">
        <f t="shared" si="48"/>
        <v>442.69434542172456</v>
      </c>
      <c r="F17" s="1473">
        <f t="shared" si="48"/>
        <v>241.34030753190925</v>
      </c>
      <c r="G17" s="3322"/>
      <c r="H17" s="1461">
        <v>2</v>
      </c>
      <c r="I17" s="1461">
        <v>0.77</v>
      </c>
      <c r="J17" s="1461">
        <v>0.69</v>
      </c>
      <c r="K17" s="1461">
        <v>0.8</v>
      </c>
      <c r="L17" s="1475">
        <v>0.88</v>
      </c>
      <c r="N17" s="1468">
        <f t="shared" si="46"/>
        <v>7.7000000000000002E-3</v>
      </c>
      <c r="O17" s="1485">
        <f t="shared" si="41"/>
        <v>6.8999999999999999E-3</v>
      </c>
      <c r="P17" s="1485">
        <f t="shared" si="41"/>
        <v>8.0000000000000002E-3</v>
      </c>
      <c r="Q17" s="1485">
        <f t="shared" si="41"/>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47"/>
        <v>319.87748030386797</v>
      </c>
      <c r="C18" s="1473">
        <f t="shared" si="47"/>
        <v>269.60135833173649</v>
      </c>
      <c r="D18" s="1473">
        <f t="shared" si="44"/>
        <v>269.60135833173649</v>
      </c>
      <c r="E18" s="1473">
        <f t="shared" si="48"/>
        <v>439.18089823583784</v>
      </c>
      <c r="F18" s="1473">
        <f t="shared" si="48"/>
        <v>239.23503918706311</v>
      </c>
      <c r="G18" s="3323"/>
      <c r="H18" s="1460">
        <v>1</v>
      </c>
      <c r="I18" s="1460">
        <v>0.51</v>
      </c>
      <c r="J18" s="1460">
        <v>0.54</v>
      </c>
      <c r="K18" s="1460">
        <v>0.48</v>
      </c>
      <c r="L18" s="1474">
        <v>0.93</v>
      </c>
      <c r="N18" s="1476">
        <f t="shared" si="46"/>
        <v>5.1000000000000004E-3</v>
      </c>
      <c r="O18" s="1477">
        <f t="shared" si="41"/>
        <v>5.4000000000000003E-3</v>
      </c>
      <c r="P18" s="1477">
        <f t="shared" si="41"/>
        <v>4.7999999999999996E-3</v>
      </c>
      <c r="Q18" s="1477">
        <f t="shared" si="41"/>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4"/>
        <v>268</v>
      </c>
      <c r="E19" s="1486">
        <v>437</v>
      </c>
      <c r="F19" s="1487">
        <v>237</v>
      </c>
      <c r="G19" s="3321">
        <v>2014</v>
      </c>
      <c r="H19" s="1478">
        <v>4</v>
      </c>
      <c r="I19" s="1478">
        <v>0.21</v>
      </c>
      <c r="J19" s="1478">
        <v>0.41</v>
      </c>
      <c r="K19" s="1478">
        <v>0.12</v>
      </c>
      <c r="L19" s="1479">
        <v>0.89</v>
      </c>
      <c r="N19" s="1468">
        <f t="shared" si="46"/>
        <v>2.0999999999999999E-3</v>
      </c>
      <c r="O19" s="1469">
        <f t="shared" si="41"/>
        <v>4.0999999999999995E-3</v>
      </c>
      <c r="P19" s="1469">
        <f t="shared" si="41"/>
        <v>1.1999999999999999E-3</v>
      </c>
      <c r="Q19" s="1469">
        <f t="shared" si="41"/>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49">B19/(1+N19)</f>
        <v>317.33359944117353</v>
      </c>
      <c r="C20" s="1473">
        <f t="shared" si="49"/>
        <v>266.90568668459315</v>
      </c>
      <c r="D20" s="1473">
        <f t="shared" si="44"/>
        <v>266.90568668459315</v>
      </c>
      <c r="E20" s="1473">
        <f t="shared" ref="E20:F22" si="50">E19/(1+P19)</f>
        <v>436.47622852576905</v>
      </c>
      <c r="F20" s="1473">
        <f t="shared" si="50"/>
        <v>234.90930716622066</v>
      </c>
      <c r="G20" s="3322"/>
      <c r="H20" s="1488">
        <v>3</v>
      </c>
      <c r="I20" s="1488">
        <v>0.83</v>
      </c>
      <c r="J20" s="1488">
        <v>1.47</v>
      </c>
      <c r="K20" s="1488">
        <v>0.65</v>
      </c>
      <c r="L20" s="1489">
        <v>0.72</v>
      </c>
      <c r="N20" s="1468">
        <f t="shared" si="46"/>
        <v>8.3000000000000001E-3</v>
      </c>
      <c r="O20" s="1469">
        <f t="shared" si="41"/>
        <v>1.47E-2</v>
      </c>
      <c r="P20" s="1469">
        <f t="shared" si="41"/>
        <v>6.5000000000000006E-3</v>
      </c>
      <c r="Q20" s="1469">
        <f t="shared" si="41"/>
        <v>7.1999999999999998E-3</v>
      </c>
      <c r="R20" s="1470"/>
      <c r="S20" s="1468"/>
      <c r="T20" s="1469"/>
      <c r="U20" s="1469"/>
      <c r="V20" s="1469"/>
      <c r="X20" s="1455">
        <f>ROUND(SUMPRODUCT(PRODUCT(1+N20:N$21)),4)</f>
        <v>1.0325</v>
      </c>
      <c r="Y20" s="1455">
        <f>ROUND(SUMPRODUCT(PRODUCT(1+O20:O$21)),4)</f>
        <v>1.0353000000000001</v>
      </c>
      <c r="Z20" s="1455">
        <f t="shared" ref="Z20:Z21" si="51">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49"/>
        <v>314.72141172386546</v>
      </c>
      <c r="C21" s="1473">
        <f t="shared" si="49"/>
        <v>263.03901319069001</v>
      </c>
      <c r="D21" s="1473">
        <f t="shared" si="44"/>
        <v>263.03901319069001</v>
      </c>
      <c r="E21" s="1473">
        <f t="shared" si="50"/>
        <v>433.65745506782821</v>
      </c>
      <c r="F21" s="1473">
        <f t="shared" si="50"/>
        <v>233.23005080045735</v>
      </c>
      <c r="G21" s="3322"/>
      <c r="H21" s="1478">
        <v>2</v>
      </c>
      <c r="I21" s="1478">
        <v>2.4</v>
      </c>
      <c r="J21" s="1478">
        <v>2.0299999999999998</v>
      </c>
      <c r="K21" s="1478">
        <v>2.59</v>
      </c>
      <c r="L21" s="1479">
        <v>1.52</v>
      </c>
      <c r="N21" s="1468">
        <f t="shared" si="46"/>
        <v>2.4E-2</v>
      </c>
      <c r="O21" s="1469">
        <f t="shared" si="41"/>
        <v>2.0299999999999999E-2</v>
      </c>
      <c r="P21" s="1469">
        <f t="shared" si="41"/>
        <v>2.5899999999999999E-2</v>
      </c>
      <c r="Q21" s="1469">
        <f t="shared" si="41"/>
        <v>1.52E-2</v>
      </c>
      <c r="R21" s="1470"/>
      <c r="S21" s="1468"/>
      <c r="T21" s="1469"/>
      <c r="U21" s="1469"/>
      <c r="V21" s="1469"/>
      <c r="X21" s="1455">
        <f>1+N21</f>
        <v>1.024</v>
      </c>
      <c r="Y21" s="1455">
        <f>1+O21</f>
        <v>1.0203</v>
      </c>
      <c r="Z21" s="1455">
        <f t="shared" si="51"/>
        <v>1.0203</v>
      </c>
      <c r="AA21" s="1455">
        <f>1+P21</f>
        <v>1.0259</v>
      </c>
      <c r="AB21" s="1455">
        <f>1+Q21</f>
        <v>1.0152000000000001</v>
      </c>
      <c r="AD21" s="1456">
        <f>ROUND(AVERAGE(I21:I$22)/100,4)</f>
        <v>2.69E-2</v>
      </c>
      <c r="AE21" s="1456">
        <f>ROUND(AVERAGE(J21:J$22)/100,4)</f>
        <v>2.1899999999999999E-2</v>
      </c>
      <c r="AF21" s="1456">
        <f t="shared" ref="AF21" si="52">AE21</f>
        <v>2.1899999999999999E-2</v>
      </c>
      <c r="AG21" s="1456">
        <f>ROUND(AVERAGE(K21:K$22)/100,4)</f>
        <v>2.9399999999999999E-2</v>
      </c>
      <c r="AH21" s="1456">
        <f>ROUND(AVERAGE(L21:L$22)/100,4)</f>
        <v>1.44E-2</v>
      </c>
    </row>
    <row r="22" spans="1:34" s="1494" customFormat="1" ht="13.5" thickBot="1">
      <c r="A22" s="1490" t="s">
        <v>144</v>
      </c>
      <c r="B22" s="1491">
        <f t="shared" si="49"/>
        <v>307.34512863658733</v>
      </c>
      <c r="C22" s="1491">
        <f t="shared" si="49"/>
        <v>257.80556031626975</v>
      </c>
      <c r="D22" s="1491">
        <f t="shared" si="44"/>
        <v>257.80556031626975</v>
      </c>
      <c r="E22" s="1491">
        <f t="shared" si="50"/>
        <v>422.70928459677179</v>
      </c>
      <c r="F22" s="1491">
        <f t="shared" si="50"/>
        <v>229.73803270336617</v>
      </c>
      <c r="G22" s="3323"/>
      <c r="H22" s="1492">
        <v>1</v>
      </c>
      <c r="I22" s="1492">
        <v>2.97</v>
      </c>
      <c r="J22" s="1492">
        <v>2.34</v>
      </c>
      <c r="K22" s="1492">
        <v>3.28</v>
      </c>
      <c r="L22" s="1493">
        <v>1.36</v>
      </c>
      <c r="N22" s="1495">
        <f t="shared" si="46"/>
        <v>2.9700000000000001E-2</v>
      </c>
      <c r="O22" s="1496">
        <f t="shared" si="41"/>
        <v>2.3399999999999997E-2</v>
      </c>
      <c r="P22" s="1496">
        <f t="shared" si="41"/>
        <v>3.2799999999999996E-2</v>
      </c>
      <c r="Q22" s="1496">
        <f t="shared" si="41"/>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7" t="s">
        <v>1163</v>
      </c>
      <c r="B23" s="1465">
        <v>299</v>
      </c>
      <c r="C23" s="1465">
        <v>252</v>
      </c>
      <c r="D23" s="1465">
        <f t="shared" si="44"/>
        <v>252</v>
      </c>
      <c r="E23" s="1465">
        <v>409</v>
      </c>
      <c r="F23" s="1466">
        <v>227</v>
      </c>
      <c r="G23" s="3328">
        <v>2013</v>
      </c>
      <c r="H23" s="1502">
        <v>4</v>
      </c>
      <c r="I23" s="1502">
        <v>1.83</v>
      </c>
      <c r="J23" s="1502">
        <v>1.68</v>
      </c>
      <c r="K23" s="1502">
        <v>1.97</v>
      </c>
      <c r="L23" s="1503">
        <v>0.87</v>
      </c>
      <c r="N23" s="1480">
        <f t="shared" si="46"/>
        <v>1.83E-2</v>
      </c>
      <c r="O23" s="1481">
        <f t="shared" si="41"/>
        <v>1.6799999999999999E-2</v>
      </c>
      <c r="P23" s="1481">
        <f t="shared" si="41"/>
        <v>1.9699999999999999E-2</v>
      </c>
      <c r="Q23" s="1481">
        <f t="shared" si="41"/>
        <v>8.6999999999999994E-3</v>
      </c>
      <c r="R23" s="1470"/>
      <c r="S23" s="1471"/>
      <c r="T23" s="1472"/>
      <c r="U23" s="1472"/>
      <c r="V23" s="1472"/>
      <c r="X23" s="1472"/>
      <c r="Y23" s="1472"/>
      <c r="Z23" s="1472"/>
    </row>
    <row r="24" spans="1:34">
      <c r="A24" s="1457" t="s">
        <v>1164</v>
      </c>
      <c r="B24" s="1473">
        <f t="shared" ref="B24:C26" si="53">B23/(1+N23)</f>
        <v>293.62663262299913</v>
      </c>
      <c r="C24" s="1473">
        <f t="shared" si="53"/>
        <v>247.83634933123525</v>
      </c>
      <c r="D24" s="1473">
        <f t="shared" si="44"/>
        <v>247.83634933123525</v>
      </c>
      <c r="E24" s="1473">
        <f t="shared" ref="E24:F26" si="54">E23/(1+P23)</f>
        <v>401.09836226341076</v>
      </c>
      <c r="F24" s="1473">
        <f t="shared" si="54"/>
        <v>225.04213343908003</v>
      </c>
      <c r="G24" s="3329"/>
      <c r="H24" s="1483">
        <v>3</v>
      </c>
      <c r="I24" s="1483">
        <v>1.86</v>
      </c>
      <c r="J24" s="1483">
        <v>1.72</v>
      </c>
      <c r="K24" s="1483">
        <v>1.98</v>
      </c>
      <c r="L24" s="1484">
        <v>0.88</v>
      </c>
      <c r="N24" s="1468">
        <f t="shared" si="46"/>
        <v>1.8600000000000002E-2</v>
      </c>
      <c r="O24" s="1485">
        <f t="shared" si="41"/>
        <v>1.72E-2</v>
      </c>
      <c r="P24" s="1485">
        <f t="shared" si="41"/>
        <v>1.9799999999999998E-2</v>
      </c>
      <c r="Q24" s="1485">
        <f t="shared" si="41"/>
        <v>8.8000000000000005E-3</v>
      </c>
      <c r="R24" s="1470"/>
      <c r="S24" s="1468"/>
      <c r="T24" s="1469"/>
      <c r="U24" s="1469"/>
      <c r="V24" s="1469"/>
    </row>
    <row r="25" spans="1:34">
      <c r="A25" s="1457" t="s">
        <v>1165</v>
      </c>
      <c r="B25" s="1473">
        <f t="shared" si="53"/>
        <v>288.2649053828776</v>
      </c>
      <c r="C25" s="1473">
        <f t="shared" si="53"/>
        <v>243.64564425013293</v>
      </c>
      <c r="D25" s="1473">
        <f t="shared" si="44"/>
        <v>243.64564425013293</v>
      </c>
      <c r="E25" s="1473">
        <f t="shared" si="54"/>
        <v>393.31080825986544</v>
      </c>
      <c r="F25" s="1473">
        <f t="shared" si="54"/>
        <v>223.07903790551154</v>
      </c>
      <c r="G25" s="3329"/>
      <c r="H25" s="1461">
        <v>2</v>
      </c>
      <c r="I25" s="1461">
        <v>2.04</v>
      </c>
      <c r="J25" s="1461">
        <v>2.33</v>
      </c>
      <c r="K25" s="1461">
        <v>2.0699999999999998</v>
      </c>
      <c r="L25" s="1475">
        <v>0.69</v>
      </c>
      <c r="N25" s="1468">
        <f t="shared" si="46"/>
        <v>2.0400000000000001E-2</v>
      </c>
      <c r="O25" s="1485">
        <f t="shared" si="41"/>
        <v>2.3300000000000001E-2</v>
      </c>
      <c r="P25" s="1485">
        <f t="shared" si="41"/>
        <v>2.07E-2</v>
      </c>
      <c r="Q25" s="1485">
        <f t="shared" si="41"/>
        <v>6.8999999999999999E-3</v>
      </c>
      <c r="R25" s="1470"/>
      <c r="S25" s="1468"/>
      <c r="T25" s="1469"/>
      <c r="U25" s="1469"/>
      <c r="V25" s="1469"/>
      <c r="X25" s="1504"/>
      <c r="Y25" s="1505"/>
    </row>
    <row r="26" spans="1:34">
      <c r="A26" s="1457" t="s">
        <v>1166</v>
      </c>
      <c r="B26" s="1473">
        <f t="shared" si="53"/>
        <v>282.50186729015837</v>
      </c>
      <c r="C26" s="1473">
        <f t="shared" si="53"/>
        <v>238.09796174155468</v>
      </c>
      <c r="D26" s="1473">
        <f t="shared" si="44"/>
        <v>238.09796174155468</v>
      </c>
      <c r="E26" s="1473">
        <f t="shared" si="54"/>
        <v>385.33438646014054</v>
      </c>
      <c r="F26" s="1473">
        <f t="shared" si="54"/>
        <v>221.55034055567739</v>
      </c>
      <c r="G26" s="3330"/>
      <c r="H26" s="1460">
        <v>1</v>
      </c>
      <c r="I26" s="1460">
        <v>1.67</v>
      </c>
      <c r="J26" s="1460">
        <v>1.31</v>
      </c>
      <c r="K26" s="1460">
        <v>1.85</v>
      </c>
      <c r="L26" s="1474">
        <v>0.96</v>
      </c>
      <c r="N26" s="1476">
        <f t="shared" si="46"/>
        <v>1.67E-2</v>
      </c>
      <c r="O26" s="1477">
        <f t="shared" si="46"/>
        <v>1.3100000000000001E-2</v>
      </c>
      <c r="P26" s="1477">
        <f t="shared" si="46"/>
        <v>1.8500000000000003E-2</v>
      </c>
      <c r="Q26" s="1477">
        <f t="shared" si="46"/>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44"/>
        <v>234</v>
      </c>
      <c r="E27" s="1507">
        <v>379</v>
      </c>
      <c r="F27" s="1508">
        <v>220</v>
      </c>
      <c r="G27" s="3321">
        <v>2012</v>
      </c>
      <c r="H27" s="1478">
        <v>4</v>
      </c>
      <c r="I27" s="1478">
        <v>0.91</v>
      </c>
      <c r="J27" s="1478">
        <v>0.68</v>
      </c>
      <c r="K27" s="1478">
        <v>0.98</v>
      </c>
      <c r="L27" s="1479">
        <v>0.9</v>
      </c>
      <c r="N27" s="1468">
        <f t="shared" si="46"/>
        <v>9.1000000000000004E-3</v>
      </c>
      <c r="O27" s="1469">
        <f t="shared" si="46"/>
        <v>6.8000000000000005E-3</v>
      </c>
      <c r="P27" s="1469">
        <f t="shared" si="46"/>
        <v>9.7999999999999997E-3</v>
      </c>
      <c r="Q27" s="1469">
        <f t="shared" si="46"/>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44"/>
        <v>232.41954707985698</v>
      </c>
      <c r="E28" s="1473">
        <f t="shared" ref="E28:F30" si="55">E27/(1+P27)</f>
        <v>375.32184591008121</v>
      </c>
      <c r="F28" s="1473">
        <f t="shared" si="55"/>
        <v>218.03766105054513</v>
      </c>
      <c r="G28" s="3322"/>
      <c r="H28" s="1483">
        <v>3</v>
      </c>
      <c r="I28" s="1483">
        <v>0.09</v>
      </c>
      <c r="J28" s="1483">
        <v>0.28999999999999998</v>
      </c>
      <c r="K28" s="1483">
        <v>-0.01</v>
      </c>
      <c r="L28" s="1484">
        <v>0.57999999999999996</v>
      </c>
      <c r="N28" s="1468">
        <f t="shared" si="46"/>
        <v>8.9999999999999998E-4</v>
      </c>
      <c r="O28" s="1469">
        <f t="shared" si="46"/>
        <v>2.8999999999999998E-3</v>
      </c>
      <c r="P28" s="1469">
        <f t="shared" si="46"/>
        <v>-1E-4</v>
      </c>
      <c r="Q28" s="1469">
        <f t="shared" si="46"/>
        <v>5.7999999999999996E-3</v>
      </c>
      <c r="R28" s="1470"/>
      <c r="S28" s="1468"/>
      <c r="T28" s="1469"/>
      <c r="U28" s="1469"/>
      <c r="V28" s="1469"/>
    </row>
    <row r="29" spans="1:34">
      <c r="A29" s="1457" t="s">
        <v>1169</v>
      </c>
      <c r="B29" s="1473">
        <f>B28/(1+N28)</f>
        <v>275.24529281292263</v>
      </c>
      <c r="C29" s="1473">
        <f>C28/(1+O28)</f>
        <v>231.74747938962707</v>
      </c>
      <c r="D29" s="1473">
        <f t="shared" si="44"/>
        <v>231.74747938962707</v>
      </c>
      <c r="E29" s="1473">
        <f t="shared" si="55"/>
        <v>375.35938184826603</v>
      </c>
      <c r="F29" s="1473">
        <f t="shared" si="55"/>
        <v>216.78033510692495</v>
      </c>
      <c r="G29" s="3322"/>
      <c r="H29" s="1461">
        <v>2</v>
      </c>
      <c r="I29" s="1461">
        <v>0.02</v>
      </c>
      <c r="J29" s="1461">
        <v>0.12</v>
      </c>
      <c r="K29" s="1461">
        <v>-0.08</v>
      </c>
      <c r="L29" s="1475">
        <v>1.24</v>
      </c>
      <c r="N29" s="1468">
        <f t="shared" si="46"/>
        <v>2.0000000000000001E-4</v>
      </c>
      <c r="O29" s="1469">
        <f t="shared" si="46"/>
        <v>1.1999999999999999E-3</v>
      </c>
      <c r="P29" s="1469">
        <f t="shared" si="46"/>
        <v>-8.0000000000000004E-4</v>
      </c>
      <c r="Q29" s="1469">
        <f t="shared" si="46"/>
        <v>1.24E-2</v>
      </c>
      <c r="R29" s="1470"/>
      <c r="S29" s="1468"/>
      <c r="T29" s="1469"/>
      <c r="U29" s="1469"/>
      <c r="V29" s="1469"/>
    </row>
    <row r="30" spans="1:34" ht="13.5" thickBot="1">
      <c r="A30" s="1457" t="s">
        <v>1170</v>
      </c>
      <c r="B30" s="1473">
        <f>B29/(1+N29)</f>
        <v>275.19025476197027</v>
      </c>
      <c r="C30" s="1509">
        <v>232</v>
      </c>
      <c r="D30" s="1509">
        <f t="shared" si="44"/>
        <v>232</v>
      </c>
      <c r="E30" s="1473">
        <f t="shared" si="55"/>
        <v>375.65990977608692</v>
      </c>
      <c r="F30" s="1473">
        <f t="shared" si="55"/>
        <v>214.12518283971252</v>
      </c>
      <c r="G30" s="3323"/>
      <c r="H30" s="1460">
        <v>1</v>
      </c>
      <c r="I30" s="1460">
        <v>0.02</v>
      </c>
      <c r="J30" s="1460">
        <v>0.13</v>
      </c>
      <c r="K30" s="1460">
        <v>-0.04</v>
      </c>
      <c r="L30" s="1474">
        <v>0.46</v>
      </c>
      <c r="N30" s="1468">
        <f t="shared" si="46"/>
        <v>2.0000000000000001E-4</v>
      </c>
      <c r="O30" s="1469">
        <f t="shared" si="46"/>
        <v>1.2999999999999999E-3</v>
      </c>
      <c r="P30" s="1469">
        <f t="shared" si="46"/>
        <v>-4.0000000000000002E-4</v>
      </c>
      <c r="Q30" s="1469">
        <f t="shared" si="46"/>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44"/>
        <v>232</v>
      </c>
      <c r="E31" s="1465">
        <v>376</v>
      </c>
      <c r="F31" s="1466">
        <v>213</v>
      </c>
      <c r="G31" s="3321">
        <v>2011</v>
      </c>
      <c r="H31" s="1478">
        <v>4</v>
      </c>
      <c r="I31" s="1478">
        <v>-0.2</v>
      </c>
      <c r="J31" s="1478">
        <v>0.04</v>
      </c>
      <c r="K31" s="1478">
        <v>-0.34</v>
      </c>
      <c r="L31" s="1479">
        <v>0.46</v>
      </c>
      <c r="N31" s="1480">
        <f t="shared" si="46"/>
        <v>-2E-3</v>
      </c>
      <c r="O31" s="1481">
        <f t="shared" si="46"/>
        <v>4.0000000000000002E-4</v>
      </c>
      <c r="P31" s="1481">
        <f t="shared" si="46"/>
        <v>-3.4000000000000002E-3</v>
      </c>
      <c r="Q31" s="1481">
        <f t="shared" si="46"/>
        <v>4.5999999999999999E-3</v>
      </c>
      <c r="R31" s="1470"/>
      <c r="S31" s="1471"/>
      <c r="T31" s="1472"/>
      <c r="U31" s="1472"/>
      <c r="V31" s="1472"/>
      <c r="X31" s="1472"/>
      <c r="Y31" s="1472"/>
      <c r="Z31" s="1472"/>
    </row>
    <row r="32" spans="1:34">
      <c r="A32" s="1457" t="s">
        <v>1172</v>
      </c>
      <c r="B32" s="1473">
        <f t="shared" ref="B32:C34" si="56">B31/(1+N31)</f>
        <v>275.55110220440883</v>
      </c>
      <c r="C32" s="1473">
        <f t="shared" si="56"/>
        <v>231.90723710515795</v>
      </c>
      <c r="D32" s="1473">
        <f t="shared" si="44"/>
        <v>231.90723710515795</v>
      </c>
      <c r="E32" s="1473">
        <f t="shared" ref="E32:F34" si="57">E31/(1+P31)</f>
        <v>377.28276138872161</v>
      </c>
      <c r="F32" s="1473">
        <f t="shared" si="57"/>
        <v>212.02468644236512</v>
      </c>
      <c r="G32" s="3322">
        <v>2011</v>
      </c>
      <c r="H32" s="1483">
        <v>3</v>
      </c>
      <c r="I32" s="1483">
        <v>0.13</v>
      </c>
      <c r="J32" s="1483">
        <v>0.75</v>
      </c>
      <c r="K32" s="1483">
        <v>-0.08</v>
      </c>
      <c r="L32" s="1484">
        <v>0.53</v>
      </c>
      <c r="N32" s="1468">
        <f t="shared" si="46"/>
        <v>1.2999999999999999E-3</v>
      </c>
      <c r="O32" s="1485">
        <f t="shared" si="46"/>
        <v>7.4999999999999997E-3</v>
      </c>
      <c r="P32" s="1485">
        <f t="shared" si="46"/>
        <v>-8.0000000000000004E-4</v>
      </c>
      <c r="Q32" s="1485">
        <f t="shared" si="46"/>
        <v>5.3E-3</v>
      </c>
      <c r="R32" s="1470"/>
      <c r="S32" s="1468"/>
      <c r="T32" s="1469"/>
      <c r="U32" s="1469"/>
      <c r="V32" s="1469"/>
    </row>
    <row r="33" spans="1:26">
      <c r="A33" s="1457" t="s">
        <v>1173</v>
      </c>
      <c r="B33" s="1473">
        <f t="shared" si="56"/>
        <v>275.19335084830601</v>
      </c>
      <c r="C33" s="1473">
        <f t="shared" si="56"/>
        <v>230.18088050139744</v>
      </c>
      <c r="D33" s="1473">
        <f t="shared" si="44"/>
        <v>230.18088050139744</v>
      </c>
      <c r="E33" s="1473">
        <f t="shared" si="57"/>
        <v>377.58482925212331</v>
      </c>
      <c r="F33" s="1473">
        <f t="shared" si="57"/>
        <v>210.90687997847917</v>
      </c>
      <c r="G33" s="3322">
        <v>2011</v>
      </c>
      <c r="H33" s="1461">
        <v>2</v>
      </c>
      <c r="I33" s="1461">
        <v>-0.4</v>
      </c>
      <c r="J33" s="1461">
        <v>0.17</v>
      </c>
      <c r="K33" s="1461">
        <v>-0.57999999999999996</v>
      </c>
      <c r="L33" s="1475">
        <v>-0.2</v>
      </c>
      <c r="N33" s="1468">
        <f t="shared" si="46"/>
        <v>-4.0000000000000001E-3</v>
      </c>
      <c r="O33" s="1485">
        <f t="shared" si="46"/>
        <v>1.7000000000000001E-3</v>
      </c>
      <c r="P33" s="1485">
        <f t="shared" si="46"/>
        <v>-5.7999999999999996E-3</v>
      </c>
      <c r="Q33" s="1485">
        <f t="shared" si="46"/>
        <v>-2E-3</v>
      </c>
      <c r="R33" s="1470"/>
      <c r="S33" s="1468"/>
      <c r="T33" s="1469"/>
      <c r="U33" s="1469"/>
      <c r="V33" s="1469"/>
    </row>
    <row r="34" spans="1:26" ht="13.5" thickBot="1">
      <c r="A34" s="1457" t="s">
        <v>1174</v>
      </c>
      <c r="B34" s="1473">
        <f t="shared" si="56"/>
        <v>276.29854502841971</v>
      </c>
      <c r="C34" s="1473">
        <f t="shared" si="56"/>
        <v>229.79023709833027</v>
      </c>
      <c r="D34" s="1473">
        <f t="shared" si="44"/>
        <v>229.79023709833027</v>
      </c>
      <c r="E34" s="1473">
        <f t="shared" si="57"/>
        <v>379.78759731655936</v>
      </c>
      <c r="F34" s="1473">
        <f t="shared" si="57"/>
        <v>211.32953905659235</v>
      </c>
      <c r="G34" s="3323">
        <v>2011</v>
      </c>
      <c r="H34" s="1460">
        <v>1</v>
      </c>
      <c r="I34" s="1460">
        <v>2.65</v>
      </c>
      <c r="J34" s="1460">
        <v>3.76</v>
      </c>
      <c r="K34" s="1460">
        <v>1.89</v>
      </c>
      <c r="L34" s="1474">
        <v>7.95</v>
      </c>
      <c r="N34" s="1476">
        <f t="shared" si="46"/>
        <v>2.6499999999999999E-2</v>
      </c>
      <c r="O34" s="1477">
        <f t="shared" si="46"/>
        <v>3.7599999999999995E-2</v>
      </c>
      <c r="P34" s="1477">
        <f t="shared" si="46"/>
        <v>1.89E-2</v>
      </c>
      <c r="Q34" s="1477">
        <f t="shared" si="46"/>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44"/>
        <v>221</v>
      </c>
      <c r="E35" s="1465">
        <v>373</v>
      </c>
      <c r="F35" s="1466">
        <v>196</v>
      </c>
      <c r="G35" s="3321">
        <v>2010</v>
      </c>
      <c r="H35" s="1478">
        <v>4</v>
      </c>
      <c r="I35" s="1478">
        <v>5.72</v>
      </c>
      <c r="J35" s="1478">
        <v>6.57</v>
      </c>
      <c r="K35" s="1478">
        <v>5.72</v>
      </c>
      <c r="L35" s="1479">
        <v>2.72</v>
      </c>
      <c r="N35" s="1468">
        <f t="shared" si="46"/>
        <v>5.7200000000000001E-2</v>
      </c>
      <c r="O35" s="1469">
        <f t="shared" si="46"/>
        <v>6.5700000000000008E-2</v>
      </c>
      <c r="P35" s="1469">
        <f t="shared" si="46"/>
        <v>5.7200000000000001E-2</v>
      </c>
      <c r="Q35" s="1469">
        <f t="shared" si="46"/>
        <v>2.7200000000000002E-2</v>
      </c>
      <c r="R35" s="1470"/>
      <c r="S35" s="1471"/>
      <c r="T35" s="1472"/>
      <c r="U35" s="1472"/>
      <c r="V35" s="1472"/>
      <c r="X35" s="1472"/>
      <c r="Y35" s="1472"/>
      <c r="Z35" s="1472"/>
    </row>
    <row r="36" spans="1:26">
      <c r="A36" s="1457" t="s">
        <v>1176</v>
      </c>
      <c r="B36" s="1473">
        <f t="shared" ref="B36:C38" si="58">B35/(1+N35)</f>
        <v>254.44570563753314</v>
      </c>
      <c r="C36" s="1473">
        <f t="shared" si="58"/>
        <v>207.37543398705074</v>
      </c>
      <c r="D36" s="1473">
        <f t="shared" si="44"/>
        <v>207.37543398705074</v>
      </c>
      <c r="E36" s="1473">
        <f t="shared" ref="E36:F38" si="59">E35/(1+P35)</f>
        <v>352.81876655315932</v>
      </c>
      <c r="F36" s="1473">
        <f t="shared" si="59"/>
        <v>190.809968847352</v>
      </c>
      <c r="G36" s="3322">
        <v>2010</v>
      </c>
      <c r="H36" s="1483">
        <v>3</v>
      </c>
      <c r="I36" s="1483">
        <v>4.7300000000000004</v>
      </c>
      <c r="J36" s="1483">
        <v>3.9</v>
      </c>
      <c r="K36" s="1483">
        <v>5.03</v>
      </c>
      <c r="L36" s="1484">
        <v>4.21</v>
      </c>
      <c r="N36" s="1468">
        <f t="shared" si="46"/>
        <v>4.7300000000000002E-2</v>
      </c>
      <c r="O36" s="1469">
        <f t="shared" si="46"/>
        <v>3.9E-2</v>
      </c>
      <c r="P36" s="1469">
        <f t="shared" si="46"/>
        <v>5.0300000000000004E-2</v>
      </c>
      <c r="Q36" s="1469">
        <f t="shared" si="46"/>
        <v>4.2099999999999999E-2</v>
      </c>
      <c r="R36" s="1470"/>
      <c r="S36" s="1468"/>
      <c r="T36" s="1469"/>
      <c r="U36" s="1469"/>
      <c r="V36" s="1469"/>
    </row>
    <row r="37" spans="1:26">
      <c r="A37" s="1457" t="s">
        <v>1177</v>
      </c>
      <c r="B37" s="1473">
        <f t="shared" si="58"/>
        <v>242.95398227588385</v>
      </c>
      <c r="C37" s="1473">
        <f t="shared" si="58"/>
        <v>199.59137053614126</v>
      </c>
      <c r="D37" s="1473">
        <f t="shared" si="44"/>
        <v>199.59137053614126</v>
      </c>
      <c r="E37" s="1473">
        <f t="shared" si="59"/>
        <v>335.92189522342125</v>
      </c>
      <c r="F37" s="1473">
        <f t="shared" si="59"/>
        <v>183.10139991109489</v>
      </c>
      <c r="G37" s="3322">
        <v>2010</v>
      </c>
      <c r="H37" s="1461">
        <v>2</v>
      </c>
      <c r="I37" s="1461">
        <v>4.6900000000000004</v>
      </c>
      <c r="J37" s="1461">
        <v>3.55</v>
      </c>
      <c r="K37" s="1461">
        <v>5.07</v>
      </c>
      <c r="L37" s="1475">
        <v>4.2300000000000004</v>
      </c>
      <c r="N37" s="1468">
        <f t="shared" si="46"/>
        <v>4.6900000000000004E-2</v>
      </c>
      <c r="O37" s="1469">
        <f t="shared" si="46"/>
        <v>3.5499999999999997E-2</v>
      </c>
      <c r="P37" s="1469">
        <f t="shared" si="46"/>
        <v>5.0700000000000002E-2</v>
      </c>
      <c r="Q37" s="1469">
        <f t="shared" si="46"/>
        <v>4.2300000000000004E-2</v>
      </c>
      <c r="R37" s="1470"/>
      <c r="S37" s="1468"/>
      <c r="T37" s="1469"/>
      <c r="U37" s="1469"/>
      <c r="V37" s="1469"/>
    </row>
    <row r="38" spans="1:26" ht="13.5" thickBot="1">
      <c r="A38" s="1457" t="s">
        <v>1178</v>
      </c>
      <c r="B38" s="1473">
        <f t="shared" si="58"/>
        <v>232.06990378821649</v>
      </c>
      <c r="C38" s="1473">
        <f t="shared" si="58"/>
        <v>192.74878854286936</v>
      </c>
      <c r="D38" s="1473">
        <f t="shared" si="44"/>
        <v>192.74878854286936</v>
      </c>
      <c r="E38" s="1473">
        <f t="shared" si="59"/>
        <v>319.71247284992984</v>
      </c>
      <c r="F38" s="1473">
        <f t="shared" si="59"/>
        <v>175.67053622862409</v>
      </c>
      <c r="G38" s="3323">
        <v>2010</v>
      </c>
      <c r="H38" s="1460">
        <v>1</v>
      </c>
      <c r="I38" s="1460">
        <v>5.4</v>
      </c>
      <c r="J38" s="1460">
        <v>3.2</v>
      </c>
      <c r="K38" s="1460">
        <v>6.16</v>
      </c>
      <c r="L38" s="1474">
        <v>4.51</v>
      </c>
      <c r="N38" s="1468">
        <f t="shared" si="46"/>
        <v>5.4000000000000006E-2</v>
      </c>
      <c r="O38" s="1469">
        <f t="shared" si="46"/>
        <v>3.2000000000000001E-2</v>
      </c>
      <c r="P38" s="1469">
        <f t="shared" si="46"/>
        <v>6.1600000000000002E-2</v>
      </c>
      <c r="Q38" s="1469">
        <f t="shared" si="46"/>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44"/>
        <v>187</v>
      </c>
      <c r="E39" s="1465">
        <v>301</v>
      </c>
      <c r="F39" s="1466">
        <v>168</v>
      </c>
      <c r="G39" s="3321">
        <v>2009</v>
      </c>
      <c r="H39" s="1478">
        <v>4</v>
      </c>
      <c r="I39" s="1478">
        <v>2.2999999999999998</v>
      </c>
      <c r="J39" s="1478">
        <v>1.04</v>
      </c>
      <c r="K39" s="1478">
        <v>2.84</v>
      </c>
      <c r="L39" s="1479">
        <v>0.67</v>
      </c>
      <c r="N39" s="1480">
        <f t="shared" si="46"/>
        <v>2.3E-2</v>
      </c>
      <c r="O39" s="1481">
        <f t="shared" si="46"/>
        <v>1.04E-2</v>
      </c>
      <c r="P39" s="1481">
        <f t="shared" si="46"/>
        <v>2.8399999999999998E-2</v>
      </c>
      <c r="Q39" s="1481">
        <f t="shared" si="46"/>
        <v>6.7000000000000002E-3</v>
      </c>
      <c r="R39" s="1470"/>
      <c r="S39" s="1471"/>
      <c r="T39" s="1472"/>
      <c r="U39" s="1472"/>
      <c r="V39" s="1472"/>
      <c r="X39" s="1472"/>
      <c r="Y39" s="1472"/>
      <c r="Z39" s="1472"/>
    </row>
    <row r="40" spans="1:26">
      <c r="A40" s="1457" t="s">
        <v>1180</v>
      </c>
      <c r="B40" s="1473">
        <f t="shared" ref="B40:C42" si="60">B39/(1+N39)</f>
        <v>215.05376344086022</v>
      </c>
      <c r="C40" s="1473">
        <f t="shared" si="60"/>
        <v>185.0752177355503</v>
      </c>
      <c r="D40" s="1473">
        <f t="shared" si="44"/>
        <v>185.0752177355503</v>
      </c>
      <c r="E40" s="1473">
        <f t="shared" ref="E40:F42" si="61">E39/(1+P39)</f>
        <v>292.68767016725008</v>
      </c>
      <c r="F40" s="1473">
        <f t="shared" si="61"/>
        <v>166.88189132810174</v>
      </c>
      <c r="G40" s="3322">
        <v>2009</v>
      </c>
      <c r="H40" s="1483">
        <v>3</v>
      </c>
      <c r="I40" s="1483">
        <v>2.1</v>
      </c>
      <c r="J40" s="1483">
        <v>1.86</v>
      </c>
      <c r="K40" s="1483">
        <v>2.29</v>
      </c>
      <c r="L40" s="1484">
        <v>0.85</v>
      </c>
      <c r="N40" s="1468">
        <f t="shared" si="46"/>
        <v>2.1000000000000001E-2</v>
      </c>
      <c r="O40" s="1485">
        <f t="shared" si="46"/>
        <v>1.8600000000000002E-2</v>
      </c>
      <c r="P40" s="1485">
        <f t="shared" si="46"/>
        <v>2.29E-2</v>
      </c>
      <c r="Q40" s="1485">
        <f t="shared" si="46"/>
        <v>8.5000000000000006E-3</v>
      </c>
      <c r="R40" s="1470"/>
      <c r="S40" s="1468"/>
      <c r="T40" s="1469"/>
      <c r="U40" s="1469"/>
      <c r="V40" s="1469"/>
    </row>
    <row r="41" spans="1:26">
      <c r="A41" s="1457" t="s">
        <v>1181</v>
      </c>
      <c r="B41" s="1473">
        <f t="shared" si="60"/>
        <v>210.630522469011</v>
      </c>
      <c r="C41" s="1473">
        <f t="shared" si="60"/>
        <v>181.69567812247232</v>
      </c>
      <c r="D41" s="1473">
        <f t="shared" si="44"/>
        <v>181.69567812247232</v>
      </c>
      <c r="E41" s="1473">
        <f t="shared" si="61"/>
        <v>286.13517466736738</v>
      </c>
      <c r="F41" s="1473">
        <f t="shared" si="61"/>
        <v>165.47535084591149</v>
      </c>
      <c r="G41" s="3322">
        <v>2009</v>
      </c>
      <c r="H41" s="1461">
        <v>2</v>
      </c>
      <c r="I41" s="1461">
        <v>0.86</v>
      </c>
      <c r="J41" s="1461">
        <v>-1.1299999999999999</v>
      </c>
      <c r="K41" s="1461">
        <v>1.79</v>
      </c>
      <c r="L41" s="1475">
        <v>-2.0699999999999998</v>
      </c>
      <c r="N41" s="1468">
        <f t="shared" si="46"/>
        <v>8.6E-3</v>
      </c>
      <c r="O41" s="1485">
        <f t="shared" si="46"/>
        <v>-1.1299999999999999E-2</v>
      </c>
      <c r="P41" s="1485">
        <f t="shared" si="46"/>
        <v>1.7899999999999999E-2</v>
      </c>
      <c r="Q41" s="1485">
        <f t="shared" si="46"/>
        <v>-2.07E-2</v>
      </c>
      <c r="R41" s="1470"/>
      <c r="S41" s="1468"/>
      <c r="T41" s="1469"/>
      <c r="U41" s="1469"/>
      <c r="V41" s="1469"/>
    </row>
    <row r="42" spans="1:26">
      <c r="A42" s="1457" t="s">
        <v>1182</v>
      </c>
      <c r="B42" s="1473">
        <f t="shared" si="60"/>
        <v>208.83454537875372</v>
      </c>
      <c r="C42" s="1473">
        <f t="shared" si="60"/>
        <v>183.77230517090351</v>
      </c>
      <c r="D42" s="1473">
        <f t="shared" si="44"/>
        <v>183.77230517090351</v>
      </c>
      <c r="E42" s="1473">
        <f t="shared" si="61"/>
        <v>281.10342338870947</v>
      </c>
      <c r="F42" s="1473">
        <f t="shared" si="61"/>
        <v>168.97309388942256</v>
      </c>
      <c r="G42" s="3323">
        <v>2009</v>
      </c>
      <c r="H42" s="1460">
        <v>1</v>
      </c>
      <c r="I42" s="1460">
        <v>-2.64</v>
      </c>
      <c r="J42" s="1460">
        <v>-2.5299999999999998</v>
      </c>
      <c r="K42" s="1460">
        <v>-3.02</v>
      </c>
      <c r="L42" s="1474">
        <v>1.52</v>
      </c>
      <c r="N42" s="1476">
        <f t="shared" si="46"/>
        <v>-2.64E-2</v>
      </c>
      <c r="O42" s="1477">
        <f t="shared" si="46"/>
        <v>-2.53E-2</v>
      </c>
      <c r="P42" s="1477">
        <f t="shared" si="46"/>
        <v>-3.0200000000000001E-2</v>
      </c>
      <c r="Q42" s="1477">
        <f t="shared" si="46"/>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44"/>
        <v>188</v>
      </c>
      <c r="E43" s="1507">
        <v>289</v>
      </c>
      <c r="F43" s="1508">
        <v>166</v>
      </c>
      <c r="G43" s="3321">
        <v>2008</v>
      </c>
      <c r="H43" s="1478">
        <v>4</v>
      </c>
      <c r="I43" s="1478">
        <v>1.73</v>
      </c>
      <c r="J43" s="1478">
        <v>0.03</v>
      </c>
      <c r="K43" s="1478">
        <v>2.59</v>
      </c>
      <c r="L43" s="1479">
        <v>-1.66</v>
      </c>
      <c r="N43" s="1468">
        <f t="shared" si="46"/>
        <v>1.7299999999999999E-2</v>
      </c>
      <c r="O43" s="1469">
        <f t="shared" si="46"/>
        <v>2.9999999999999997E-4</v>
      </c>
      <c r="P43" s="1469">
        <f t="shared" si="46"/>
        <v>2.5899999999999999E-2</v>
      </c>
      <c r="Q43" s="1469">
        <f t="shared" si="46"/>
        <v>-1.66E-2</v>
      </c>
      <c r="R43" s="1470"/>
      <c r="S43" s="1471"/>
      <c r="T43" s="1472"/>
      <c r="U43" s="1472"/>
      <c r="V43" s="1472"/>
      <c r="X43" s="1472"/>
      <c r="Y43" s="1472"/>
      <c r="Z43" s="1472"/>
    </row>
    <row r="44" spans="1:26">
      <c r="A44" s="1457" t="s">
        <v>1184</v>
      </c>
      <c r="B44" s="1473">
        <f t="shared" ref="B44:C46" si="62">B43/(1+N43)</f>
        <v>210.36075887152265</v>
      </c>
      <c r="C44" s="1473">
        <f t="shared" si="62"/>
        <v>187.94361691492554</v>
      </c>
      <c r="D44" s="1473">
        <f t="shared" si="44"/>
        <v>187.94361691492554</v>
      </c>
      <c r="E44" s="1473">
        <f t="shared" ref="E44:F46" si="63">E43/(1+P43)</f>
        <v>281.70386977288234</v>
      </c>
      <c r="F44" s="1473">
        <f t="shared" si="63"/>
        <v>168.80211511083994</v>
      </c>
      <c r="G44" s="3322">
        <v>2008</v>
      </c>
      <c r="H44" s="1483">
        <v>3</v>
      </c>
      <c r="I44" s="1483">
        <v>1.96</v>
      </c>
      <c r="J44" s="1483">
        <v>2.36</v>
      </c>
      <c r="K44" s="1483">
        <v>1.82</v>
      </c>
      <c r="L44" s="1484">
        <v>2.2200000000000002</v>
      </c>
      <c r="N44" s="1468">
        <f t="shared" si="46"/>
        <v>1.9599999999999999E-2</v>
      </c>
      <c r="O44" s="1469">
        <f t="shared" si="46"/>
        <v>2.3599999999999999E-2</v>
      </c>
      <c r="P44" s="1469">
        <f t="shared" si="46"/>
        <v>1.8200000000000001E-2</v>
      </c>
      <c r="Q44" s="1469">
        <f t="shared" si="46"/>
        <v>2.2200000000000001E-2</v>
      </c>
      <c r="R44" s="1470"/>
      <c r="S44" s="1468"/>
      <c r="T44" s="1469"/>
      <c r="U44" s="1469"/>
      <c r="V44" s="1469"/>
    </row>
    <row r="45" spans="1:26">
      <c r="A45" s="1457" t="s">
        <v>1185</v>
      </c>
      <c r="B45" s="1473">
        <f t="shared" si="62"/>
        <v>206.31694671589116</v>
      </c>
      <c r="C45" s="1473">
        <f t="shared" si="62"/>
        <v>183.61041121036101</v>
      </c>
      <c r="D45" s="1473">
        <f t="shared" si="44"/>
        <v>183.61041121036101</v>
      </c>
      <c r="E45" s="1473">
        <f t="shared" si="63"/>
        <v>276.66850301795557</v>
      </c>
      <c r="F45" s="1473">
        <f t="shared" si="63"/>
        <v>165.1360938278614</v>
      </c>
      <c r="G45" s="3322">
        <v>2008</v>
      </c>
      <c r="H45" s="1461">
        <v>2</v>
      </c>
      <c r="I45" s="1461">
        <v>4.93</v>
      </c>
      <c r="J45" s="1461">
        <v>7.38</v>
      </c>
      <c r="K45" s="1461">
        <v>3.98</v>
      </c>
      <c r="L45" s="1475">
        <v>6.86</v>
      </c>
      <c r="N45" s="1468">
        <f t="shared" si="46"/>
        <v>4.9299999999999997E-2</v>
      </c>
      <c r="O45" s="1469">
        <f t="shared" si="46"/>
        <v>7.3800000000000004E-2</v>
      </c>
      <c r="P45" s="1469">
        <f t="shared" si="46"/>
        <v>3.9800000000000002E-2</v>
      </c>
      <c r="Q45" s="1469">
        <f t="shared" si="46"/>
        <v>6.8600000000000008E-2</v>
      </c>
      <c r="R45" s="1470"/>
      <c r="S45" s="1468"/>
      <c r="T45" s="1469"/>
      <c r="U45" s="1469"/>
      <c r="V45" s="1469"/>
    </row>
    <row r="46" spans="1:26" s="1513" customFormat="1" ht="13.5" thickBot="1">
      <c r="A46" s="1457" t="s">
        <v>1186</v>
      </c>
      <c r="B46" s="1510">
        <f t="shared" si="62"/>
        <v>196.62341248059772</v>
      </c>
      <c r="C46" s="1510">
        <f t="shared" si="62"/>
        <v>170.99125648199012</v>
      </c>
      <c r="D46" s="1510">
        <f t="shared" si="44"/>
        <v>170.99125648199012</v>
      </c>
      <c r="E46" s="1510">
        <f t="shared" si="63"/>
        <v>266.07857570490052</v>
      </c>
      <c r="F46" s="1510">
        <f t="shared" si="63"/>
        <v>154.53499328828505</v>
      </c>
      <c r="G46" s="3323">
        <v>2008</v>
      </c>
      <c r="H46" s="1511">
        <v>1</v>
      </c>
      <c r="I46" s="1511">
        <v>4.1399999999999997</v>
      </c>
      <c r="J46" s="1511">
        <v>3.45</v>
      </c>
      <c r="K46" s="1511">
        <v>4.95</v>
      </c>
      <c r="L46" s="1512">
        <v>4.82</v>
      </c>
      <c r="N46" s="1514">
        <f t="shared" si="46"/>
        <v>4.1399999999999999E-2</v>
      </c>
      <c r="O46" s="1515">
        <f t="shared" si="46"/>
        <v>3.4500000000000003E-2</v>
      </c>
      <c r="P46" s="1515">
        <f t="shared" si="46"/>
        <v>4.9500000000000002E-2</v>
      </c>
      <c r="Q46" s="1515">
        <f t="shared" si="46"/>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44"/>
        <v>165</v>
      </c>
      <c r="E47" s="1465">
        <v>254</v>
      </c>
      <c r="F47" s="1466">
        <v>148</v>
      </c>
      <c r="G47" s="3321">
        <v>2007</v>
      </c>
      <c r="H47" s="1518">
        <v>4</v>
      </c>
      <c r="I47" s="1518">
        <v>5.51</v>
      </c>
      <c r="J47" s="1518">
        <v>4.8899999999999997</v>
      </c>
      <c r="K47" s="1518">
        <v>6.43</v>
      </c>
      <c r="L47" s="1519">
        <v>5.36</v>
      </c>
      <c r="N47" s="1520">
        <f t="shared" ref="N47:O50" si="64">B47/B48-1</f>
        <v>4.1339718365245526E-2</v>
      </c>
      <c r="O47" s="1521">
        <f t="shared" si="64"/>
        <v>4.0324492593776018E-2</v>
      </c>
      <c r="P47" s="1521">
        <f t="shared" ref="P47:Q50" si="65">E47/E48-1</f>
        <v>6.1625555347990968E-2</v>
      </c>
      <c r="Q47" s="1521">
        <f t="shared" si="65"/>
        <v>4.6757569250590603E-2</v>
      </c>
      <c r="R47" s="1470"/>
      <c r="S47" s="1471"/>
      <c r="T47" s="1472"/>
      <c r="U47" s="1472"/>
      <c r="V47" s="1472"/>
      <c r="X47" s="1472"/>
      <c r="Y47" s="1472"/>
      <c r="Z47" s="1472"/>
    </row>
    <row r="48" spans="1:26">
      <c r="A48" s="1457" t="s">
        <v>1188</v>
      </c>
      <c r="B48" s="1473">
        <f t="shared" ref="B48:C50" si="66">B49+(B$47-B$51)*I48/SUM(I$47:I$50)</f>
        <v>180.5366651097618</v>
      </c>
      <c r="C48" s="1473">
        <f t="shared" si="66"/>
        <v>158.60435967302453</v>
      </c>
      <c r="D48" s="1473">
        <f t="shared" si="44"/>
        <v>158.60435967302453</v>
      </c>
      <c r="E48" s="1473">
        <f t="shared" ref="E48:F50" si="67">E49+(E$47-E$51)*K48/SUM(K$47:K$50)</f>
        <v>239.25573260785075</v>
      </c>
      <c r="F48" s="1473">
        <f t="shared" si="67"/>
        <v>141.38899430740037</v>
      </c>
      <c r="G48" s="3322">
        <v>2007</v>
      </c>
      <c r="H48" s="1483">
        <v>3</v>
      </c>
      <c r="I48" s="1483">
        <v>8.65</v>
      </c>
      <c r="J48" s="1483">
        <v>8.06</v>
      </c>
      <c r="K48" s="1483">
        <v>9.94</v>
      </c>
      <c r="L48" s="1484">
        <v>5.8</v>
      </c>
      <c r="N48" s="1520">
        <f t="shared" si="64"/>
        <v>6.940217571740015E-2</v>
      </c>
      <c r="O48" s="1521">
        <f t="shared" si="64"/>
        <v>7.1197482471153428E-2</v>
      </c>
      <c r="P48" s="1521">
        <f t="shared" si="65"/>
        <v>0.10529679922579582</v>
      </c>
      <c r="Q48" s="1521">
        <f t="shared" si="65"/>
        <v>5.3292245059512133E-2</v>
      </c>
      <c r="R48" s="1470"/>
      <c r="S48" s="1468"/>
      <c r="T48" s="1469"/>
      <c r="U48" s="1469"/>
      <c r="V48" s="1469"/>
      <c r="X48" s="1522"/>
      <c r="Y48" s="1522"/>
      <c r="Z48" s="1522"/>
    </row>
    <row r="49" spans="1:26">
      <c r="A49" s="1457" t="s">
        <v>1189</v>
      </c>
      <c r="B49" s="1473">
        <f t="shared" si="66"/>
        <v>168.82017748715555</v>
      </c>
      <c r="C49" s="1473">
        <f t="shared" si="66"/>
        <v>148.06267029972753</v>
      </c>
      <c r="D49" s="1473">
        <f t="shared" si="44"/>
        <v>148.06267029972753</v>
      </c>
      <c r="E49" s="1473">
        <f t="shared" si="67"/>
        <v>216.46288379323747</v>
      </c>
      <c r="F49" s="1473">
        <f t="shared" si="67"/>
        <v>134.23529411764704</v>
      </c>
      <c r="G49" s="3322">
        <v>2007</v>
      </c>
      <c r="H49" s="1461">
        <v>2</v>
      </c>
      <c r="I49" s="1461">
        <v>3.67</v>
      </c>
      <c r="J49" s="1461">
        <v>2.3199999999999998</v>
      </c>
      <c r="K49" s="1461">
        <v>5.0199999999999996</v>
      </c>
      <c r="L49" s="1475">
        <v>6.71</v>
      </c>
      <c r="N49" s="1520">
        <f t="shared" si="64"/>
        <v>3.0339138143848032E-2</v>
      </c>
      <c r="O49" s="1521">
        <f t="shared" si="64"/>
        <v>2.0922341588790472E-2</v>
      </c>
      <c r="P49" s="1521">
        <f t="shared" si="65"/>
        <v>5.6164796592717003E-2</v>
      </c>
      <c r="Q49" s="1521">
        <f t="shared" si="65"/>
        <v>6.5704536723887319E-2</v>
      </c>
      <c r="R49" s="1470"/>
      <c r="S49" s="1468"/>
      <c r="T49" s="1469"/>
      <c r="U49" s="1469"/>
      <c r="V49" s="1469"/>
      <c r="X49" s="1522"/>
      <c r="Y49" s="1522"/>
      <c r="Z49" s="1522"/>
    </row>
    <row r="50" spans="1:26">
      <c r="A50" s="1457" t="s">
        <v>1190</v>
      </c>
      <c r="B50" s="1473">
        <f t="shared" si="66"/>
        <v>163.84913591779542</v>
      </c>
      <c r="C50" s="1473">
        <f t="shared" si="66"/>
        <v>145.0283378746594</v>
      </c>
      <c r="D50" s="1473">
        <f t="shared" si="44"/>
        <v>145.0283378746594</v>
      </c>
      <c r="E50" s="1473">
        <f t="shared" si="67"/>
        <v>204.95180722891567</v>
      </c>
      <c r="F50" s="1473">
        <f t="shared" si="67"/>
        <v>125.95920303605313</v>
      </c>
      <c r="G50" s="3323">
        <v>2007</v>
      </c>
      <c r="H50" s="1460">
        <v>1</v>
      </c>
      <c r="I50" s="1460">
        <v>3.58</v>
      </c>
      <c r="J50" s="1460">
        <v>3.08</v>
      </c>
      <c r="K50" s="1460">
        <v>4.34</v>
      </c>
      <c r="L50" s="1474">
        <v>3.21</v>
      </c>
      <c r="N50" s="1523">
        <f t="shared" si="64"/>
        <v>3.0497710174814063E-2</v>
      </c>
      <c r="O50" s="1524">
        <f t="shared" si="64"/>
        <v>2.8569772160704998E-2</v>
      </c>
      <c r="P50" s="1524">
        <f t="shared" si="65"/>
        <v>5.1034908866234296E-2</v>
      </c>
      <c r="Q50" s="1524">
        <f t="shared" si="65"/>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44"/>
        <v>141</v>
      </c>
      <c r="E51" s="1486">
        <v>195</v>
      </c>
      <c r="F51" s="1487">
        <v>122</v>
      </c>
      <c r="G51" s="3321">
        <v>2006</v>
      </c>
      <c r="H51" s="1478">
        <v>4</v>
      </c>
      <c r="I51" s="1478">
        <v>3.79</v>
      </c>
      <c r="J51" s="1478">
        <v>2.21</v>
      </c>
      <c r="K51" s="1478">
        <v>5.65</v>
      </c>
      <c r="L51" s="1479">
        <v>5.41</v>
      </c>
      <c r="N51" s="1520">
        <f t="shared" ref="N51:O54" si="68">I51/SUM(I$51:I$54)*(B$51/B$55-1)</f>
        <v>7.245466462748526E-2</v>
      </c>
      <c r="O51" s="1521">
        <f t="shared" si="68"/>
        <v>2.3237230038062766E-2</v>
      </c>
      <c r="P51" s="1521">
        <f t="shared" ref="P51:Q54" si="69">K51/SUM(K$51:K$54)*(E$51/E$55-1)</f>
        <v>0.16146893866323722</v>
      </c>
      <c r="Q51" s="1521">
        <f t="shared" si="69"/>
        <v>5.0755230321793784E-2</v>
      </c>
      <c r="R51" s="1470"/>
      <c r="S51" s="1471"/>
      <c r="T51" s="1472"/>
      <c r="U51" s="1472"/>
      <c r="V51" s="1472"/>
      <c r="X51" s="1522"/>
      <c r="Y51" s="1522"/>
      <c r="Z51" s="1522"/>
    </row>
    <row r="52" spans="1:26">
      <c r="A52" s="1457" t="s">
        <v>1192</v>
      </c>
      <c r="B52" s="1473">
        <f t="shared" ref="B52:C54" si="70">B53+(B$51-B$55)*I52/SUM(I$51:I$54)</f>
        <v>149.00125628140702</v>
      </c>
      <c r="C52" s="1473">
        <f t="shared" si="70"/>
        <v>137.95592286501378</v>
      </c>
      <c r="D52" s="1473">
        <f t="shared" si="44"/>
        <v>137.95592286501378</v>
      </c>
      <c r="E52" s="1473">
        <f t="shared" ref="E52:F54" si="71">E53+(E$51-E$55)*K52/SUM(K$51:K$54)</f>
        <v>169.97231450719823</v>
      </c>
      <c r="F52" s="1473">
        <f t="shared" si="71"/>
        <v>116.21390374331551</v>
      </c>
      <c r="G52" s="3322">
        <v>2006</v>
      </c>
      <c r="H52" s="1483">
        <v>3</v>
      </c>
      <c r="I52" s="1483">
        <v>0.92</v>
      </c>
      <c r="J52" s="1483">
        <v>1.08</v>
      </c>
      <c r="K52" s="1483">
        <v>0.73</v>
      </c>
      <c r="L52" s="1484">
        <v>1.08</v>
      </c>
      <c r="N52" s="1520">
        <f t="shared" si="68"/>
        <v>1.7587939698492462E-2</v>
      </c>
      <c r="O52" s="1521">
        <f t="shared" si="68"/>
        <v>1.1355750425840628E-2</v>
      </c>
      <c r="P52" s="1521">
        <f t="shared" si="69"/>
        <v>2.0862358446754544E-2</v>
      </c>
      <c r="Q52" s="1521">
        <f t="shared" si="69"/>
        <v>1.0132282578103011E-2</v>
      </c>
      <c r="R52" s="1470"/>
      <c r="S52" s="1468"/>
      <c r="T52" s="1469"/>
      <c r="U52" s="1469"/>
      <c r="V52" s="1469"/>
      <c r="X52" s="1522"/>
      <c r="Y52" s="1522"/>
      <c r="Z52" s="1522"/>
    </row>
    <row r="53" spans="1:26">
      <c r="A53" s="1457" t="s">
        <v>1193</v>
      </c>
      <c r="B53" s="1473">
        <f t="shared" si="70"/>
        <v>146.57412060301507</v>
      </c>
      <c r="C53" s="1473">
        <f t="shared" si="70"/>
        <v>136.46831955922866</v>
      </c>
      <c r="D53" s="1473">
        <f t="shared" si="44"/>
        <v>136.46831955922866</v>
      </c>
      <c r="E53" s="1473">
        <f t="shared" si="71"/>
        <v>166.73864894795128</v>
      </c>
      <c r="F53" s="1473">
        <f t="shared" si="71"/>
        <v>115.05882352941177</v>
      </c>
      <c r="G53" s="3322">
        <v>2006</v>
      </c>
      <c r="H53" s="1461">
        <v>2</v>
      </c>
      <c r="I53" s="1461">
        <v>0.96</v>
      </c>
      <c r="J53" s="1461">
        <v>0.25</v>
      </c>
      <c r="K53" s="1461">
        <v>1.9</v>
      </c>
      <c r="L53" s="1475">
        <v>0.95</v>
      </c>
      <c r="N53" s="1520">
        <f t="shared" si="68"/>
        <v>1.8352632728861701E-2</v>
      </c>
      <c r="O53" s="1521">
        <f t="shared" si="68"/>
        <v>2.6286459319075526E-3</v>
      </c>
      <c r="P53" s="1521">
        <f t="shared" si="69"/>
        <v>5.4299289107991269E-2</v>
      </c>
      <c r="Q53" s="1521">
        <f t="shared" si="69"/>
        <v>8.9126559714794995E-3</v>
      </c>
      <c r="R53" s="1470"/>
      <c r="S53" s="1468"/>
      <c r="T53" s="1469"/>
      <c r="U53" s="1469"/>
      <c r="V53" s="1469"/>
      <c r="X53" s="1522"/>
      <c r="Y53" s="1522"/>
      <c r="Z53" s="1522"/>
    </row>
    <row r="54" spans="1:26">
      <c r="A54" s="1457" t="s">
        <v>1194</v>
      </c>
      <c r="B54" s="1473">
        <f t="shared" si="70"/>
        <v>144.04145728643215</v>
      </c>
      <c r="C54" s="1473">
        <f t="shared" si="70"/>
        <v>136.12396694214877</v>
      </c>
      <c r="D54" s="1473">
        <f t="shared" si="44"/>
        <v>136.12396694214877</v>
      </c>
      <c r="E54" s="1473">
        <f t="shared" si="71"/>
        <v>158.32225913621264</v>
      </c>
      <c r="F54" s="1473">
        <f t="shared" si="71"/>
        <v>114.04278074866311</v>
      </c>
      <c r="G54" s="3323">
        <v>2006</v>
      </c>
      <c r="H54" s="1460">
        <v>1</v>
      </c>
      <c r="I54" s="1460">
        <v>2.29</v>
      </c>
      <c r="J54" s="1460">
        <v>3.72</v>
      </c>
      <c r="K54" s="1460">
        <v>0.75</v>
      </c>
      <c r="L54" s="1474">
        <v>0.04</v>
      </c>
      <c r="N54" s="1523">
        <f t="shared" si="68"/>
        <v>4.3778675988638847E-2</v>
      </c>
      <c r="O54" s="1524">
        <f t="shared" si="68"/>
        <v>3.9114251466784385E-2</v>
      </c>
      <c r="P54" s="1524">
        <f t="shared" si="69"/>
        <v>2.1433929911049188E-2</v>
      </c>
      <c r="Q54" s="1524">
        <f t="shared" si="69"/>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44"/>
        <v>131</v>
      </c>
      <c r="E55" s="1486">
        <v>155</v>
      </c>
      <c r="F55" s="1487">
        <v>114</v>
      </c>
      <c r="G55" s="3321">
        <v>2005</v>
      </c>
      <c r="H55" s="1478">
        <v>4</v>
      </c>
      <c r="I55" s="1478">
        <v>3.29</v>
      </c>
      <c r="J55" s="1478">
        <v>1.44</v>
      </c>
      <c r="K55" s="1478">
        <v>0.66</v>
      </c>
      <c r="L55" s="1479">
        <v>7.78</v>
      </c>
      <c r="N55" s="1520">
        <f t="shared" ref="N55:O58" si="72">I55/SUM(I$55:I$58)*(B$55/B$59-1)</f>
        <v>9.9404603216919935E-2</v>
      </c>
      <c r="O55" s="1521">
        <f t="shared" si="72"/>
        <v>4.7636550760861554E-2</v>
      </c>
      <c r="P55" s="1521">
        <f t="shared" ref="P55:Q58" si="73">K55/SUM(K$55:K$58)*(E$55/E$59-1)</f>
        <v>8.3756345177664976E-2</v>
      </c>
      <c r="Q55" s="1521">
        <f t="shared" si="73"/>
        <v>5.2148766661559584E-2</v>
      </c>
      <c r="R55" s="1470"/>
      <c r="S55" s="1471"/>
      <c r="T55" s="1472"/>
      <c r="U55" s="1472"/>
      <c r="V55" s="1472"/>
      <c r="X55" s="1522"/>
      <c r="Y55" s="1522"/>
      <c r="Z55" s="1522"/>
    </row>
    <row r="56" spans="1:26">
      <c r="A56" s="1457" t="s">
        <v>1196</v>
      </c>
      <c r="B56" s="1473">
        <f t="shared" ref="B56:C58" si="74">B57+(B$55-B$59)*I56/SUM(I$55:I$58)</f>
        <v>125.9720430107527</v>
      </c>
      <c r="C56" s="1473">
        <f t="shared" si="74"/>
        <v>125.1883408071749</v>
      </c>
      <c r="D56" s="1473">
        <f t="shared" si="44"/>
        <v>125.1883408071749</v>
      </c>
      <c r="E56" s="1473">
        <f t="shared" ref="E56:F58" si="75">E57+(E$55-E$59)*K56/SUM(K$55:K$58)</f>
        <v>144.61421319796952</v>
      </c>
      <c r="F56" s="1473">
        <f t="shared" si="75"/>
        <v>108.42008196721311</v>
      </c>
      <c r="G56" s="3322">
        <v>2005</v>
      </c>
      <c r="H56" s="1483">
        <v>3</v>
      </c>
      <c r="I56" s="1483">
        <v>0.46</v>
      </c>
      <c r="J56" s="1483">
        <v>0.32</v>
      </c>
      <c r="K56" s="1483">
        <v>0.42</v>
      </c>
      <c r="L56" s="1484">
        <v>0.64</v>
      </c>
      <c r="N56" s="1520">
        <f t="shared" si="72"/>
        <v>1.3898515951301874E-2</v>
      </c>
      <c r="O56" s="1521">
        <f t="shared" si="72"/>
        <v>1.0585900169080346E-2</v>
      </c>
      <c r="P56" s="1521">
        <f t="shared" si="73"/>
        <v>5.3299492385786795E-2</v>
      </c>
      <c r="Q56" s="1521">
        <f t="shared" si="73"/>
        <v>4.2898728359123568E-3</v>
      </c>
      <c r="R56" s="1470"/>
      <c r="S56" s="1468"/>
      <c r="T56" s="1469"/>
      <c r="U56" s="1469"/>
      <c r="V56" s="1469"/>
      <c r="X56" s="1522"/>
      <c r="Y56" s="1522"/>
      <c r="Z56" s="1522"/>
    </row>
    <row r="57" spans="1:26">
      <c r="A57" s="1457" t="s">
        <v>1197</v>
      </c>
      <c r="B57" s="1473">
        <f t="shared" si="74"/>
        <v>124.29032258064517</v>
      </c>
      <c r="C57" s="1473">
        <f t="shared" si="74"/>
        <v>123.8968609865471</v>
      </c>
      <c r="D57" s="1473">
        <f t="shared" si="44"/>
        <v>123.8968609865471</v>
      </c>
      <c r="E57" s="1473">
        <f t="shared" si="75"/>
        <v>138.00507614213197</v>
      </c>
      <c r="F57" s="1473">
        <f t="shared" si="75"/>
        <v>107.96106557377048</v>
      </c>
      <c r="G57" s="3322">
        <v>2005</v>
      </c>
      <c r="H57" s="1461">
        <v>2</v>
      </c>
      <c r="I57" s="1461">
        <v>0.47</v>
      </c>
      <c r="J57" s="1461">
        <v>0.1</v>
      </c>
      <c r="K57" s="1461">
        <v>0.52</v>
      </c>
      <c r="L57" s="1475">
        <v>0.79</v>
      </c>
      <c r="N57" s="1520">
        <f t="shared" si="72"/>
        <v>1.420065760241713E-2</v>
      </c>
      <c r="O57" s="1521">
        <f t="shared" si="72"/>
        <v>3.3080938028376083E-3</v>
      </c>
      <c r="P57" s="1521">
        <f t="shared" si="73"/>
        <v>6.598984771573603E-2</v>
      </c>
      <c r="Q57" s="1521">
        <f t="shared" si="73"/>
        <v>5.2953117818293153E-3</v>
      </c>
      <c r="R57" s="1470"/>
      <c r="S57" s="1468"/>
      <c r="T57" s="1469"/>
      <c r="U57" s="1469"/>
      <c r="V57" s="1469"/>
      <c r="X57" s="1522"/>
      <c r="Y57" s="1522"/>
      <c r="Z57" s="1522"/>
    </row>
    <row r="58" spans="1:26">
      <c r="A58" s="1457" t="s">
        <v>1198</v>
      </c>
      <c r="B58" s="1473">
        <f t="shared" si="74"/>
        <v>122.57204301075269</v>
      </c>
      <c r="C58" s="1473">
        <f t="shared" si="74"/>
        <v>123.4932735426009</v>
      </c>
      <c r="D58" s="1473">
        <f t="shared" si="44"/>
        <v>123.4932735426009</v>
      </c>
      <c r="E58" s="1473">
        <f t="shared" si="75"/>
        <v>129.82233502538071</v>
      </c>
      <c r="F58" s="1473">
        <f t="shared" si="75"/>
        <v>107.39446721311475</v>
      </c>
      <c r="G58" s="3323">
        <v>2005</v>
      </c>
      <c r="H58" s="1460">
        <v>1</v>
      </c>
      <c r="I58" s="1460">
        <v>0.43</v>
      </c>
      <c r="J58" s="1460">
        <v>0.37</v>
      </c>
      <c r="K58" s="1460">
        <v>0.37</v>
      </c>
      <c r="L58" s="1474">
        <v>0.55000000000000004</v>
      </c>
      <c r="N58" s="1523">
        <f t="shared" si="72"/>
        <v>1.2992090997956099E-2</v>
      </c>
      <c r="O58" s="1524">
        <f t="shared" si="72"/>
        <v>1.2239947070499151E-2</v>
      </c>
      <c r="P58" s="1524">
        <f t="shared" si="73"/>
        <v>4.6954314720812178E-2</v>
      </c>
      <c r="Q58" s="1524">
        <f t="shared" si="73"/>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44"/>
        <v>122</v>
      </c>
      <c r="E59" s="1507">
        <v>124</v>
      </c>
      <c r="F59" s="1508">
        <v>107</v>
      </c>
      <c r="G59" s="3321">
        <v>2004</v>
      </c>
      <c r="H59" s="1478">
        <v>4</v>
      </c>
      <c r="I59" s="1478">
        <v>0.33</v>
      </c>
      <c r="J59" s="1478">
        <v>0.5</v>
      </c>
      <c r="K59" s="1478">
        <v>0.5</v>
      </c>
      <c r="L59" s="1479">
        <v>0</v>
      </c>
      <c r="N59" s="1520">
        <f t="shared" ref="N59:O62" si="76">I59/SUM(I$59:I$62)*(B$59/B$63-1)</f>
        <v>1.3391770148526898E-2</v>
      </c>
      <c r="O59" s="1521">
        <f t="shared" si="76"/>
        <v>1.063264221158958E-2</v>
      </c>
      <c r="P59" s="1521">
        <f t="shared" ref="P59:Q62" si="77">K59/SUM(K$59:K$62)*(E$59/E$63-1)</f>
        <v>2.2244466688911134E-2</v>
      </c>
      <c r="Q59" s="1521">
        <f t="shared" si="77"/>
        <v>0</v>
      </c>
      <c r="R59" s="1470"/>
      <c r="S59" s="1471"/>
      <c r="T59" s="1472"/>
      <c r="U59" s="1472"/>
      <c r="V59" s="1472"/>
      <c r="X59" s="1522"/>
      <c r="Y59" s="1522"/>
      <c r="Z59" s="1522"/>
    </row>
    <row r="60" spans="1:26">
      <c r="A60" s="1457" t="s">
        <v>1200</v>
      </c>
      <c r="B60" s="1473">
        <f t="shared" ref="B60:C62" si="78">B61+(B$59-B$63)*I60/SUM(I$59:I$62)</f>
        <v>119.51351351351352</v>
      </c>
      <c r="C60" s="1473">
        <f t="shared" si="78"/>
        <v>120.7878787878788</v>
      </c>
      <c r="D60" s="1473">
        <f t="shared" si="44"/>
        <v>120.7878787878788</v>
      </c>
      <c r="E60" s="1473">
        <f t="shared" ref="E60:F62" si="79">E61+(E$59-E$63)*K60/SUM(K$59:K$62)</f>
        <v>121.5975975975976</v>
      </c>
      <c r="F60" s="1473">
        <f t="shared" si="79"/>
        <v>107</v>
      </c>
      <c r="G60" s="3322">
        <v>2004</v>
      </c>
      <c r="H60" s="1483">
        <v>3</v>
      </c>
      <c r="I60" s="1483">
        <v>0.56000000000000005</v>
      </c>
      <c r="J60" s="1483">
        <v>0.8</v>
      </c>
      <c r="K60" s="1483">
        <v>0.83</v>
      </c>
      <c r="L60" s="1484">
        <v>0.06</v>
      </c>
      <c r="N60" s="1520">
        <f t="shared" si="76"/>
        <v>2.2725428130833527E-2</v>
      </c>
      <c r="O60" s="1521">
        <f t="shared" si="76"/>
        <v>1.7012227538543329E-2</v>
      </c>
      <c r="P60" s="1521">
        <f t="shared" si="77"/>
        <v>3.6925814703592477E-2</v>
      </c>
      <c r="Q60" s="1521">
        <f t="shared" si="77"/>
        <v>2.8846153846153744E-2</v>
      </c>
      <c r="R60" s="1470"/>
      <c r="S60" s="1468"/>
      <c r="T60" s="1469"/>
      <c r="U60" s="1469"/>
      <c r="V60" s="1469"/>
      <c r="X60" s="1522"/>
      <c r="Y60" s="1522"/>
      <c r="Z60" s="1522"/>
    </row>
    <row r="61" spans="1:26">
      <c r="A61" s="1457" t="s">
        <v>1201</v>
      </c>
      <c r="B61" s="1473">
        <f t="shared" si="78"/>
        <v>116.99099099099099</v>
      </c>
      <c r="C61" s="1473">
        <f t="shared" si="78"/>
        <v>118.84848484848486</v>
      </c>
      <c r="D61" s="1473">
        <f t="shared" si="44"/>
        <v>118.84848484848486</v>
      </c>
      <c r="E61" s="1473">
        <f t="shared" si="79"/>
        <v>117.60960960960961</v>
      </c>
      <c r="F61" s="1473">
        <f t="shared" si="79"/>
        <v>104</v>
      </c>
      <c r="G61" s="3322">
        <v>2004</v>
      </c>
      <c r="H61" s="1461">
        <v>2</v>
      </c>
      <c r="I61" s="1461">
        <v>1</v>
      </c>
      <c r="J61" s="1461">
        <v>1.5</v>
      </c>
      <c r="K61" s="1461">
        <v>1.5</v>
      </c>
      <c r="L61" s="1475">
        <v>0</v>
      </c>
      <c r="N61" s="1520">
        <f t="shared" si="76"/>
        <v>4.0581121662202721E-2</v>
      </c>
      <c r="O61" s="1521">
        <f t="shared" si="76"/>
        <v>3.1897926634768738E-2</v>
      </c>
      <c r="P61" s="1521">
        <f t="shared" si="77"/>
        <v>6.6733400066733395E-2</v>
      </c>
      <c r="Q61" s="1521">
        <f t="shared" si="77"/>
        <v>0</v>
      </c>
      <c r="R61" s="1470"/>
      <c r="S61" s="1468"/>
      <c r="T61" s="1469"/>
      <c r="U61" s="1469"/>
      <c r="V61" s="1469"/>
      <c r="X61" s="1522"/>
      <c r="Y61" s="1522"/>
      <c r="Z61" s="1522"/>
    </row>
    <row r="62" spans="1:26" s="1513" customFormat="1" ht="13.5" thickBot="1">
      <c r="A62" s="1457" t="s">
        <v>1202</v>
      </c>
      <c r="B62" s="1510">
        <f t="shared" si="78"/>
        <v>112.48648648648648</v>
      </c>
      <c r="C62" s="1510">
        <f t="shared" si="78"/>
        <v>115.21212121212122</v>
      </c>
      <c r="D62" s="1510">
        <f t="shared" si="44"/>
        <v>115.21212121212122</v>
      </c>
      <c r="E62" s="1510">
        <f t="shared" si="79"/>
        <v>110.4024024024024</v>
      </c>
      <c r="F62" s="1510">
        <f t="shared" si="79"/>
        <v>104</v>
      </c>
      <c r="G62" s="3323">
        <v>2004</v>
      </c>
      <c r="H62" s="1511">
        <v>1</v>
      </c>
      <c r="I62" s="1511">
        <v>0.33</v>
      </c>
      <c r="J62" s="1511">
        <v>0.5</v>
      </c>
      <c r="K62" s="1511">
        <v>0.5</v>
      </c>
      <c r="L62" s="1512">
        <v>0</v>
      </c>
      <c r="N62" s="1525">
        <f t="shared" si="76"/>
        <v>1.3391770148526898E-2</v>
      </c>
      <c r="O62" s="1526">
        <f t="shared" si="76"/>
        <v>1.063264221158958E-2</v>
      </c>
      <c r="P62" s="1526">
        <f t="shared" si="77"/>
        <v>2.2244466688911134E-2</v>
      </c>
      <c r="Q62" s="1526">
        <f t="shared" si="77"/>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44"/>
        <v>114</v>
      </c>
      <c r="E63" s="1528">
        <v>108</v>
      </c>
      <c r="F63" s="1529">
        <v>104</v>
      </c>
      <c r="G63" s="3321">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80">B65+(B$63-B$67)/4</f>
        <v>109.75</v>
      </c>
      <c r="C64" s="1532">
        <f t="shared" si="80"/>
        <v>112.25</v>
      </c>
      <c r="D64" s="1532">
        <f t="shared" si="44"/>
        <v>112.25</v>
      </c>
      <c r="E64" s="1532">
        <f t="shared" ref="E64:F66" si="81">E65+(E$63-E$67)/4</f>
        <v>107.25</v>
      </c>
      <c r="F64" s="1532">
        <f t="shared" si="81"/>
        <v>103.5</v>
      </c>
      <c r="G64" s="3322">
        <v>2003</v>
      </c>
      <c r="H64" s="1483">
        <v>3</v>
      </c>
      <c r="I64" s="1530"/>
      <c r="J64" s="1530"/>
      <c r="K64" s="1530"/>
      <c r="L64" s="1530"/>
      <c r="X64" s="1522"/>
      <c r="Y64" s="1522"/>
      <c r="Z64" s="1522"/>
    </row>
    <row r="65" spans="1:26">
      <c r="A65" s="1457" t="s">
        <v>1205</v>
      </c>
      <c r="B65" s="1532">
        <f t="shared" si="80"/>
        <v>108.5</v>
      </c>
      <c r="C65" s="1532">
        <f t="shared" si="80"/>
        <v>110.5</v>
      </c>
      <c r="D65" s="1532">
        <f t="shared" si="44"/>
        <v>110.5</v>
      </c>
      <c r="E65" s="1532">
        <f t="shared" si="81"/>
        <v>106.5</v>
      </c>
      <c r="F65" s="1532">
        <f t="shared" si="81"/>
        <v>103</v>
      </c>
      <c r="G65" s="3322">
        <v>2003</v>
      </c>
      <c r="H65" s="1461">
        <v>2</v>
      </c>
      <c r="I65" s="1530"/>
      <c r="J65" s="1530"/>
      <c r="K65" s="1530"/>
      <c r="L65" s="1530"/>
      <c r="X65" s="1522"/>
      <c r="Y65" s="1522"/>
      <c r="Z65" s="1522"/>
    </row>
    <row r="66" spans="1:26" ht="13.5" thickBot="1">
      <c r="A66" s="1457" t="s">
        <v>1206</v>
      </c>
      <c r="B66" s="1532">
        <f t="shared" si="80"/>
        <v>107.25</v>
      </c>
      <c r="C66" s="1532">
        <f t="shared" si="80"/>
        <v>108.75</v>
      </c>
      <c r="D66" s="1532">
        <f t="shared" si="44"/>
        <v>108.75</v>
      </c>
      <c r="E66" s="1532">
        <f t="shared" si="81"/>
        <v>105.75</v>
      </c>
      <c r="F66" s="1532">
        <f t="shared" si="81"/>
        <v>102.5</v>
      </c>
      <c r="G66" s="3323">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44"/>
        <v>107</v>
      </c>
      <c r="E67" s="1534">
        <v>105</v>
      </c>
      <c r="F67" s="1535">
        <v>102</v>
      </c>
      <c r="G67" s="3321">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82">B69+(B$67-B$71)/4</f>
        <v>105</v>
      </c>
      <c r="C68" s="1532">
        <f t="shared" si="82"/>
        <v>106</v>
      </c>
      <c r="D68" s="1532">
        <f t="shared" si="44"/>
        <v>106</v>
      </c>
      <c r="E68" s="1532">
        <f t="shared" ref="E68:F70" si="83">E69+(E$67-E$71)/4</f>
        <v>104.5</v>
      </c>
      <c r="F68" s="1532">
        <f t="shared" si="83"/>
        <v>101.5</v>
      </c>
      <c r="G68" s="3322">
        <v>2002</v>
      </c>
      <c r="H68" s="1483">
        <v>3</v>
      </c>
      <c r="I68" s="1530"/>
      <c r="J68" s="1530"/>
      <c r="K68" s="1530"/>
      <c r="L68" s="1530"/>
      <c r="X68" s="1522"/>
      <c r="Y68" s="1522"/>
      <c r="Z68" s="1522"/>
    </row>
    <row r="69" spans="1:26">
      <c r="A69" s="1457" t="s">
        <v>1209</v>
      </c>
      <c r="B69" s="1532">
        <f t="shared" si="82"/>
        <v>104</v>
      </c>
      <c r="C69" s="1532">
        <f t="shared" si="82"/>
        <v>105</v>
      </c>
      <c r="D69" s="1532">
        <f t="shared" si="44"/>
        <v>105</v>
      </c>
      <c r="E69" s="1532">
        <f t="shared" si="83"/>
        <v>104</v>
      </c>
      <c r="F69" s="1532">
        <f t="shared" si="83"/>
        <v>101</v>
      </c>
      <c r="G69" s="3322">
        <v>2002</v>
      </c>
      <c r="H69" s="1461">
        <v>2</v>
      </c>
      <c r="I69" s="1530"/>
      <c r="J69" s="1530"/>
      <c r="K69" s="1530"/>
      <c r="L69" s="1530"/>
      <c r="X69" s="1522"/>
      <c r="Y69" s="1522"/>
      <c r="Z69" s="1522"/>
    </row>
    <row r="70" spans="1:26" s="1494" customFormat="1" ht="13.5" thickBot="1">
      <c r="A70" s="1490" t="s">
        <v>1210</v>
      </c>
      <c r="B70" s="1536">
        <f t="shared" si="82"/>
        <v>103</v>
      </c>
      <c r="C70" s="1536">
        <f t="shared" si="82"/>
        <v>104</v>
      </c>
      <c r="D70" s="1536">
        <f t="shared" si="44"/>
        <v>104</v>
      </c>
      <c r="E70" s="1536">
        <f t="shared" si="83"/>
        <v>103.5</v>
      </c>
      <c r="F70" s="1536">
        <f t="shared" si="83"/>
        <v>100.5</v>
      </c>
      <c r="G70" s="3323">
        <v>2002</v>
      </c>
      <c r="H70" s="1537">
        <v>1</v>
      </c>
      <c r="I70" s="1538"/>
      <c r="J70" s="1538"/>
      <c r="K70" s="1538"/>
      <c r="L70" s="1538"/>
      <c r="N70" s="1539"/>
      <c r="S70" s="1539"/>
      <c r="X70" s="1540"/>
      <c r="Y70" s="1540"/>
      <c r="Z70" s="1540"/>
    </row>
    <row r="71" spans="1:26" ht="13.5" thickBot="1">
      <c r="B71" s="1541">
        <v>102</v>
      </c>
      <c r="C71" s="1542">
        <v>103</v>
      </c>
      <c r="D71" s="1542">
        <f t="shared" si="44"/>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0" t="s">
        <v>2997</v>
      </c>
      <c r="C1" s="3332" t="s">
        <v>2998</v>
      </c>
      <c r="D1" s="3333"/>
      <c r="E1" s="3333"/>
      <c r="F1" s="3333"/>
      <c r="G1" s="3333"/>
      <c r="H1" s="3333"/>
      <c r="I1" s="3333"/>
      <c r="J1" s="3333"/>
      <c r="K1" s="3333"/>
      <c r="L1" s="3333"/>
      <c r="M1" s="3333"/>
      <c r="N1" s="3333"/>
      <c r="O1" s="3333"/>
      <c r="P1" s="3333"/>
      <c r="Q1" s="3333"/>
      <c r="R1" s="3333"/>
      <c r="S1" s="3334"/>
      <c r="T1" s="1200" t="s">
        <v>2999</v>
      </c>
    </row>
    <row r="2" spans="1:45" s="706" customFormat="1">
      <c r="A2" s="1201"/>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3001</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3002</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3003</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3004</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3005</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3006</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3007</v>
      </c>
      <c r="B17" s="2910" t="s">
        <v>3008</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1" t="s">
        <v>3009</v>
      </c>
      <c r="E19" s="1788"/>
      <c r="F19" s="1788"/>
      <c r="G19" s="1788"/>
      <c r="H19" s="1276"/>
      <c r="I19" s="167"/>
      <c r="J19" s="167"/>
      <c r="K19" s="167"/>
      <c r="L19" s="167"/>
      <c r="M19" s="167"/>
      <c r="N19" s="167"/>
      <c r="O19" s="167"/>
      <c r="P19" s="167"/>
      <c r="Q19" s="167"/>
      <c r="R19" s="787"/>
      <c r="S19" s="137"/>
    </row>
    <row r="20" spans="1:45" ht="16.5" thickBot="1">
      <c r="A20" s="714" t="s">
        <v>3010</v>
      </c>
      <c r="B20" s="337" t="e">
        <f ca="1">IF(D20="——",S22,S22-F20)</f>
        <v>#REF!</v>
      </c>
      <c r="C20" s="167"/>
      <c r="D20" s="2912" t="s">
        <v>3011</v>
      </c>
      <c r="E20" s="1789"/>
      <c r="F20" s="1200" t="e">
        <f ca="1">SUMIF(INDIRECT("'"&amp;H20&amp;"'"&amp;"!A:A"),"承租人权益价值",INDIRECT("'"&amp;H20&amp;"'"&amp;"!c:c"))</f>
        <v>#REF!</v>
      </c>
      <c r="G20" s="1200" t="s">
        <v>3012</v>
      </c>
      <c r="H20" s="2913"/>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192" t="s">
        <v>33</v>
      </c>
      <c r="D22" s="3193"/>
      <c r="E22" s="3193"/>
      <c r="F22" s="3193"/>
      <c r="G22" s="3193"/>
      <c r="H22" s="3193"/>
      <c r="I22" s="3193"/>
      <c r="J22" s="3193"/>
      <c r="K22" s="3193"/>
      <c r="L22" s="3193"/>
      <c r="M22" s="3193"/>
      <c r="N22" s="3193"/>
      <c r="O22" s="3193"/>
      <c r="P22" s="3193"/>
      <c r="Q22" s="3331"/>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85150</v>
      </c>
      <c r="C2" s="2" t="s">
        <v>133</v>
      </c>
      <c r="D2" s="242"/>
      <c r="E2" s="242"/>
      <c r="F2" s="242"/>
      <c r="G2" s="242"/>
    </row>
    <row r="3" spans="1:7" s="243" customFormat="1" ht="18" customHeight="1" thickBot="1">
      <c r="A3" s="246" t="s">
        <v>85</v>
      </c>
      <c r="B3" s="247">
        <f ca="1">ROUND(B2*10000/'数据-汇总表'!E3,0)</f>
        <v>7627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2568</v>
      </c>
      <c r="D10" s="1028">
        <f>'数据-汇总表'!E6</f>
        <v>111646.95</v>
      </c>
      <c r="E10" s="268">
        <f>'数据-取费表'!B28</f>
        <v>230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2233</v>
      </c>
      <c r="D19" s="1032">
        <f>'数据-汇总表'!E3</f>
        <v>111646.95</v>
      </c>
      <c r="E19" s="254">
        <f>'数据-取费表'!B31</f>
        <v>200</v>
      </c>
      <c r="F19" s="274"/>
      <c r="G19" s="1" t="s">
        <v>1074</v>
      </c>
    </row>
    <row r="20" spans="1:7" s="257" customFormat="1" ht="13.5" customHeight="1">
      <c r="A20" s="944" t="s">
        <v>1057</v>
      </c>
      <c r="B20" s="253" t="s">
        <v>104</v>
      </c>
      <c r="C20" s="275">
        <f>ROUND((C5+C19)*F20,0)</f>
        <v>457</v>
      </c>
      <c r="D20" s="275"/>
      <c r="E20" s="275"/>
      <c r="F20" s="276">
        <f>'数据-取费表'!B37</f>
        <v>0.02</v>
      </c>
      <c r="G20" s="1285"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3446</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3079</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334</v>
      </c>
      <c r="D24" s="281"/>
      <c r="E24" s="281"/>
      <c r="F24" s="282"/>
      <c r="G24" s="283" t="s">
        <v>109</v>
      </c>
    </row>
    <row r="25" spans="1:7" s="257" customFormat="1" ht="24">
      <c r="A25" s="947" t="s">
        <v>793</v>
      </c>
      <c r="B25" s="258" t="s">
        <v>1058</v>
      </c>
      <c r="C25" s="1351">
        <f ca="1">ROUND(IF('数据-取费表'!B22&lt;=1,C20*F22*'数据-取费表'!B23/2,C20*(POWER((1+F22),'数据-取费表'!B23/2)-1)),0)</f>
        <v>33</v>
      </c>
      <c r="D25" s="281"/>
      <c r="E25" s="284"/>
      <c r="F25" s="282"/>
      <c r="G25" s="285" t="s">
        <v>110</v>
      </c>
    </row>
    <row r="26" spans="1:7" s="257" customFormat="1">
      <c r="A26" s="947" t="s">
        <v>795</v>
      </c>
      <c r="B26" s="258" t="s">
        <v>1060</v>
      </c>
      <c r="C26" s="281">
        <f ca="1">ROUND(IF('数据-取费表'!B22&lt;=1,F21*F22*'数据-取费表'!B23/2,F21*(POWER((1+F22),'数据-取费表'!B23/2)-1)),4)</f>
        <v>1.4E-3</v>
      </c>
      <c r="D26" s="281"/>
      <c r="E26" s="284"/>
      <c r="F26" s="282"/>
      <c r="G26" s="286"/>
    </row>
    <row r="27" spans="1:7" s="257" customFormat="1" ht="24.75">
      <c r="A27" s="944" t="s">
        <v>787</v>
      </c>
      <c r="B27" s="287" t="s">
        <v>112</v>
      </c>
      <c r="C27" s="288">
        <f>C28</f>
        <v>4893</v>
      </c>
      <c r="D27" s="278">
        <f>C29</f>
        <v>4.1999999999999997E-3</v>
      </c>
      <c r="E27" s="279" t="s">
        <v>126</v>
      </c>
      <c r="F27" s="289">
        <f>'数据-取费表'!Q16</f>
        <v>0.21</v>
      </c>
      <c r="G27" s="290" t="s">
        <v>1069</v>
      </c>
    </row>
    <row r="28" spans="1:7" s="257" customFormat="1" ht="13.5" customHeight="1">
      <c r="A28" s="947" t="s">
        <v>794</v>
      </c>
      <c r="B28" s="291" t="s">
        <v>1062</v>
      </c>
      <c r="C28" s="292">
        <f>ROUND((C5+C19+C20)*F27*'数据-取费表'!B21/'数据-取费表'!B20,0)</f>
        <v>4893</v>
      </c>
      <c r="D28" s="278"/>
      <c r="E28" s="279"/>
      <c r="F28" s="289"/>
      <c r="G28" s="290"/>
    </row>
    <row r="29" spans="1:7" s="257" customFormat="1" ht="13.5" customHeight="1">
      <c r="A29" s="947" t="s">
        <v>792</v>
      </c>
      <c r="B29" s="291" t="s">
        <v>1063</v>
      </c>
      <c r="C29" s="281">
        <f>ROUND(C21*F27*'数据-取费表'!B21/'数据-取费表'!B20,4)</f>
        <v>4.1999999999999997E-3</v>
      </c>
      <c r="D29" s="278"/>
      <c r="E29" s="279"/>
      <c r="F29" s="289"/>
      <c r="G29" s="290"/>
    </row>
    <row r="30" spans="1:7" s="257" customFormat="1" ht="13.5" customHeight="1">
      <c r="A30" s="944"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34350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35779</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32101</v>
      </c>
      <c r="D34" s="260"/>
      <c r="E34" s="263"/>
      <c r="F34" s="300">
        <f>IF('数据-取费表'!B24=0,1,'数据-取费表'!N16)</f>
        <v>1</v>
      </c>
      <c r="G34" s="262" t="s">
        <v>116</v>
      </c>
    </row>
    <row r="35" spans="1:7" ht="13.5" customHeight="1">
      <c r="A35" s="947" t="s">
        <v>796</v>
      </c>
      <c r="B35" s="258" t="s">
        <v>60</v>
      </c>
      <c r="C35" s="263">
        <f>ROUND(C34*F35,0)</f>
        <v>963</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2233</v>
      </c>
      <c r="D37" s="260">
        <f>'数据-汇总表'!E3</f>
        <v>111646.95</v>
      </c>
      <c r="E37" s="292">
        <f>'数据-取费表'!B35</f>
        <v>200</v>
      </c>
      <c r="F37" s="302"/>
      <c r="G37" s="304" t="s">
        <v>119</v>
      </c>
    </row>
    <row r="38" spans="1:7" ht="13.5" customHeight="1">
      <c r="A38" s="947" t="s">
        <v>799</v>
      </c>
      <c r="B38" s="258" t="s">
        <v>63</v>
      </c>
      <c r="C38" s="263">
        <f>ROUND(C34*F38,0)</f>
        <v>482</v>
      </c>
      <c r="D38" s="263"/>
      <c r="E38" s="263"/>
      <c r="F38" s="302">
        <f>'数据-取费表'!B36</f>
        <v>1.4999999999999999E-2</v>
      </c>
      <c r="G38" s="262" t="s">
        <v>117</v>
      </c>
    </row>
    <row r="39" spans="1:7" s="257" customFormat="1" ht="13.5" customHeight="1">
      <c r="A39" s="944" t="s">
        <v>783</v>
      </c>
      <c r="B39" s="253" t="s">
        <v>104</v>
      </c>
      <c r="C39" s="275">
        <f>ROUND(C33*F20,0)</f>
        <v>716</v>
      </c>
      <c r="D39" s="275"/>
      <c r="E39" s="275"/>
      <c r="F39" s="276"/>
      <c r="G39" s="1285"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2631</v>
      </c>
      <c r="D41" s="278">
        <f ca="1">C44</f>
        <v>1.4E-3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2579</v>
      </c>
      <c r="D42" s="281"/>
      <c r="E42" s="281"/>
      <c r="F42" s="282"/>
      <c r="G42" s="3197" t="s">
        <v>121</v>
      </c>
    </row>
    <row r="43" spans="1:7" ht="13.5" customHeight="1">
      <c r="A43" s="947" t="s">
        <v>792</v>
      </c>
      <c r="B43" s="258" t="s">
        <v>1064</v>
      </c>
      <c r="C43" s="281">
        <f ca="1">ROUND(IF('数据-取费表'!B22&lt;=1,C39*F22*'数据-取费表'!B21/2,C39*(POWER((1+F22),'数据-取费表'!B21/2)-1)),0)</f>
        <v>52</v>
      </c>
      <c r="D43" s="281"/>
      <c r="E43" s="281"/>
      <c r="F43" s="282"/>
      <c r="G43" s="3198"/>
    </row>
    <row r="44" spans="1:7" ht="13.5" customHeight="1">
      <c r="A44" s="947" t="s">
        <v>793</v>
      </c>
      <c r="B44" s="258" t="s">
        <v>1066</v>
      </c>
      <c r="C44" s="281">
        <f ca="1">ROUND(IF('数据-取费表'!B22&lt;=1,C40*F22*'数据-取费表'!B21/2,C40*(POWER((1+F22),'数据-取费表'!B21/2)-1)),4)</f>
        <v>1.4E-3</v>
      </c>
      <c r="D44" s="281"/>
      <c r="E44" s="281"/>
      <c r="F44" s="282"/>
      <c r="G44" s="3199"/>
    </row>
    <row r="45" spans="1:7" s="257" customFormat="1" ht="13.5" customHeight="1">
      <c r="A45" s="944" t="s">
        <v>786</v>
      </c>
      <c r="B45" s="287" t="s">
        <v>112</v>
      </c>
      <c r="C45" s="288">
        <f>C46</f>
        <v>7664</v>
      </c>
      <c r="D45" s="278">
        <f>C47</f>
        <v>4.1999999999999997E-3</v>
      </c>
      <c r="E45" s="279" t="s">
        <v>129</v>
      </c>
      <c r="F45" s="289"/>
      <c r="G45" s="290" t="s">
        <v>1072</v>
      </c>
    </row>
    <row r="46" spans="1:7" s="257" customFormat="1" ht="13.5" customHeight="1">
      <c r="A46" s="947" t="s">
        <v>794</v>
      </c>
      <c r="B46" s="291" t="s">
        <v>1065</v>
      </c>
      <c r="C46" s="292">
        <f>ROUND((C33+C39)*F27,0)</f>
        <v>7664</v>
      </c>
      <c r="D46" s="306"/>
      <c r="E46" s="279"/>
      <c r="F46" s="289"/>
      <c r="G46" s="290"/>
    </row>
    <row r="47" spans="1:7" s="257" customFormat="1" ht="13.5" customHeight="1">
      <c r="A47" s="947" t="s">
        <v>792</v>
      </c>
      <c r="B47" s="291" t="s">
        <v>1067</v>
      </c>
      <c r="C47" s="281">
        <f>ROUND(C40*F27,4)</f>
        <v>4.1999999999999997E-3</v>
      </c>
      <c r="D47" s="306"/>
      <c r="E47" s="279"/>
      <c r="F47" s="289"/>
      <c r="G47" s="290"/>
    </row>
    <row r="48" spans="1:7" s="257" customFormat="1" ht="13.5" customHeight="1">
      <c r="A48" s="944" t="s">
        <v>787</v>
      </c>
      <c r="B48" s="253" t="s">
        <v>122</v>
      </c>
      <c r="C48" s="305">
        <f>F30</f>
        <v>5.6000000000000001E-2</v>
      </c>
      <c r="D48" s="279" t="s">
        <v>130</v>
      </c>
      <c r="E48" s="275"/>
      <c r="F48" s="280"/>
      <c r="G48" s="277" t="s">
        <v>123</v>
      </c>
    </row>
    <row r="49" spans="1:7" ht="16.5" customHeight="1">
      <c r="A49" s="944" t="s">
        <v>788</v>
      </c>
      <c r="B49" s="253" t="s">
        <v>131</v>
      </c>
      <c r="C49" s="275">
        <f ca="1">ROUND((C33+C39+C41+C45)/(1-C40-D41-D45-C48/(1+'数据-取费表'!B42)),0)</f>
        <v>50800</v>
      </c>
      <c r="D49" s="275"/>
      <c r="E49" s="275"/>
      <c r="F49" s="307"/>
      <c r="G49" s="277" t="s">
        <v>1073</v>
      </c>
    </row>
    <row r="50" spans="1:7" s="301" customFormat="1" ht="24">
      <c r="A50" s="944" t="s">
        <v>789</v>
      </c>
      <c r="B50" s="253" t="s">
        <v>124</v>
      </c>
      <c r="C50" s="275"/>
      <c r="D50" s="275"/>
      <c r="E50" s="275"/>
      <c r="F50" s="307">
        <f>IF('数据-取费表'!B24=0,'数据-取费表'!N16,1)</f>
        <v>1</v>
      </c>
      <c r="G50" s="290" t="s">
        <v>125</v>
      </c>
    </row>
    <row r="51" spans="1:7" ht="16.5" customHeight="1">
      <c r="A51" s="944" t="s">
        <v>790</v>
      </c>
      <c r="B51" s="253" t="s">
        <v>132</v>
      </c>
      <c r="C51" s="275">
        <f ca="1">ROUND(C49*F50,0)</f>
        <v>50800</v>
      </c>
      <c r="D51" s="275"/>
      <c r="E51" s="275"/>
      <c r="F51" s="307"/>
      <c r="G51" s="277" t="s">
        <v>64</v>
      </c>
    </row>
    <row r="52" spans="1:7" s="251" customFormat="1" ht="16.5" thickBot="1">
      <c r="A52" s="308" t="s">
        <v>65</v>
      </c>
      <c r="B52" s="309"/>
      <c r="C52" s="310">
        <f ca="1">C31+C51</f>
        <v>85150</v>
      </c>
      <c r="D52" s="309"/>
      <c r="E52" s="309"/>
      <c r="F52" s="309"/>
      <c r="G52" s="311"/>
    </row>
    <row r="55" spans="1:7" ht="15">
      <c r="B55" s="313" t="s">
        <v>66</v>
      </c>
      <c r="C55" s="314"/>
    </row>
    <row r="56" spans="1:7">
      <c r="B56" s="316" t="s">
        <v>67</v>
      </c>
      <c r="C56" s="317">
        <f ca="1">ROUND(C51/C52,3)</f>
        <v>0.59699999999999998</v>
      </c>
    </row>
    <row r="57" spans="1:7">
      <c r="B57" s="316" t="s">
        <v>68</v>
      </c>
      <c r="C57" s="318">
        <f ca="1">1-C56</f>
        <v>0.40300000000000002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35" t="s">
        <v>156</v>
      </c>
      <c r="B1" s="3335"/>
      <c r="C1" s="3335"/>
      <c r="D1" s="3335"/>
      <c r="E1" s="3335"/>
      <c r="F1" s="333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36" t="s">
        <v>169</v>
      </c>
      <c r="B2" s="3336"/>
      <c r="C2" s="3336"/>
      <c r="D2" s="3336"/>
      <c r="E2" s="3336"/>
      <c r="F2" s="333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3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3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35" t="s">
        <v>871</v>
      </c>
      <c r="B1" s="3335"/>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43265</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topLeftCell="A24" zoomScale="90" zoomScaleNormal="90" workbookViewId="0">
      <selection activeCell="C49" sqref="C4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2520</v>
      </c>
      <c r="B1" s="2575" t="s">
        <v>2634</v>
      </c>
      <c r="C1" s="1630" t="s">
        <v>2522</v>
      </c>
      <c r="D1" s="1617"/>
      <c r="E1" s="2650"/>
      <c r="F1" s="2577" t="s">
        <v>3333</v>
      </c>
      <c r="G1" s="1627" t="s">
        <v>2635</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2319</v>
      </c>
      <c r="B2" s="1414">
        <f>IF(C2="——",ROUND(C49*D3/10000,0),ROUND(C49*D3/10000,0)-D2)</f>
        <v>213357</v>
      </c>
      <c r="C2" s="2579" t="s">
        <v>70</v>
      </c>
      <c r="D2" s="1361" t="e">
        <f ca="1">SUMIF(INDIRECT("'"&amp;F2&amp;"'"&amp;"!A:A"),"承租人权益价值",INDIRECT("'"&amp;F2&amp;"'"&amp;"!c:c"))</f>
        <v>#REF!</v>
      </c>
      <c r="E2" s="2580" t="s">
        <v>2320</v>
      </c>
      <c r="F2" s="2581"/>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7" customFormat="1" ht="28.5" customHeight="1" thickBot="1">
      <c r="A3" s="246" t="s">
        <v>2321</v>
      </c>
      <c r="B3" s="608">
        <f>IF(C2="——",C49,ROUND(B2*10000/D3,0))</f>
        <v>19110</v>
      </c>
      <c r="C3" s="399" t="s">
        <v>2636</v>
      </c>
      <c r="D3" s="398">
        <f>IF(D1="",'数据-汇总表'!E3,SUMIF('数据-汇总表'!$C19:$C33,D1,'数据-汇总表'!$E19:$E33))</f>
        <v>111646.95</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5">
      <c r="A4" s="400" t="s">
        <v>2637</v>
      </c>
      <c r="B4" s="401"/>
      <c r="C4" s="3204" t="s">
        <v>2638</v>
      </c>
      <c r="D4" s="3217"/>
      <c r="E4" s="3218" t="s">
        <v>2639</v>
      </c>
      <c r="F4" s="3219"/>
      <c r="G4" s="3204" t="s">
        <v>2640</v>
      </c>
      <c r="H4" s="3217"/>
      <c r="I4" s="3204" t="s">
        <v>2641</v>
      </c>
      <c r="J4" s="3217"/>
      <c r="K4" s="609" t="s">
        <v>2642</v>
      </c>
      <c r="L4" s="1126"/>
      <c r="M4" s="1127"/>
      <c r="N4" s="1127"/>
      <c r="O4" s="1127"/>
      <c r="P4" s="3220" t="s">
        <v>2643</v>
      </c>
      <c r="Q4" s="3221"/>
      <c r="R4" s="3226" t="s">
        <v>2639</v>
      </c>
      <c r="S4" s="3227"/>
      <c r="T4" s="3226" t="s">
        <v>2640</v>
      </c>
      <c r="U4" s="3227"/>
      <c r="V4" s="3213" t="s">
        <v>2641</v>
      </c>
      <c r="W4" s="3213"/>
      <c r="X4" s="1809"/>
      <c r="Y4" s="3226" t="s">
        <v>2643</v>
      </c>
      <c r="Z4" s="3227"/>
      <c r="AA4" s="3214" t="s">
        <v>2639</v>
      </c>
      <c r="AB4" s="3213" t="s">
        <v>2640</v>
      </c>
      <c r="AC4" s="3214" t="s">
        <v>2641</v>
      </c>
    </row>
    <row r="5" spans="1:29" ht="15">
      <c r="A5" s="403"/>
      <c r="B5" s="404"/>
      <c r="C5" s="3234" t="s">
        <v>2534</v>
      </c>
      <c r="D5" s="3235"/>
      <c r="E5" s="3243" t="s">
        <v>3334</v>
      </c>
      <c r="F5" s="3244"/>
      <c r="G5" s="3234" t="s">
        <v>3335</v>
      </c>
      <c r="H5" s="3235"/>
      <c r="I5" s="3234" t="s">
        <v>3336</v>
      </c>
      <c r="J5" s="3235"/>
      <c r="K5" s="609"/>
      <c r="L5" s="1126"/>
      <c r="M5" s="1127"/>
      <c r="N5" s="1127"/>
      <c r="O5" s="1127"/>
      <c r="P5" s="3222"/>
      <c r="Q5" s="3223"/>
      <c r="R5" s="3228"/>
      <c r="S5" s="3229"/>
      <c r="T5" s="3228"/>
      <c r="U5" s="3229"/>
      <c r="V5" s="3213"/>
      <c r="W5" s="3213"/>
      <c r="X5" s="1809"/>
      <c r="Y5" s="3228"/>
      <c r="Z5" s="3229"/>
      <c r="AA5" s="3215"/>
      <c r="AB5" s="3213"/>
      <c r="AC5" s="3215"/>
    </row>
    <row r="6" spans="1:29" ht="15.75" thickBot="1">
      <c r="A6" s="405"/>
      <c r="B6" s="406"/>
      <c r="C6" s="3240" t="s">
        <v>2538</v>
      </c>
      <c r="D6" s="3233"/>
      <c r="E6" s="3241" t="s">
        <v>3337</v>
      </c>
      <c r="F6" s="3242"/>
      <c r="G6" s="3232" t="s">
        <v>3338</v>
      </c>
      <c r="H6" s="3233"/>
      <c r="I6" s="3232" t="s">
        <v>3339</v>
      </c>
      <c r="J6" s="3233"/>
      <c r="K6" s="609" t="s">
        <v>2539</v>
      </c>
      <c r="L6" s="1126"/>
      <c r="M6" s="1127"/>
      <c r="N6" s="1127"/>
      <c r="O6" s="1127"/>
      <c r="P6" s="3224"/>
      <c r="Q6" s="3225"/>
      <c r="R6" s="3228"/>
      <c r="S6" s="3229"/>
      <c r="T6" s="3230"/>
      <c r="U6" s="3231"/>
      <c r="V6" s="3213"/>
      <c r="W6" s="3213"/>
      <c r="X6" s="1809"/>
      <c r="Y6" s="3230"/>
      <c r="Z6" s="3231"/>
      <c r="AA6" s="3216"/>
      <c r="AB6" s="3213"/>
      <c r="AC6" s="3216"/>
    </row>
    <row r="7" spans="1:29" s="116" customFormat="1" ht="15.75" thickBot="1">
      <c r="A7" s="407" t="s">
        <v>2540</v>
      </c>
      <c r="B7" s="408"/>
      <c r="C7" s="409">
        <f>'数据-取费表'!B2</f>
        <v>43265</v>
      </c>
      <c r="D7" s="410">
        <v>100</v>
      </c>
      <c r="E7" s="411">
        <v>43252</v>
      </c>
      <c r="F7" s="412">
        <f>SUMIF(58:58,YEAR(E7)&amp;"-"&amp;MONTH(E7),59:59)</f>
        <v>100</v>
      </c>
      <c r="G7" s="411">
        <v>43252</v>
      </c>
      <c r="H7" s="410">
        <f>SUMIF(58:58,YEAR(G7)&amp;"-"&amp;MONTH(G7),59:59)</f>
        <v>100</v>
      </c>
      <c r="I7" s="411">
        <v>43252</v>
      </c>
      <c r="J7" s="410">
        <f>SUMIF(58:58,YEAR(I7)&amp;"-"&amp;MONTH(I7),59:59)</f>
        <v>100</v>
      </c>
      <c r="K7" s="610"/>
      <c r="L7" s="1128"/>
      <c r="M7" s="1129"/>
      <c r="N7" s="1129"/>
      <c r="O7" s="1129"/>
      <c r="P7" s="3236" t="s">
        <v>2541</v>
      </c>
      <c r="Q7" s="3238"/>
      <c r="R7" s="769" t="s">
        <v>17</v>
      </c>
      <c r="S7" s="770">
        <f t="shared" ref="S7:S15" si="0">F7</f>
        <v>100</v>
      </c>
      <c r="T7" s="769" t="s">
        <v>17</v>
      </c>
      <c r="U7" s="770">
        <f t="shared" ref="U7:U15" si="1">H7</f>
        <v>100</v>
      </c>
      <c r="V7" s="769" t="s">
        <v>17</v>
      </c>
      <c r="W7" s="770">
        <f t="shared" ref="W7:W15" si="2">J7</f>
        <v>100</v>
      </c>
      <c r="X7" s="771"/>
      <c r="Y7" s="3236" t="s">
        <v>2541</v>
      </c>
      <c r="Z7" s="3237"/>
      <c r="AA7" s="772">
        <f>D7/F7</f>
        <v>1</v>
      </c>
      <c r="AB7" s="772">
        <f>D7/H7</f>
        <v>1</v>
      </c>
      <c r="AC7" s="772">
        <f>D7/J7</f>
        <v>1</v>
      </c>
    </row>
    <row r="8" spans="1:29" s="116" customFormat="1" ht="15.75" thickBot="1">
      <c r="A8" s="407" t="s">
        <v>2542</v>
      </c>
      <c r="B8" s="408"/>
      <c r="C8" s="413" t="s">
        <v>2644</v>
      </c>
      <c r="D8" s="410">
        <v>100</v>
      </c>
      <c r="E8" s="413" t="s">
        <v>2644</v>
      </c>
      <c r="F8" s="412">
        <f>SUMIF(61:61,E8,62:62)-SUMIF(61:61,C8,62:62)+100</f>
        <v>100</v>
      </c>
      <c r="G8" s="413" t="s">
        <v>2644</v>
      </c>
      <c r="H8" s="410">
        <f>SUMIF(61:61,G8,62:62)-SUMIF(61:61,C8,62:62)+100</f>
        <v>100</v>
      </c>
      <c r="I8" s="413" t="s">
        <v>2644</v>
      </c>
      <c r="J8" s="410">
        <f>SUMIF(61:61,I8,62:62)-SUMIF(61:61,C8,62:62)+100</f>
        <v>100</v>
      </c>
      <c r="K8" s="610"/>
      <c r="L8" s="1128"/>
      <c r="M8" s="1129"/>
      <c r="N8" s="1129"/>
      <c r="O8" s="1129"/>
      <c r="P8" s="3236" t="s">
        <v>2544</v>
      </c>
      <c r="Q8" s="3237"/>
      <c r="R8" s="769" t="s">
        <v>17</v>
      </c>
      <c r="S8" s="770">
        <f t="shared" si="0"/>
        <v>100</v>
      </c>
      <c r="T8" s="769" t="s">
        <v>17</v>
      </c>
      <c r="U8" s="770">
        <f t="shared" si="1"/>
        <v>100</v>
      </c>
      <c r="V8" s="769" t="s">
        <v>17</v>
      </c>
      <c r="W8" s="770">
        <f t="shared" si="2"/>
        <v>100</v>
      </c>
      <c r="X8" s="771"/>
      <c r="Y8" s="3236" t="s">
        <v>2544</v>
      </c>
      <c r="Z8" s="3237"/>
      <c r="AA8" s="772">
        <f t="shared" ref="AA8:AA46" si="3">D8/F8</f>
        <v>1</v>
      </c>
      <c r="AB8" s="772">
        <f t="shared" ref="AB8:AB46" si="4">D8/H8</f>
        <v>1</v>
      </c>
      <c r="AC8" s="772">
        <f t="shared" ref="AC8:AC46" si="5">D8/J8</f>
        <v>1</v>
      </c>
    </row>
    <row r="9" spans="1:29" s="116" customFormat="1">
      <c r="A9" s="414" t="s">
        <v>2545</v>
      </c>
      <c r="B9" s="70" t="s">
        <v>2546</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06" t="s">
        <v>2547</v>
      </c>
      <c r="Q9" s="1791" t="str">
        <f t="shared" ref="Q9:Q15" si="6">B9</f>
        <v>用途</v>
      </c>
      <c r="R9" s="769" t="s">
        <v>17</v>
      </c>
      <c r="S9" s="770">
        <f t="shared" si="0"/>
        <v>100</v>
      </c>
      <c r="T9" s="769" t="s">
        <v>17</v>
      </c>
      <c r="U9" s="770">
        <f t="shared" si="1"/>
        <v>100</v>
      </c>
      <c r="V9" s="769" t="s">
        <v>17</v>
      </c>
      <c r="W9" s="770">
        <f t="shared" si="2"/>
        <v>100</v>
      </c>
      <c r="X9" s="771"/>
      <c r="Y9" s="3051"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06"/>
      <c r="Q10" s="1791" t="str">
        <f t="shared" si="6"/>
        <v>土地使用年限（年）</v>
      </c>
      <c r="R10" s="769" t="s">
        <v>17</v>
      </c>
      <c r="S10" s="770">
        <f t="shared" si="0"/>
        <v>100</v>
      </c>
      <c r="T10" s="769" t="s">
        <v>17</v>
      </c>
      <c r="U10" s="770">
        <f t="shared" si="1"/>
        <v>100</v>
      </c>
      <c r="V10" s="769" t="s">
        <v>17</v>
      </c>
      <c r="W10" s="770">
        <f t="shared" si="2"/>
        <v>100</v>
      </c>
      <c r="X10" s="771"/>
      <c r="Y10" s="3051"/>
      <c r="Z10" s="55" t="str">
        <f t="shared" si="7"/>
        <v>土地使用年限（年）</v>
      </c>
      <c r="AA10" s="772">
        <f t="shared" si="3"/>
        <v>1</v>
      </c>
      <c r="AB10" s="772">
        <f t="shared" si="4"/>
        <v>1</v>
      </c>
      <c r="AC10" s="772">
        <f t="shared" si="5"/>
        <v>1</v>
      </c>
    </row>
    <row r="11" spans="1:29" ht="15.75" thickBot="1">
      <c r="A11" s="427"/>
      <c r="B11" s="421" t="s">
        <v>2550</v>
      </c>
      <c r="C11" s="428"/>
      <c r="D11" s="135">
        <v>100</v>
      </c>
      <c r="E11" s="429"/>
      <c r="F11" s="424">
        <f>LOOKUP(E11,68:68,69:69)-LOOKUP(C11,68:68,69:69)+100</f>
        <v>100</v>
      </c>
      <c r="G11" s="428"/>
      <c r="H11" s="135">
        <f>LOOKUP(G11,68:68,69:69)-LOOKUP(C11,68:68,69:69)+100</f>
        <v>100</v>
      </c>
      <c r="I11" s="428"/>
      <c r="J11" s="135">
        <f>LOOKUP(I11,68:68,69:69)-LOOKUP(C11,68:68,69:69)+100</f>
        <v>100</v>
      </c>
      <c r="K11" s="611"/>
      <c r="L11" s="1134"/>
      <c r="M11" s="1127"/>
      <c r="N11" s="1127"/>
      <c r="O11" s="1127"/>
      <c r="P11" s="3206"/>
      <c r="Q11" s="1791" t="str">
        <f t="shared" si="6"/>
        <v>容积率</v>
      </c>
      <c r="R11" s="769" t="s">
        <v>17</v>
      </c>
      <c r="S11" s="770">
        <f t="shared" si="0"/>
        <v>100</v>
      </c>
      <c r="T11" s="769" t="s">
        <v>17</v>
      </c>
      <c r="U11" s="770">
        <f t="shared" si="1"/>
        <v>100</v>
      </c>
      <c r="V11" s="769" t="s">
        <v>17</v>
      </c>
      <c r="W11" s="770">
        <f t="shared" si="2"/>
        <v>100</v>
      </c>
      <c r="X11" s="771"/>
      <c r="Y11" s="3051"/>
      <c r="Z11" s="55" t="str">
        <f t="shared" si="7"/>
        <v>容积率</v>
      </c>
      <c r="AA11" s="772">
        <f t="shared" si="3"/>
        <v>1</v>
      </c>
      <c r="AB11" s="772">
        <f t="shared" si="4"/>
        <v>1</v>
      </c>
      <c r="AC11" s="772">
        <f t="shared" si="5"/>
        <v>1</v>
      </c>
    </row>
    <row r="12" spans="1:29" s="116" customFormat="1" ht="15" hidden="1">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06"/>
      <c r="Q12" s="1791">
        <f t="shared" si="6"/>
        <v>111</v>
      </c>
      <c r="R12" s="769" t="s">
        <v>17</v>
      </c>
      <c r="S12" s="770">
        <f t="shared" si="0"/>
        <v>100</v>
      </c>
      <c r="T12" s="769" t="s">
        <v>17</v>
      </c>
      <c r="U12" s="770">
        <f t="shared" si="1"/>
        <v>100</v>
      </c>
      <c r="V12" s="769" t="s">
        <v>17</v>
      </c>
      <c r="W12" s="770">
        <f t="shared" si="2"/>
        <v>100</v>
      </c>
      <c r="X12" s="771"/>
      <c r="Y12" s="3051"/>
      <c r="Z12" s="55">
        <f t="shared" si="7"/>
        <v>111</v>
      </c>
      <c r="AA12" s="772">
        <f>D12/F12</f>
        <v>1</v>
      </c>
      <c r="AB12" s="772">
        <f>D12/H12</f>
        <v>1</v>
      </c>
      <c r="AC12" s="772">
        <f>D12/J12</f>
        <v>1</v>
      </c>
    </row>
    <row r="13" spans="1:29" ht="15" hidden="1">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06"/>
      <c r="Q13" s="1791">
        <f t="shared" si="6"/>
        <v>111</v>
      </c>
      <c r="R13" s="769" t="s">
        <v>17</v>
      </c>
      <c r="S13" s="770">
        <f t="shared" si="0"/>
        <v>100</v>
      </c>
      <c r="T13" s="769" t="s">
        <v>17</v>
      </c>
      <c r="U13" s="770">
        <f t="shared" si="1"/>
        <v>100</v>
      </c>
      <c r="V13" s="769" t="s">
        <v>17</v>
      </c>
      <c r="W13" s="770">
        <f t="shared" si="2"/>
        <v>100</v>
      </c>
      <c r="X13" s="771"/>
      <c r="Y13" s="3051"/>
      <c r="Z13" s="55">
        <f t="shared" si="7"/>
        <v>111</v>
      </c>
      <c r="AA13" s="772">
        <f t="shared" si="3"/>
        <v>1</v>
      </c>
      <c r="AB13" s="772">
        <f t="shared" si="4"/>
        <v>1</v>
      </c>
      <c r="AC13" s="772">
        <f t="shared" si="5"/>
        <v>1</v>
      </c>
    </row>
    <row r="14" spans="1:29" ht="15.75" hidden="1"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06"/>
      <c r="Q14" s="1791">
        <f t="shared" si="6"/>
        <v>111</v>
      </c>
      <c r="R14" s="769" t="s">
        <v>17</v>
      </c>
      <c r="S14" s="770">
        <f t="shared" si="0"/>
        <v>100</v>
      </c>
      <c r="T14" s="769" t="s">
        <v>17</v>
      </c>
      <c r="U14" s="770">
        <f t="shared" si="1"/>
        <v>100</v>
      </c>
      <c r="V14" s="769" t="s">
        <v>17</v>
      </c>
      <c r="W14" s="770">
        <f t="shared" si="2"/>
        <v>100</v>
      </c>
      <c r="X14" s="771"/>
      <c r="Y14" s="3051"/>
      <c r="Z14" s="55">
        <f t="shared" si="7"/>
        <v>111</v>
      </c>
      <c r="AA14" s="772">
        <f t="shared" si="3"/>
        <v>1</v>
      </c>
      <c r="AB14" s="772">
        <f t="shared" si="4"/>
        <v>1</v>
      </c>
      <c r="AC14" s="772">
        <f t="shared" si="5"/>
        <v>1</v>
      </c>
    </row>
    <row r="15" spans="1:29" ht="85.5">
      <c r="A15" s="439" t="s">
        <v>2551</v>
      </c>
      <c r="B15" s="68" t="s">
        <v>2645</v>
      </c>
      <c r="C15" s="2596" t="str">
        <f>估价对象房地状况!C4</f>
        <v>估价对象位于曲江新区，周边商业氛围较不成熟，人流量一般，商业繁华度一般。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78" t="s">
        <v>2552</v>
      </c>
      <c r="Q15" s="1806" t="str">
        <f t="shared" si="6"/>
        <v>商业繁华度</v>
      </c>
      <c r="R15" s="773" t="s">
        <v>17</v>
      </c>
      <c r="S15" s="774">
        <f t="shared" si="0"/>
        <v>100</v>
      </c>
      <c r="T15" s="773" t="s">
        <v>17</v>
      </c>
      <c r="U15" s="774">
        <f t="shared" si="1"/>
        <v>100</v>
      </c>
      <c r="V15" s="773" t="s">
        <v>17</v>
      </c>
      <c r="W15" s="774">
        <f t="shared" si="2"/>
        <v>100</v>
      </c>
      <c r="X15" s="1809"/>
      <c r="Y15" s="3209" t="s">
        <v>2552</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79"/>
      <c r="Q16" s="1806"/>
      <c r="R16" s="773"/>
      <c r="S16" s="774"/>
      <c r="T16" s="773"/>
      <c r="U16" s="774"/>
      <c r="V16" s="773"/>
      <c r="W16" s="774"/>
      <c r="X16" s="1809"/>
      <c r="Y16" s="3210"/>
      <c r="Z16" s="1810"/>
      <c r="AA16" s="1807">
        <v>1</v>
      </c>
      <c r="AB16" s="1807">
        <v>1</v>
      </c>
      <c r="AC16" s="1807">
        <v>1</v>
      </c>
    </row>
    <row r="17" spans="1:29" ht="99.75">
      <c r="A17" s="427"/>
      <c r="B17" s="450" t="s">
        <v>2089</v>
      </c>
      <c r="C17" s="2600" t="str">
        <f>估价对象房地状况!C6</f>
        <v>估价对象周边道路通达状况一般、公共交通通达情况一般、停车便捷程度一般，综合评价交通便捷度一般。</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79"/>
      <c r="Q17" s="1806" t="str">
        <f>B17</f>
        <v>交通便捷度</v>
      </c>
      <c r="R17" s="773" t="s">
        <v>17</v>
      </c>
      <c r="S17" s="774">
        <f>F17</f>
        <v>100</v>
      </c>
      <c r="T17" s="773" t="s">
        <v>17</v>
      </c>
      <c r="U17" s="774">
        <f>H17</f>
        <v>100</v>
      </c>
      <c r="V17" s="773" t="s">
        <v>17</v>
      </c>
      <c r="W17" s="774">
        <f>J17</f>
        <v>100</v>
      </c>
      <c r="X17" s="1809"/>
      <c r="Y17" s="3210"/>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27"/>
      <c r="P18" s="3279"/>
      <c r="Q18" s="1806"/>
      <c r="R18" s="773"/>
      <c r="S18" s="774"/>
      <c r="T18" s="773"/>
      <c r="U18" s="774"/>
      <c r="V18" s="773"/>
      <c r="W18" s="774"/>
      <c r="X18" s="1809"/>
      <c r="Y18" s="3210"/>
      <c r="Z18" s="1810"/>
      <c r="AA18" s="1807">
        <v>1</v>
      </c>
      <c r="AB18" s="1807">
        <v>1</v>
      </c>
      <c r="AC18" s="1807">
        <v>1</v>
      </c>
    </row>
    <row r="19" spans="1:29" ht="199.5">
      <c r="A19" s="427"/>
      <c r="B19" s="450" t="s">
        <v>2646</v>
      </c>
      <c r="C19" s="2600" t="str">
        <f>估价对象房地状况!C7</f>
        <v>估价对象所在区域2公里范围内有：银行（恒丰银行、中国建设银行），商场（佳乐购物中心、西安安瑞桥超市），医院（西北妇女儿童医院），学校（三兆小学、曲江第二幼儿园）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79"/>
      <c r="Q19" s="1806" t="str">
        <f>B19</f>
        <v>公共配套设施</v>
      </c>
      <c r="R19" s="773" t="s">
        <v>17</v>
      </c>
      <c r="S19" s="774">
        <f>F19</f>
        <v>100</v>
      </c>
      <c r="T19" s="773" t="s">
        <v>17</v>
      </c>
      <c r="U19" s="774">
        <f>H19</f>
        <v>100</v>
      </c>
      <c r="V19" s="773" t="s">
        <v>17</v>
      </c>
      <c r="W19" s="774">
        <f>J19</f>
        <v>100</v>
      </c>
      <c r="X19" s="1809"/>
      <c r="Y19" s="3210"/>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27"/>
      <c r="P20" s="3279"/>
      <c r="Q20" s="1806"/>
      <c r="R20" s="773"/>
      <c r="S20" s="774"/>
      <c r="T20" s="773"/>
      <c r="U20" s="774"/>
      <c r="V20" s="773"/>
      <c r="W20" s="774"/>
      <c r="X20" s="1809"/>
      <c r="Y20" s="3210"/>
      <c r="Z20" s="1810"/>
      <c r="AA20" s="1807">
        <v>1</v>
      </c>
      <c r="AB20" s="1807">
        <v>1</v>
      </c>
      <c r="AC20" s="1807">
        <v>1</v>
      </c>
    </row>
    <row r="21" spans="1:29" ht="42.75">
      <c r="A21" s="427"/>
      <c r="B21" s="1380" t="s">
        <v>2647</v>
      </c>
      <c r="C21" s="2600" t="str">
        <f>估价对象房地状况!C8</f>
        <v>估价对象所在区域基础设施水平达到“七通”。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79"/>
      <c r="Q21" s="1806" t="str">
        <f>B21</f>
        <v>基础设施水平</v>
      </c>
      <c r="R21" s="773" t="s">
        <v>17</v>
      </c>
      <c r="S21" s="774">
        <f>F21</f>
        <v>100</v>
      </c>
      <c r="T21" s="773" t="s">
        <v>17</v>
      </c>
      <c r="U21" s="774">
        <f>H21</f>
        <v>100</v>
      </c>
      <c r="V21" s="773" t="s">
        <v>17</v>
      </c>
      <c r="W21" s="774">
        <f>J21</f>
        <v>100</v>
      </c>
      <c r="X21" s="1809"/>
      <c r="Y21" s="3210"/>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27"/>
      <c r="P22" s="3279"/>
      <c r="Q22" s="1806"/>
      <c r="R22" s="773"/>
      <c r="S22" s="774"/>
      <c r="T22" s="773"/>
      <c r="U22" s="774"/>
      <c r="V22" s="773"/>
      <c r="W22" s="774"/>
      <c r="X22" s="1809"/>
      <c r="Y22" s="3210"/>
      <c r="Z22" s="1810"/>
      <c r="AA22" s="1807">
        <v>1</v>
      </c>
      <c r="AB22" s="1807">
        <v>1</v>
      </c>
      <c r="AC22" s="1807">
        <v>1</v>
      </c>
    </row>
    <row r="23" spans="1:29" ht="85.5">
      <c r="A23" s="427"/>
      <c r="B23" s="450" t="s">
        <v>2094</v>
      </c>
      <c r="C23" s="2657" t="str">
        <f>估价对象房地状况!C9</f>
        <v>区域自然环境：杜陵遗址生态公园；人文环境：厦门华侨博物馆；综合评价环境状况较好。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79"/>
      <c r="Q23" s="1806" t="str">
        <f>B23</f>
        <v>自然及人文环境</v>
      </c>
      <c r="R23" s="773" t="s">
        <v>17</v>
      </c>
      <c r="S23" s="774">
        <f>F23</f>
        <v>100</v>
      </c>
      <c r="T23" s="773" t="s">
        <v>17</v>
      </c>
      <c r="U23" s="774">
        <f>H23</f>
        <v>100</v>
      </c>
      <c r="V23" s="773" t="s">
        <v>17</v>
      </c>
      <c r="W23" s="774">
        <f>J23</f>
        <v>100</v>
      </c>
      <c r="X23" s="1809"/>
      <c r="Y23" s="3210"/>
      <c r="Z23" s="1810" t="str">
        <f>Q23</f>
        <v>自然及人文环境</v>
      </c>
      <c r="AA23" s="1807">
        <f t="shared" si="3"/>
        <v>1</v>
      </c>
      <c r="AB23" s="1807">
        <f t="shared" si="4"/>
        <v>1</v>
      </c>
      <c r="AC23" s="1807">
        <f t="shared" si="5"/>
        <v>1</v>
      </c>
    </row>
    <row r="24" spans="1:29" ht="15">
      <c r="A24" s="427"/>
      <c r="B24" s="455"/>
      <c r="C24" s="446"/>
      <c r="D24" s="447"/>
      <c r="E24" s="2598"/>
      <c r="F24" s="448"/>
      <c r="G24" s="2597"/>
      <c r="H24" s="447"/>
      <c r="I24" s="2598"/>
      <c r="J24" s="447"/>
      <c r="K24" s="614"/>
      <c r="L24" s="1136"/>
      <c r="M24" s="1127"/>
      <c r="N24" s="1127"/>
      <c r="O24" s="1127"/>
      <c r="P24" s="3279"/>
      <c r="Q24" s="1806"/>
      <c r="R24" s="773"/>
      <c r="S24" s="774"/>
      <c r="T24" s="773"/>
      <c r="U24" s="774"/>
      <c r="V24" s="773"/>
      <c r="W24" s="774"/>
      <c r="X24" s="1809"/>
      <c r="Y24" s="3210"/>
      <c r="Z24" s="1810"/>
      <c r="AA24" s="1807">
        <v>1</v>
      </c>
      <c r="AB24" s="1807">
        <v>1</v>
      </c>
      <c r="AC24" s="1807">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79"/>
      <c r="Q25" s="1806" t="str">
        <f t="shared" ref="Q25:Q46" si="11">B25</f>
        <v>临街状况</v>
      </c>
      <c r="R25" s="773" t="s">
        <v>17</v>
      </c>
      <c r="S25" s="774">
        <f>F25</f>
        <v>100</v>
      </c>
      <c r="T25" s="773" t="s">
        <v>17</v>
      </c>
      <c r="U25" s="774">
        <f>H25</f>
        <v>100</v>
      </c>
      <c r="V25" s="773" t="s">
        <v>17</v>
      </c>
      <c r="W25" s="774">
        <f>J25</f>
        <v>100</v>
      </c>
      <c r="X25" s="1809"/>
      <c r="Y25" s="3210"/>
      <c r="Z25" s="1810" t="str">
        <f>Q25</f>
        <v>临街状况</v>
      </c>
      <c r="AA25" s="1807">
        <f t="shared" si="3"/>
        <v>1</v>
      </c>
      <c r="AB25" s="1807">
        <f t="shared" si="4"/>
        <v>1</v>
      </c>
      <c r="AC25" s="1807">
        <f t="shared" si="5"/>
        <v>1</v>
      </c>
    </row>
    <row r="26" spans="1:29" ht="15">
      <c r="A26" s="427"/>
      <c r="B26" s="1382" t="s">
        <v>2649</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79"/>
      <c r="Q26" s="1806" t="str">
        <f t="shared" si="11"/>
        <v>平面位置/可视性</v>
      </c>
      <c r="R26" s="773" t="s">
        <v>17</v>
      </c>
      <c r="S26" s="774">
        <f>F26</f>
        <v>100</v>
      </c>
      <c r="T26" s="773" t="s">
        <v>17</v>
      </c>
      <c r="U26" s="774">
        <f>H26</f>
        <v>100</v>
      </c>
      <c r="V26" s="773" t="s">
        <v>17</v>
      </c>
      <c r="W26" s="774">
        <f>J26</f>
        <v>100</v>
      </c>
      <c r="X26" s="1809"/>
      <c r="Y26" s="3210"/>
      <c r="Z26" s="1810" t="str">
        <f>Q26</f>
        <v>平面位置/可视性</v>
      </c>
      <c r="AA26" s="1807">
        <f t="shared" si="3"/>
        <v>1</v>
      </c>
      <c r="AB26" s="1807">
        <f t="shared" si="4"/>
        <v>1</v>
      </c>
      <c r="AC26" s="1807">
        <f t="shared" si="5"/>
        <v>1</v>
      </c>
    </row>
    <row r="27" spans="1:29" s="116" customFormat="1" ht="15">
      <c r="A27" s="430"/>
      <c r="B27" s="450" t="s">
        <v>2650</v>
      </c>
      <c r="C27" s="2658"/>
      <c r="D27" s="461">
        <v>100</v>
      </c>
      <c r="E27" s="2658"/>
      <c r="F27" s="463">
        <f>SUMIF(90:90,E27,91:91)-SUMIF(90:90,C27,91:91)+100</f>
        <v>100</v>
      </c>
      <c r="G27" s="2658"/>
      <c r="H27" s="461">
        <f>SUMIF(90:90,G27,91:91)-SUMIF(90:90,C27,91:91)+100</f>
        <v>100</v>
      </c>
      <c r="I27" s="2658"/>
      <c r="J27" s="461">
        <f>SUMIF(90:90,I27,91:91)-SUMIF(90:90,C27,91:91)+100</f>
        <v>100</v>
      </c>
      <c r="K27" s="611"/>
      <c r="L27" s="1128"/>
      <c r="M27" s="1129"/>
      <c r="N27" s="1129"/>
      <c r="O27" s="1129"/>
      <c r="P27" s="3279"/>
      <c r="Q27" s="1791" t="str">
        <f t="shared" si="11"/>
        <v>人流量</v>
      </c>
      <c r="R27" s="769" t="s">
        <v>17</v>
      </c>
      <c r="S27" s="770">
        <f>F27</f>
        <v>100</v>
      </c>
      <c r="T27" s="769" t="s">
        <v>17</v>
      </c>
      <c r="U27" s="770">
        <f>H27</f>
        <v>100</v>
      </c>
      <c r="V27" s="769" t="s">
        <v>17</v>
      </c>
      <c r="W27" s="770">
        <f>J27</f>
        <v>100</v>
      </c>
      <c r="X27" s="771"/>
      <c r="Y27" s="3210"/>
      <c r="Z27" s="55" t="str">
        <f>Q27</f>
        <v>人流量</v>
      </c>
      <c r="AA27" s="1807">
        <f>D27/F27</f>
        <v>1</v>
      </c>
      <c r="AB27" s="1807">
        <f>D27/H27</f>
        <v>1</v>
      </c>
      <c r="AC27" s="1807">
        <f>D27/J27</f>
        <v>1</v>
      </c>
    </row>
    <row r="28" spans="1:29" ht="15.75" thickBot="1">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79"/>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10"/>
      <c r="Z28" s="1810" t="str">
        <f t="shared" ref="Z28:Z46" si="15">Q28</f>
        <v>楼层</v>
      </c>
      <c r="AA28" s="1807">
        <f t="shared" si="3"/>
        <v>1</v>
      </c>
      <c r="AB28" s="1807">
        <f t="shared" si="4"/>
        <v>1</v>
      </c>
      <c r="AC28" s="1807">
        <f t="shared" si="5"/>
        <v>1</v>
      </c>
    </row>
    <row r="29" spans="1:29" ht="15" hidden="1">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79"/>
      <c r="Q29" s="1806">
        <f t="shared" si="11"/>
        <v>111</v>
      </c>
      <c r="R29" s="773" t="s">
        <v>17</v>
      </c>
      <c r="S29" s="774">
        <f t="shared" si="12"/>
        <v>100</v>
      </c>
      <c r="T29" s="773" t="s">
        <v>17</v>
      </c>
      <c r="U29" s="774">
        <f t="shared" si="13"/>
        <v>100</v>
      </c>
      <c r="V29" s="773" t="s">
        <v>17</v>
      </c>
      <c r="W29" s="774">
        <f t="shared" si="14"/>
        <v>100</v>
      </c>
      <c r="X29" s="1809"/>
      <c r="Y29" s="3210"/>
      <c r="Z29" s="1810">
        <f t="shared" si="15"/>
        <v>111</v>
      </c>
      <c r="AA29" s="1807">
        <f t="shared" si="3"/>
        <v>1</v>
      </c>
      <c r="AB29" s="1807">
        <f t="shared" si="4"/>
        <v>1</v>
      </c>
      <c r="AC29" s="1807">
        <f t="shared" si="5"/>
        <v>1</v>
      </c>
    </row>
    <row r="30" spans="1:29" ht="15" hidden="1">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79"/>
      <c r="Q30" s="1806">
        <f t="shared" si="11"/>
        <v>111</v>
      </c>
      <c r="R30" s="773" t="s">
        <v>17</v>
      </c>
      <c r="S30" s="774">
        <f t="shared" si="12"/>
        <v>100</v>
      </c>
      <c r="T30" s="773" t="s">
        <v>17</v>
      </c>
      <c r="U30" s="774">
        <f t="shared" si="13"/>
        <v>100</v>
      </c>
      <c r="V30" s="773" t="s">
        <v>17</v>
      </c>
      <c r="W30" s="774">
        <f t="shared" si="14"/>
        <v>100</v>
      </c>
      <c r="X30" s="1809"/>
      <c r="Y30" s="3210"/>
      <c r="Z30" s="1810">
        <f t="shared" si="15"/>
        <v>111</v>
      </c>
      <c r="AA30" s="1807">
        <f t="shared" si="3"/>
        <v>1</v>
      </c>
      <c r="AB30" s="1807">
        <f t="shared" si="4"/>
        <v>1</v>
      </c>
      <c r="AC30" s="1807">
        <f t="shared" si="5"/>
        <v>1</v>
      </c>
    </row>
    <row r="31" spans="1:29" ht="15.75" hidden="1"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79"/>
      <c r="Q31" s="1806">
        <f t="shared" si="11"/>
        <v>111</v>
      </c>
      <c r="R31" s="773" t="s">
        <v>17</v>
      </c>
      <c r="S31" s="774">
        <f t="shared" si="12"/>
        <v>100</v>
      </c>
      <c r="T31" s="773" t="s">
        <v>17</v>
      </c>
      <c r="U31" s="774">
        <f t="shared" si="13"/>
        <v>100</v>
      </c>
      <c r="V31" s="773" t="s">
        <v>17</v>
      </c>
      <c r="W31" s="774">
        <f t="shared" si="14"/>
        <v>100</v>
      </c>
      <c r="X31" s="1809"/>
      <c r="Y31" s="3210"/>
      <c r="Z31" s="1810">
        <f t="shared" si="15"/>
        <v>111</v>
      </c>
      <c r="AA31" s="1807">
        <f t="shared" si="3"/>
        <v>1</v>
      </c>
      <c r="AB31" s="1807">
        <f t="shared" si="4"/>
        <v>1</v>
      </c>
      <c r="AC31" s="1807">
        <f t="shared" si="5"/>
        <v>1</v>
      </c>
    </row>
    <row r="32" spans="1:29" ht="15">
      <c r="A32" s="439" t="s">
        <v>2555</v>
      </c>
      <c r="B32" s="70" t="s">
        <v>2652</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274" t="s">
        <v>2557</v>
      </c>
      <c r="Q32" s="1806" t="str">
        <f t="shared" si="11"/>
        <v>商业类型</v>
      </c>
      <c r="R32" s="773" t="s">
        <v>17</v>
      </c>
      <c r="S32" s="774">
        <f t="shared" si="12"/>
        <v>100</v>
      </c>
      <c r="T32" s="773" t="s">
        <v>17</v>
      </c>
      <c r="U32" s="774">
        <f t="shared" si="13"/>
        <v>100</v>
      </c>
      <c r="V32" s="773" t="s">
        <v>17</v>
      </c>
      <c r="W32" s="774">
        <f t="shared" si="14"/>
        <v>100</v>
      </c>
      <c r="X32" s="1809"/>
      <c r="Y32" s="3212" t="s">
        <v>2557</v>
      </c>
      <c r="Z32" s="1810" t="str">
        <f t="shared" si="15"/>
        <v>商业类型</v>
      </c>
      <c r="AA32" s="1807">
        <f t="shared" si="3"/>
        <v>1</v>
      </c>
      <c r="AB32" s="1807">
        <f t="shared" si="4"/>
        <v>1</v>
      </c>
      <c r="AC32" s="1807">
        <f t="shared" si="5"/>
        <v>1</v>
      </c>
    </row>
    <row r="33" spans="1:29" s="470" customFormat="1" ht="15">
      <c r="A33" s="467"/>
      <c r="B33" s="421" t="s">
        <v>2558</v>
      </c>
      <c r="C33" s="468">
        <v>840.91</v>
      </c>
      <c r="D33" s="135">
        <v>100</v>
      </c>
      <c r="E33" s="429">
        <v>230</v>
      </c>
      <c r="F33" s="424">
        <f>LOOKUP(E33,103:103,104:104)-LOOKUP(C33,103:103,104:104)+100</f>
        <v>104</v>
      </c>
      <c r="G33" s="428">
        <v>500</v>
      </c>
      <c r="H33" s="135">
        <f>LOOKUP(G33,103:103,104:104)-LOOKUP(C33,103:103,104:104)+100</f>
        <v>102</v>
      </c>
      <c r="I33" s="428">
        <v>750</v>
      </c>
      <c r="J33" s="135">
        <f>LOOKUP(I33,103:103,104:104)-LOOKUP(C33,103:103,104:104)+100</f>
        <v>100</v>
      </c>
      <c r="K33" s="612"/>
      <c r="L33" s="1134"/>
      <c r="M33" s="1137"/>
      <c r="N33" s="1137"/>
      <c r="O33" s="1137"/>
      <c r="P33" s="3275"/>
      <c r="Q33" s="775" t="str">
        <f t="shared" si="11"/>
        <v>项目建筑规模</v>
      </c>
      <c r="R33" s="776" t="s">
        <v>17</v>
      </c>
      <c r="S33" s="777">
        <f t="shared" si="12"/>
        <v>104</v>
      </c>
      <c r="T33" s="776" t="s">
        <v>17</v>
      </c>
      <c r="U33" s="777">
        <f t="shared" si="13"/>
        <v>102</v>
      </c>
      <c r="V33" s="776" t="s">
        <v>17</v>
      </c>
      <c r="W33" s="777">
        <f t="shared" si="14"/>
        <v>100</v>
      </c>
      <c r="X33" s="778"/>
      <c r="Y33" s="3212"/>
      <c r="Z33" s="779" t="str">
        <f t="shared" si="15"/>
        <v>项目建筑规模</v>
      </c>
      <c r="AA33" s="1807">
        <f t="shared" si="3"/>
        <v>0.96153846153846156</v>
      </c>
      <c r="AB33" s="1807">
        <f t="shared" si="4"/>
        <v>0.98039215686274506</v>
      </c>
      <c r="AC33" s="1807">
        <f t="shared" si="5"/>
        <v>1</v>
      </c>
    </row>
    <row r="34" spans="1:29" ht="15">
      <c r="A34" s="471"/>
      <c r="B34" s="421" t="s">
        <v>2559</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275"/>
      <c r="Q34" s="1806" t="str">
        <f t="shared" si="11"/>
        <v>建筑结构</v>
      </c>
      <c r="R34" s="773" t="s">
        <v>17</v>
      </c>
      <c r="S34" s="774">
        <f t="shared" si="12"/>
        <v>100</v>
      </c>
      <c r="T34" s="773" t="s">
        <v>17</v>
      </c>
      <c r="U34" s="774">
        <f t="shared" si="13"/>
        <v>100</v>
      </c>
      <c r="V34" s="773" t="s">
        <v>17</v>
      </c>
      <c r="W34" s="774">
        <f t="shared" si="14"/>
        <v>100</v>
      </c>
      <c r="X34" s="1809"/>
      <c r="Y34" s="3212"/>
      <c r="Z34" s="1810" t="str">
        <f t="shared" si="15"/>
        <v>建筑结构</v>
      </c>
      <c r="AA34" s="1807">
        <f t="shared" si="3"/>
        <v>1</v>
      </c>
      <c r="AB34" s="1807">
        <f t="shared" si="4"/>
        <v>1</v>
      </c>
      <c r="AC34" s="1807">
        <f t="shared" si="5"/>
        <v>1</v>
      </c>
    </row>
    <row r="35" spans="1:29" ht="15">
      <c r="A35" s="471"/>
      <c r="B35" s="421" t="s">
        <v>2653</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275"/>
      <c r="Q35" s="1806" t="str">
        <f t="shared" si="11"/>
        <v>公共部分装修</v>
      </c>
      <c r="R35" s="773" t="s">
        <v>17</v>
      </c>
      <c r="S35" s="774">
        <f t="shared" si="12"/>
        <v>100</v>
      </c>
      <c r="T35" s="773" t="s">
        <v>17</v>
      </c>
      <c r="U35" s="774">
        <f t="shared" si="13"/>
        <v>100</v>
      </c>
      <c r="V35" s="773" t="s">
        <v>17</v>
      </c>
      <c r="W35" s="774">
        <f t="shared" si="14"/>
        <v>100</v>
      </c>
      <c r="X35" s="1809"/>
      <c r="Y35" s="3212"/>
      <c r="Z35" s="1810" t="str">
        <f t="shared" si="15"/>
        <v>公共部分装修</v>
      </c>
      <c r="AA35" s="1807">
        <f t="shared" si="3"/>
        <v>1</v>
      </c>
      <c r="AB35" s="1807">
        <f t="shared" si="4"/>
        <v>1</v>
      </c>
      <c r="AC35" s="1807">
        <f t="shared" si="5"/>
        <v>1</v>
      </c>
    </row>
    <row r="36" spans="1:29" ht="15">
      <c r="A36" s="471"/>
      <c r="B36" s="421" t="s">
        <v>2654</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36"/>
      <c r="M36" s="1127"/>
      <c r="N36" s="1127"/>
      <c r="O36" s="1127"/>
      <c r="P36" s="3275"/>
      <c r="Q36" s="1806" t="str">
        <f t="shared" si="11"/>
        <v>成新度</v>
      </c>
      <c r="R36" s="773" t="s">
        <v>17</v>
      </c>
      <c r="S36" s="774">
        <f t="shared" si="12"/>
        <v>100</v>
      </c>
      <c r="T36" s="773" t="s">
        <v>17</v>
      </c>
      <c r="U36" s="774">
        <f t="shared" si="13"/>
        <v>100</v>
      </c>
      <c r="V36" s="773" t="s">
        <v>17</v>
      </c>
      <c r="W36" s="774">
        <f t="shared" si="14"/>
        <v>100</v>
      </c>
      <c r="X36" s="1809"/>
      <c r="Y36" s="3212"/>
      <c r="Z36" s="1810" t="str">
        <f t="shared" si="15"/>
        <v>成新度</v>
      </c>
      <c r="AA36" s="1807">
        <f t="shared" si="3"/>
        <v>1</v>
      </c>
      <c r="AB36" s="1807">
        <f t="shared" si="4"/>
        <v>1</v>
      </c>
      <c r="AC36" s="1807">
        <f t="shared" si="5"/>
        <v>1</v>
      </c>
    </row>
    <row r="37" spans="1:29" s="116" customFormat="1" ht="15">
      <c r="A37" s="472"/>
      <c r="B37" s="421" t="s">
        <v>2655</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275"/>
      <c r="Q37" s="1791" t="str">
        <f t="shared" si="11"/>
        <v>市政基础设施</v>
      </c>
      <c r="R37" s="769" t="s">
        <v>17</v>
      </c>
      <c r="S37" s="770">
        <f t="shared" si="12"/>
        <v>100</v>
      </c>
      <c r="T37" s="769" t="s">
        <v>17</v>
      </c>
      <c r="U37" s="770">
        <f t="shared" si="13"/>
        <v>100</v>
      </c>
      <c r="V37" s="769" t="s">
        <v>17</v>
      </c>
      <c r="W37" s="770">
        <f t="shared" si="14"/>
        <v>100</v>
      </c>
      <c r="X37" s="771"/>
      <c r="Y37" s="3212"/>
      <c r="Z37" s="55" t="str">
        <f t="shared" si="15"/>
        <v>市政基础设施</v>
      </c>
      <c r="AA37" s="772">
        <f t="shared" si="3"/>
        <v>1</v>
      </c>
      <c r="AB37" s="772">
        <f t="shared" si="4"/>
        <v>1</v>
      </c>
      <c r="AC37" s="772">
        <f t="shared" si="5"/>
        <v>1</v>
      </c>
    </row>
    <row r="38" spans="1:29" ht="15">
      <c r="A38" s="471"/>
      <c r="B38" s="421" t="s">
        <v>2656</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275" t="s">
        <v>2557</v>
      </c>
      <c r="Q38" s="1806" t="str">
        <f t="shared" si="11"/>
        <v>业态</v>
      </c>
      <c r="R38" s="773" t="s">
        <v>17</v>
      </c>
      <c r="S38" s="774">
        <f t="shared" si="12"/>
        <v>100</v>
      </c>
      <c r="T38" s="773" t="s">
        <v>17</v>
      </c>
      <c r="U38" s="774">
        <f t="shared" si="13"/>
        <v>100</v>
      </c>
      <c r="V38" s="773" t="s">
        <v>17</v>
      </c>
      <c r="W38" s="774">
        <f t="shared" si="14"/>
        <v>100</v>
      </c>
      <c r="X38" s="1809"/>
      <c r="Y38" s="3212" t="s">
        <v>2557</v>
      </c>
      <c r="Z38" s="1810" t="str">
        <f t="shared" si="15"/>
        <v>业态</v>
      </c>
      <c r="AA38" s="1807">
        <f t="shared" si="3"/>
        <v>1</v>
      </c>
      <c r="AB38" s="1807">
        <f t="shared" si="4"/>
        <v>1</v>
      </c>
      <c r="AC38" s="1807">
        <f t="shared" si="5"/>
        <v>1</v>
      </c>
    </row>
    <row r="39" spans="1:29" ht="15">
      <c r="A39" s="471"/>
      <c r="B39" s="421" t="s">
        <v>2657</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275"/>
      <c r="Q39" s="1806" t="str">
        <f t="shared" si="11"/>
        <v>层高</v>
      </c>
      <c r="R39" s="773" t="s">
        <v>17</v>
      </c>
      <c r="S39" s="774">
        <f t="shared" si="12"/>
        <v>100</v>
      </c>
      <c r="T39" s="773" t="s">
        <v>17</v>
      </c>
      <c r="U39" s="774">
        <f t="shared" si="13"/>
        <v>100</v>
      </c>
      <c r="V39" s="773" t="s">
        <v>17</v>
      </c>
      <c r="W39" s="774">
        <f t="shared" si="14"/>
        <v>100</v>
      </c>
      <c r="X39" s="1809"/>
      <c r="Y39" s="3212"/>
      <c r="Z39" s="1810" t="str">
        <f t="shared" si="15"/>
        <v>层高</v>
      </c>
      <c r="AA39" s="1807">
        <f t="shared" si="3"/>
        <v>1</v>
      </c>
      <c r="AB39" s="1807">
        <f t="shared" si="4"/>
        <v>1</v>
      </c>
      <c r="AC39" s="1807">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75"/>
      <c r="Q40" s="1806" t="str">
        <f t="shared" si="11"/>
        <v>单套建筑面积</v>
      </c>
      <c r="R40" s="773" t="s">
        <v>17</v>
      </c>
      <c r="S40" s="774">
        <f t="shared" si="12"/>
        <v>100</v>
      </c>
      <c r="T40" s="773" t="s">
        <v>17</v>
      </c>
      <c r="U40" s="774">
        <f t="shared" si="13"/>
        <v>100</v>
      </c>
      <c r="V40" s="773" t="s">
        <v>17</v>
      </c>
      <c r="W40" s="774">
        <f t="shared" si="14"/>
        <v>100</v>
      </c>
      <c r="X40" s="1809"/>
      <c r="Y40" s="3212"/>
      <c r="Z40" s="1810" t="str">
        <f t="shared" si="15"/>
        <v>单套建筑面积</v>
      </c>
      <c r="AA40" s="1807">
        <f t="shared" si="3"/>
        <v>1</v>
      </c>
      <c r="AB40" s="1807">
        <f t="shared" si="4"/>
        <v>1</v>
      </c>
      <c r="AC40" s="1807">
        <f t="shared" si="5"/>
        <v>1</v>
      </c>
    </row>
    <row r="41" spans="1:29" s="470" customFormat="1" ht="15">
      <c r="A41" s="467"/>
      <c r="B41" s="1808"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75"/>
      <c r="Q41" s="775" t="str">
        <f t="shared" si="11"/>
        <v>进深比</v>
      </c>
      <c r="R41" s="776" t="s">
        <v>17</v>
      </c>
      <c r="S41" s="777">
        <f t="shared" si="12"/>
        <v>100</v>
      </c>
      <c r="T41" s="776" t="s">
        <v>17</v>
      </c>
      <c r="U41" s="777">
        <f t="shared" si="13"/>
        <v>100</v>
      </c>
      <c r="V41" s="776" t="s">
        <v>17</v>
      </c>
      <c r="W41" s="777">
        <f t="shared" si="14"/>
        <v>100</v>
      </c>
      <c r="X41" s="778"/>
      <c r="Y41" s="3212"/>
      <c r="Z41" s="779" t="str">
        <f t="shared" si="15"/>
        <v>进深比</v>
      </c>
      <c r="AA41" s="1807">
        <f t="shared" si="3"/>
        <v>1</v>
      </c>
      <c r="AB41" s="1807">
        <f t="shared" si="4"/>
        <v>1</v>
      </c>
      <c r="AC41" s="1807">
        <f t="shared" si="5"/>
        <v>1</v>
      </c>
    </row>
    <row r="42" spans="1:29" ht="15">
      <c r="A42" s="471"/>
      <c r="B42" s="421" t="s">
        <v>2660</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275"/>
      <c r="Q42" s="1806" t="str">
        <f t="shared" si="11"/>
        <v>内部装修</v>
      </c>
      <c r="R42" s="773" t="s">
        <v>17</v>
      </c>
      <c r="S42" s="774">
        <f t="shared" si="12"/>
        <v>100</v>
      </c>
      <c r="T42" s="773" t="s">
        <v>17</v>
      </c>
      <c r="U42" s="774">
        <f t="shared" si="13"/>
        <v>100</v>
      </c>
      <c r="V42" s="773" t="s">
        <v>17</v>
      </c>
      <c r="W42" s="774">
        <f t="shared" si="14"/>
        <v>100</v>
      </c>
      <c r="X42" s="1809"/>
      <c r="Y42" s="3212"/>
      <c r="Z42" s="1810" t="str">
        <f t="shared" si="15"/>
        <v>内部装修</v>
      </c>
      <c r="AA42" s="1807">
        <f t="shared" si="3"/>
        <v>1</v>
      </c>
      <c r="AB42" s="1807">
        <f t="shared" si="4"/>
        <v>1</v>
      </c>
      <c r="AC42" s="1807">
        <f t="shared" si="5"/>
        <v>1</v>
      </c>
    </row>
    <row r="43" spans="1:29" ht="15.75" thickBot="1">
      <c r="A43" s="471"/>
      <c r="B43" s="421" t="s">
        <v>2568</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275"/>
      <c r="Q43" s="1806" t="str">
        <f t="shared" si="11"/>
        <v>内部装修维护情况</v>
      </c>
      <c r="R43" s="773" t="s">
        <v>17</v>
      </c>
      <c r="S43" s="774">
        <f t="shared" si="12"/>
        <v>100</v>
      </c>
      <c r="T43" s="773" t="s">
        <v>17</v>
      </c>
      <c r="U43" s="774">
        <f t="shared" si="13"/>
        <v>100</v>
      </c>
      <c r="V43" s="773" t="s">
        <v>17</v>
      </c>
      <c r="W43" s="774">
        <f t="shared" si="14"/>
        <v>100</v>
      </c>
      <c r="X43" s="1809"/>
      <c r="Y43" s="3212"/>
      <c r="Z43" s="1810" t="str">
        <f t="shared" si="15"/>
        <v>内部装修维护情况</v>
      </c>
      <c r="AA43" s="1807">
        <f t="shared" si="3"/>
        <v>1</v>
      </c>
      <c r="AB43" s="1807">
        <f t="shared" si="4"/>
        <v>1</v>
      </c>
      <c r="AC43" s="1807">
        <f t="shared" si="5"/>
        <v>1</v>
      </c>
    </row>
    <row r="44" spans="1:29" s="116" customFormat="1" ht="15" hidden="1">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75"/>
      <c r="Q44" s="1791">
        <f t="shared" si="11"/>
        <v>111</v>
      </c>
      <c r="R44" s="769" t="s">
        <v>17</v>
      </c>
      <c r="S44" s="770">
        <f t="shared" si="12"/>
        <v>100</v>
      </c>
      <c r="T44" s="769" t="s">
        <v>17</v>
      </c>
      <c r="U44" s="770">
        <f t="shared" si="13"/>
        <v>100</v>
      </c>
      <c r="V44" s="769" t="s">
        <v>17</v>
      </c>
      <c r="W44" s="770">
        <f t="shared" si="14"/>
        <v>100</v>
      </c>
      <c r="X44" s="771"/>
      <c r="Y44" s="3212"/>
      <c r="Z44" s="55">
        <f t="shared" si="15"/>
        <v>111</v>
      </c>
      <c r="AA44" s="772">
        <f t="shared" si="3"/>
        <v>1</v>
      </c>
      <c r="AB44" s="772">
        <f t="shared" si="4"/>
        <v>1</v>
      </c>
      <c r="AC44" s="772">
        <f t="shared" si="5"/>
        <v>1</v>
      </c>
    </row>
    <row r="45" spans="1:29" ht="15" hidden="1">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75"/>
      <c r="Q45" s="1806">
        <f t="shared" si="11"/>
        <v>111</v>
      </c>
      <c r="R45" s="773" t="s">
        <v>17</v>
      </c>
      <c r="S45" s="774">
        <f t="shared" si="12"/>
        <v>100</v>
      </c>
      <c r="T45" s="773" t="s">
        <v>17</v>
      </c>
      <c r="U45" s="774">
        <f t="shared" si="13"/>
        <v>100</v>
      </c>
      <c r="V45" s="773" t="s">
        <v>17</v>
      </c>
      <c r="W45" s="774">
        <f t="shared" si="14"/>
        <v>100</v>
      </c>
      <c r="X45" s="1809"/>
      <c r="Y45" s="3212"/>
      <c r="Z45" s="1810">
        <f t="shared" si="15"/>
        <v>111</v>
      </c>
      <c r="AA45" s="1807">
        <f t="shared" si="3"/>
        <v>1</v>
      </c>
      <c r="AB45" s="1807">
        <f t="shared" si="4"/>
        <v>1</v>
      </c>
      <c r="AC45" s="1807">
        <f t="shared" si="5"/>
        <v>1</v>
      </c>
    </row>
    <row r="46" spans="1:29" ht="15.75" hidden="1"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76"/>
      <c r="Q46" s="1806">
        <f t="shared" si="11"/>
        <v>111</v>
      </c>
      <c r="R46" s="773" t="s">
        <v>17</v>
      </c>
      <c r="S46" s="774">
        <f t="shared" si="12"/>
        <v>100</v>
      </c>
      <c r="T46" s="773" t="s">
        <v>17</v>
      </c>
      <c r="U46" s="774">
        <f t="shared" si="13"/>
        <v>100</v>
      </c>
      <c r="V46" s="773" t="s">
        <v>17</v>
      </c>
      <c r="W46" s="774">
        <f t="shared" si="14"/>
        <v>100</v>
      </c>
      <c r="X46" s="1809"/>
      <c r="Y46" s="3277"/>
      <c r="Z46" s="1810">
        <f t="shared" si="15"/>
        <v>111</v>
      </c>
      <c r="AA46" s="1807">
        <f t="shared" si="3"/>
        <v>1</v>
      </c>
      <c r="AB46" s="1807">
        <f t="shared" si="4"/>
        <v>1</v>
      </c>
      <c r="AC46" s="1807">
        <f t="shared" si="5"/>
        <v>1</v>
      </c>
    </row>
    <row r="47" spans="1:29" ht="15">
      <c r="A47" s="478" t="s">
        <v>2569</v>
      </c>
      <c r="B47" s="479"/>
      <c r="C47" s="1403" t="s">
        <v>1</v>
      </c>
      <c r="D47" s="1404"/>
      <c r="E47" s="1405">
        <v>20000</v>
      </c>
      <c r="F47" s="1406"/>
      <c r="G47" s="1407">
        <v>20500</v>
      </c>
      <c r="H47" s="1408"/>
      <c r="I47" s="1405">
        <v>18000</v>
      </c>
      <c r="J47" s="1408"/>
      <c r="K47" s="782"/>
      <c r="L47" s="1139"/>
      <c r="M47" s="1140"/>
      <c r="N47" s="1127"/>
      <c r="O47" s="1140"/>
      <c r="P47" s="3207" t="str">
        <f>A47</f>
        <v>成交单价（元/平方米）</v>
      </c>
      <c r="Q47" s="3207"/>
      <c r="R47" s="3213">
        <f>E47</f>
        <v>20000</v>
      </c>
      <c r="S47" s="3213"/>
      <c r="T47" s="3213">
        <f>G47</f>
        <v>20500</v>
      </c>
      <c r="U47" s="3213"/>
      <c r="V47" s="3213">
        <f>I47</f>
        <v>18000</v>
      </c>
      <c r="W47" s="3213"/>
      <c r="X47" s="758"/>
      <c r="Y47" s="780"/>
      <c r="Z47" s="758"/>
      <c r="AA47" s="758"/>
      <c r="AB47" s="758"/>
      <c r="AC47" s="758"/>
    </row>
    <row r="48" spans="1:29" ht="15.75" thickBot="1">
      <c r="A48" s="485" t="s">
        <v>2661</v>
      </c>
      <c r="B48" s="486"/>
      <c r="C48" s="1409">
        <f>R49</f>
        <v>19110</v>
      </c>
      <c r="D48" s="1410"/>
      <c r="E48" s="1411">
        <f>R48</f>
        <v>19231</v>
      </c>
      <c r="F48" s="1411"/>
      <c r="G48" s="1409">
        <f>T48</f>
        <v>20098</v>
      </c>
      <c r="H48" s="1410"/>
      <c r="I48" s="1411">
        <f>V48</f>
        <v>18000</v>
      </c>
      <c r="J48" s="1410"/>
      <c r="K48" s="783"/>
      <c r="L48" s="1139"/>
      <c r="M48" s="1140"/>
      <c r="N48" s="1127"/>
      <c r="O48" s="1140"/>
      <c r="P48" s="3207" t="str">
        <f>A48</f>
        <v>比较价值（元/平方米）</v>
      </c>
      <c r="Q48" s="3207"/>
      <c r="R48" s="3273">
        <f>IF(F1="售价",ROUND(PRODUCT(R47,AA7:AA46),0),ROUND(PRODUCT(R47,AA7:AA46),1))</f>
        <v>19231</v>
      </c>
      <c r="S48" s="3273"/>
      <c r="T48" s="3273">
        <f>IF(F1="售价",ROUND(PRODUCT(T47,AB7:AB46),0),ROUND(PRODUCT(T47,AB7:AB46),1))</f>
        <v>20098</v>
      </c>
      <c r="U48" s="3273"/>
      <c r="V48" s="3273">
        <f>IF(F1="售价",ROUND(PRODUCT(V47,AC7:AC46),0),ROUND(PRODUCT(V47,AC7:AC46),1))</f>
        <v>18000</v>
      </c>
      <c r="W48" s="3273"/>
      <c r="X48" s="758"/>
      <c r="Y48" s="758"/>
      <c r="Z48" s="758"/>
      <c r="AA48" s="758"/>
      <c r="AB48" s="758"/>
      <c r="AC48" s="758"/>
    </row>
    <row r="49" spans="1:29" ht="15.75" thickBot="1">
      <c r="A49" s="491" t="s">
        <v>2662</v>
      </c>
      <c r="B49" s="492"/>
      <c r="C49" s="1413">
        <f>R49</f>
        <v>19110</v>
      </c>
      <c r="D49" s="1413"/>
      <c r="E49" s="1413"/>
      <c r="F49" s="1413"/>
      <c r="G49" s="1413"/>
      <c r="H49" s="1413"/>
      <c r="I49" s="1413"/>
      <c r="J49" s="1413"/>
      <c r="K49" s="784"/>
      <c r="L49" s="1139"/>
      <c r="M49" s="1140"/>
      <c r="N49" s="1127"/>
      <c r="O49" s="1140"/>
      <c r="P49" s="3201" t="str">
        <f>A49</f>
        <v>估价对象XX用房的比较价值（楼面单价，元/平方米）</v>
      </c>
      <c r="Q49" s="3202"/>
      <c r="R49" s="3272">
        <f>IF(F1="售价",ROUND(AVERAGE(R48:V48),0),ROUND(AVERAGE(R48:V48),1))</f>
        <v>19110</v>
      </c>
      <c r="S49" s="3272"/>
      <c r="T49" s="3272"/>
      <c r="U49" s="3272"/>
      <c r="V49" s="3272"/>
      <c r="W49" s="3272"/>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2663</v>
      </c>
      <c r="D52" s="497"/>
      <c r="E52" s="498">
        <f>IF(E47&lt;E48,E48/E47-1,E47/E48-1)</f>
        <v>3.9987520149758149E-2</v>
      </c>
      <c r="F52" s="499" t="str">
        <f>IF(OR(E52&gt;=0.3,E52&lt;=-0.3),"超过30%","")</f>
        <v/>
      </c>
      <c r="G52" s="498">
        <f>IF(G47&lt;G48,G48/G47-1,G47/G48-1)</f>
        <v>2.0001990247785928E-2</v>
      </c>
      <c r="H52" s="499" t="str">
        <f>IF(OR(G52&gt;=0.3,G52&lt;=-0.3),"超过30%","")</f>
        <v/>
      </c>
      <c r="I52" s="498">
        <f>IF(I47&lt;I48,I48/I47-1,I47/I48-1)</f>
        <v>0</v>
      </c>
      <c r="J52" s="499" t="str">
        <f>IF(OR(I52&gt;=0.3,I52&lt;=-0.3),"超过30%","")</f>
        <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2664</v>
      </c>
      <c r="D53" s="500"/>
      <c r="E53" s="498">
        <f>IF(E48&lt;G48,G48/E48-1,E48/G48-1)</f>
        <v>4.5083458998492087E-2</v>
      </c>
      <c r="F53" s="499" t="str">
        <f>IF(OR(E53&gt;=0.2,E53&lt;=-0.2),"超过20%","")</f>
        <v/>
      </c>
      <c r="G53" s="498">
        <f>IF(G48&lt;I48,I48/G48-1,G48/I48-1)</f>
        <v>0.11655555555555552</v>
      </c>
      <c r="H53" s="499" t="str">
        <f>IF(OR(G53&gt;=0.2,G53&lt;=-0.2),"超过20%","")</f>
        <v/>
      </c>
      <c r="I53" s="498">
        <f>IF(I48&lt;E48,E48/I48-1,I48/E48-1)</f>
        <v>6.8388888888888832E-2</v>
      </c>
      <c r="J53" s="499" t="str">
        <f>IF(OR(I53&gt;=0.2,I53&lt;=-0.2),"超过20%","")</f>
        <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2665</v>
      </c>
      <c r="D54" s="500"/>
      <c r="E54" s="498">
        <f>IF(E47&lt;G47,G47/E47-1,E47/G47-1)</f>
        <v>2.4999999999999911E-2</v>
      </c>
      <c r="F54" s="499" t="str">
        <f>IF(OR(E54&gt;=0.3,E54&lt;=-0.3),"超过30%","")</f>
        <v/>
      </c>
      <c r="G54" s="498">
        <f>IF(G47&lt;I47,I47/G47-1,G47/I47-1)</f>
        <v>0.13888888888888884</v>
      </c>
      <c r="H54" s="499" t="str">
        <f>IF(OR(G54&gt;=0.3,G54&lt;=-0.3),"超过30%","")</f>
        <v/>
      </c>
      <c r="I54" s="498">
        <f>IF(I47&lt;E47,E47/I47-1,I47/E47-1)</f>
        <v>0.11111111111111116</v>
      </c>
      <c r="J54" s="499" t="str">
        <f>IF(OR(I54&gt;=0.3,I54&lt;=-0.3),"超过30%","")</f>
        <v/>
      </c>
      <c r="K54" s="1144"/>
      <c r="L54" s="1145"/>
      <c r="M54" s="1141"/>
      <c r="N54" s="1141"/>
      <c r="O54" s="1141"/>
      <c r="P54" s="2659"/>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9"/>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57"/>
      <c r="M57" s="1155"/>
      <c r="N57" s="1155"/>
      <c r="O57" s="1155"/>
      <c r="P57" s="2660"/>
      <c r="Q57" s="2661"/>
      <c r="R57" s="758"/>
      <c r="S57" s="758"/>
      <c r="T57" s="758"/>
      <c r="U57" s="758"/>
      <c r="V57" s="758"/>
      <c r="W57" s="758"/>
      <c r="X57" s="758"/>
      <c r="Y57" s="758"/>
      <c r="Z57" s="758"/>
      <c r="AA57" s="758"/>
      <c r="AB57" s="758"/>
      <c r="AC57" s="758"/>
    </row>
    <row r="58" spans="1:29" s="507" customFormat="1" ht="15">
      <c r="A58" s="504" t="s">
        <v>2540</v>
      </c>
      <c r="B58" s="505"/>
      <c r="C58" s="1570" t="str">
        <f>YEAR(C7)&amp;"-"&amp;MONTH(C7)</f>
        <v>2018-6</v>
      </c>
      <c r="D58" s="1571">
        <f>EDATE(C58,-1)</f>
        <v>43221</v>
      </c>
      <c r="E58" s="1571">
        <f t="shared" ref="E58:N58" si="16">EDATE(D58,-1)</f>
        <v>43191</v>
      </c>
      <c r="F58" s="1571">
        <f t="shared" si="16"/>
        <v>43160</v>
      </c>
      <c r="G58" s="1571">
        <f t="shared" si="16"/>
        <v>43132</v>
      </c>
      <c r="H58" s="1571">
        <f t="shared" si="16"/>
        <v>43101</v>
      </c>
      <c r="I58" s="1571">
        <f t="shared" si="16"/>
        <v>43070</v>
      </c>
      <c r="J58" s="1571">
        <f t="shared" si="16"/>
        <v>43040</v>
      </c>
      <c r="K58" s="1571">
        <f t="shared" si="16"/>
        <v>43009</v>
      </c>
      <c r="L58" s="1571">
        <f t="shared" si="16"/>
        <v>42979</v>
      </c>
      <c r="M58" s="1571">
        <f t="shared" si="16"/>
        <v>42948</v>
      </c>
      <c r="N58" s="1571">
        <f t="shared" si="16"/>
        <v>42917</v>
      </c>
      <c r="O58" s="1571">
        <f>EDATE(N58,-1)</f>
        <v>42887</v>
      </c>
      <c r="P58" s="1566"/>
    </row>
    <row r="59" spans="1:29" s="116" customFormat="1" ht="15">
      <c r="A59" s="508"/>
      <c r="B59" s="509"/>
      <c r="C59" s="1569">
        <v>100</v>
      </c>
      <c r="D59" s="511"/>
      <c r="E59" s="511"/>
      <c r="F59" s="511"/>
      <c r="G59" s="511"/>
      <c r="H59" s="511"/>
      <c r="I59" s="511"/>
      <c r="J59" s="511"/>
      <c r="K59" s="511"/>
      <c r="L59" s="511"/>
      <c r="M59" s="512"/>
      <c r="N59" s="511"/>
      <c r="O59" s="512"/>
      <c r="P59" s="2621"/>
    </row>
    <row r="60" spans="1:29" s="116" customFormat="1" ht="15.75" thickBot="1">
      <c r="A60" s="514" t="s">
        <v>2577</v>
      </c>
      <c r="B60" s="515"/>
      <c r="C60" s="516"/>
      <c r="D60" s="517"/>
      <c r="E60" s="517"/>
      <c r="F60" s="517"/>
      <c r="G60" s="517"/>
      <c r="H60" s="517"/>
      <c r="I60" s="517"/>
      <c r="J60" s="517"/>
      <c r="K60" s="517"/>
      <c r="L60" s="517"/>
      <c r="M60" s="518"/>
      <c r="N60" s="517"/>
      <c r="O60" s="518"/>
      <c r="P60" s="2621"/>
      <c r="Q60" s="503"/>
    </row>
    <row r="61" spans="1:29" s="116" customFormat="1" ht="15">
      <c r="A61" s="520" t="s">
        <v>2542</v>
      </c>
      <c r="B61" s="509"/>
      <c r="C61" s="521" t="s">
        <v>2644</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2580</v>
      </c>
      <c r="B63" s="527" t="s">
        <v>2546</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8"/>
      <c r="O65" s="1148"/>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3"/>
      <c r="Q66" s="503"/>
    </row>
    <row r="67" spans="1:17" ht="15.75" thickTop="1">
      <c r="A67" s="533"/>
      <c r="B67" s="545" t="s">
        <v>2550</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49"/>
      <c r="O67" s="1149"/>
      <c r="P67" s="2623"/>
      <c r="Q67" s="503"/>
    </row>
    <row r="68" spans="1:17" ht="15">
      <c r="A68" s="533"/>
      <c r="B68" s="547"/>
      <c r="C68" s="548">
        <v>0</v>
      </c>
      <c r="D68" s="548">
        <v>1</v>
      </c>
      <c r="E68" s="548">
        <v>2</v>
      </c>
      <c r="F68" s="548">
        <v>3</v>
      </c>
      <c r="G68" s="548">
        <v>4</v>
      </c>
      <c r="H68" s="548">
        <v>5</v>
      </c>
      <c r="I68" s="548">
        <v>6</v>
      </c>
      <c r="J68" s="548">
        <v>7</v>
      </c>
      <c r="K68" s="549">
        <v>8</v>
      </c>
      <c r="L68" s="549">
        <v>9</v>
      </c>
      <c r="M68" s="551">
        <v>10</v>
      </c>
      <c r="N68" s="1148"/>
      <c r="O68" s="1148"/>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35"/>
      <c r="E73" s="535"/>
      <c r="F73" s="535"/>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2647</v>
      </c>
      <c r="C82" s="659" t="s">
        <v>2667</v>
      </c>
      <c r="D82" s="659" t="s">
        <v>2668</v>
      </c>
      <c r="E82" s="659" t="s">
        <v>2669</v>
      </c>
      <c r="F82" s="659" t="s">
        <v>2670</v>
      </c>
      <c r="G82" s="659" t="s">
        <v>2671</v>
      </c>
      <c r="H82" s="538"/>
      <c r="I82" s="538"/>
      <c r="J82" s="538"/>
      <c r="K82" s="538"/>
      <c r="L82" s="538"/>
      <c r="M82" s="1378"/>
      <c r="N82" s="1149"/>
      <c r="O82" s="1149"/>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3"/>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2672</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3"/>
      <c r="Q87" s="503"/>
    </row>
    <row r="88" spans="1:17" s="116" customFormat="1" ht="15.75" thickTop="1">
      <c r="A88" s="578"/>
      <c r="B88" s="537" t="str">
        <f>B26</f>
        <v>平面位置/可视性</v>
      </c>
      <c r="C88" s="553"/>
      <c r="D88" s="553"/>
      <c r="E88" s="553"/>
      <c r="F88" s="2628"/>
      <c r="G88" s="553"/>
      <c r="H88" s="553"/>
      <c r="I88" s="553"/>
      <c r="J88" s="553"/>
      <c r="K88" s="553"/>
      <c r="L88" s="553"/>
      <c r="M88" s="580"/>
      <c r="N88" s="1147"/>
      <c r="O88" s="1147"/>
      <c r="P88" s="2623"/>
      <c r="Q88" s="503"/>
    </row>
    <row r="89" spans="1:17" s="116" customFormat="1" ht="15.75" thickBot="1">
      <c r="A89" s="578"/>
      <c r="B89" s="542"/>
      <c r="C89" s="559"/>
      <c r="D89" s="535"/>
      <c r="E89" s="535"/>
      <c r="F89" s="535"/>
      <c r="G89" s="535"/>
      <c r="H89" s="535"/>
      <c r="I89" s="535"/>
      <c r="J89" s="535"/>
      <c r="K89" s="535"/>
      <c r="L89" s="535"/>
      <c r="M89" s="535"/>
      <c r="N89" s="1149"/>
      <c r="O89" s="1149"/>
      <c r="P89" s="2623"/>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4"/>
      <c r="Q91" s="558"/>
    </row>
    <row r="92" spans="1:17" ht="15.75" thickTop="1">
      <c r="A92" s="533"/>
      <c r="B92" s="537" t="str">
        <f>B28</f>
        <v>楼层</v>
      </c>
      <c r="C92" s="553"/>
      <c r="D92" s="553"/>
      <c r="E92" s="553"/>
      <c r="F92" s="553"/>
      <c r="G92" s="553"/>
      <c r="H92" s="553"/>
      <c r="I92" s="553"/>
      <c r="J92" s="553"/>
      <c r="K92" s="553"/>
      <c r="L92" s="579"/>
      <c r="M92" s="580"/>
      <c r="N92" s="1148"/>
      <c r="O92" s="1148"/>
      <c r="P92" s="2623"/>
      <c r="Q92" s="503"/>
    </row>
    <row r="93" spans="1:17" ht="15.75" thickBot="1">
      <c r="A93" s="533"/>
      <c r="B93" s="542"/>
      <c r="C93" s="535"/>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35"/>
      <c r="E95" s="535"/>
      <c r="F95" s="535"/>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59"/>
      <c r="D97" s="535"/>
      <c r="E97" s="535"/>
      <c r="F97" s="535"/>
      <c r="G97" s="535"/>
      <c r="H97" s="535"/>
      <c r="I97" s="535"/>
      <c r="J97" s="535"/>
      <c r="K97" s="535"/>
      <c r="L97" s="535"/>
      <c r="M97" s="536"/>
      <c r="N97" s="1149"/>
      <c r="O97" s="1149"/>
      <c r="P97" s="2623"/>
      <c r="Q97" s="503"/>
    </row>
    <row r="98" spans="1:17" ht="15.75" thickTop="1">
      <c r="A98" s="533"/>
      <c r="B98" s="545">
        <f>B31</f>
        <v>111</v>
      </c>
      <c r="C98" s="553"/>
      <c r="D98" s="553"/>
      <c r="E98" s="553"/>
      <c r="F98" s="553"/>
      <c r="G98" s="586"/>
      <c r="H98" s="586"/>
      <c r="I98" s="586"/>
      <c r="J98" s="586"/>
      <c r="K98" s="587"/>
      <c r="L98" s="588"/>
      <c r="M98" s="589"/>
      <c r="N98" s="1148"/>
      <c r="O98" s="1148"/>
      <c r="P98" s="2623"/>
      <c r="Q98" s="503"/>
    </row>
    <row r="99" spans="1:17" ht="15.75" thickBot="1">
      <c r="A99" s="2629"/>
      <c r="B99" s="568"/>
      <c r="C99" s="569"/>
      <c r="D99" s="569"/>
      <c r="E99" s="569"/>
      <c r="F99" s="569"/>
      <c r="G99" s="590"/>
      <c r="H99" s="590"/>
      <c r="I99" s="590"/>
      <c r="J99" s="590"/>
      <c r="K99" s="590"/>
      <c r="L99" s="590"/>
      <c r="M99" s="591"/>
      <c r="N99" s="1149"/>
      <c r="O99" s="1149"/>
      <c r="P99" s="2623"/>
      <c r="Q99" s="503"/>
    </row>
    <row r="100" spans="1:17">
      <c r="A100" s="526" t="s">
        <v>2555</v>
      </c>
      <c r="B100" s="527" t="s">
        <v>2673</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3"/>
      <c r="Q101" s="503"/>
    </row>
    <row r="102" spans="1:17" ht="15.75" thickTop="1">
      <c r="A102" s="533"/>
      <c r="B102" s="537" t="s">
        <v>2605</v>
      </c>
      <c r="C102" s="577" t="str">
        <f>C103&amp;"(含)"&amp;"-"&amp;D103</f>
        <v>0(含)-300</v>
      </c>
      <c r="D102" s="577" t="str">
        <f t="shared" ref="D102:L102" si="23">D103&amp;"(含)"&amp;"-"&amp;E103</f>
        <v>300(含)-600</v>
      </c>
      <c r="E102" s="577" t="str">
        <f t="shared" si="23"/>
        <v>600(含)-900</v>
      </c>
      <c r="F102" s="577" t="str">
        <f t="shared" si="23"/>
        <v>900(含)-1200</v>
      </c>
      <c r="G102" s="577" t="str">
        <f t="shared" si="23"/>
        <v>1200(含)-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3"/>
      <c r="Q102" s="503"/>
    </row>
    <row r="103" spans="1:17" s="470" customFormat="1">
      <c r="A103" s="592"/>
      <c r="B103" s="593"/>
      <c r="C103" s="594">
        <v>0</v>
      </c>
      <c r="D103" s="594">
        <v>300</v>
      </c>
      <c r="E103" s="594">
        <v>600</v>
      </c>
      <c r="F103" s="594">
        <v>900</v>
      </c>
      <c r="G103" s="594">
        <v>1200</v>
      </c>
      <c r="H103" s="594"/>
      <c r="I103" s="594"/>
      <c r="J103" s="595"/>
      <c r="K103" s="595"/>
      <c r="L103" s="596"/>
      <c r="M103" s="597"/>
      <c r="N103" s="1150"/>
      <c r="O103" s="1150"/>
      <c r="P103" s="2624"/>
      <c r="Q103" s="558"/>
    </row>
    <row r="104" spans="1:17" s="470" customFormat="1" ht="15.75" thickBot="1">
      <c r="A104" s="552"/>
      <c r="B104" s="542"/>
      <c r="C104" s="559">
        <v>100</v>
      </c>
      <c r="D104" s="535">
        <v>98</v>
      </c>
      <c r="E104" s="535">
        <v>96</v>
      </c>
      <c r="F104" s="535">
        <v>94</v>
      </c>
      <c r="G104" s="535">
        <v>92</v>
      </c>
      <c r="H104" s="535"/>
      <c r="I104" s="535"/>
      <c r="J104" s="535"/>
      <c r="K104" s="535"/>
      <c r="L104" s="535"/>
      <c r="M104" s="536"/>
      <c r="N104" s="1149"/>
      <c r="O104" s="1149"/>
      <c r="P104" s="2624"/>
      <c r="Q104" s="558"/>
    </row>
    <row r="105" spans="1:17" ht="15" thickTop="1">
      <c r="A105" s="598"/>
      <c r="B105" s="537" t="s">
        <v>2606</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3"/>
      <c r="Q106" s="503"/>
    </row>
    <row r="107" spans="1:17" ht="15" thickTop="1">
      <c r="A107" s="598"/>
      <c r="B107" s="537" t="s">
        <v>2608</v>
      </c>
      <c r="C107" s="553"/>
      <c r="D107" s="553"/>
      <c r="E107" s="553"/>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3"/>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3"/>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3"/>
      <c r="Q111" s="503"/>
    </row>
    <row r="112" spans="1:17" s="470" customFormat="1" ht="15" thickTop="1">
      <c r="A112" s="592"/>
      <c r="B112" s="537" t="s">
        <v>2610</v>
      </c>
      <c r="C112" s="553"/>
      <c r="D112" s="553"/>
      <c r="E112" s="553"/>
      <c r="F112" s="553"/>
      <c r="G112" s="553"/>
      <c r="H112" s="582"/>
      <c r="I112" s="582"/>
      <c r="J112" s="582"/>
      <c r="K112" s="583"/>
      <c r="L112" s="584"/>
      <c r="M112" s="585"/>
      <c r="N112" s="1150"/>
      <c r="O112" s="1150"/>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4"/>
      <c r="Q113" s="558"/>
    </row>
    <row r="114" spans="1:17" ht="15" thickTop="1">
      <c r="A114" s="598"/>
      <c r="B114" s="537" t="s">
        <v>2674</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3"/>
      <c r="Q115" s="503"/>
    </row>
    <row r="116" spans="1:17" ht="15" thickTop="1">
      <c r="A116" s="598"/>
      <c r="B116" s="537" t="s">
        <v>2675</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2676</v>
      </c>
      <c r="C118" s="626"/>
      <c r="D118" s="626"/>
      <c r="E118" s="626"/>
      <c r="F118" s="626"/>
      <c r="G118" s="626"/>
      <c r="H118" s="554"/>
      <c r="I118" s="554"/>
      <c r="J118" s="554"/>
      <c r="K118" s="554"/>
      <c r="L118" s="555"/>
      <c r="M118" s="556"/>
      <c r="N118" s="1148"/>
      <c r="O118" s="1148"/>
      <c r="P118" s="2623"/>
      <c r="Q118" s="503"/>
    </row>
    <row r="119" spans="1:17" ht="15.75" thickBot="1">
      <c r="A119" s="533"/>
      <c r="B119" s="542"/>
      <c r="C119" s="559"/>
      <c r="D119" s="535"/>
      <c r="E119" s="535"/>
      <c r="F119" s="535"/>
      <c r="G119" s="535"/>
      <c r="H119" s="535"/>
      <c r="I119" s="535"/>
      <c r="J119" s="535"/>
      <c r="K119" s="535"/>
      <c r="L119" s="535"/>
      <c r="M119" s="536"/>
      <c r="N119" s="1149"/>
      <c r="O119" s="1149"/>
      <c r="P119" s="2623"/>
      <c r="Q119" s="503"/>
    </row>
    <row r="120" spans="1:17" s="470" customFormat="1" ht="15" thickTop="1">
      <c r="A120" s="592"/>
      <c r="B120" s="537" t="s">
        <v>2677</v>
      </c>
      <c r="C120" s="582"/>
      <c r="D120" s="582"/>
      <c r="E120" s="582"/>
      <c r="F120" s="582"/>
      <c r="G120" s="554"/>
      <c r="H120" s="554"/>
      <c r="I120" s="554"/>
      <c r="J120" s="554"/>
      <c r="K120" s="554"/>
      <c r="L120" s="555"/>
      <c r="M120" s="556"/>
      <c r="N120" s="1150"/>
      <c r="O120" s="1150"/>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4"/>
      <c r="Q121" s="558"/>
    </row>
    <row r="122" spans="1:17" ht="15" thickTop="1">
      <c r="A122" s="598"/>
      <c r="B122" s="537" t="s">
        <v>2612</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3"/>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35"/>
      <c r="E129" s="535"/>
      <c r="F129" s="535"/>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1641</v>
      </c>
      <c r="B2" s="3028" t="s">
        <v>1642</v>
      </c>
      <c r="C2" s="3028" t="s">
        <v>1643</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2"/>
      <c r="B3" s="3022"/>
      <c r="C3" s="3022"/>
      <c r="D3" s="1040" t="s">
        <v>1638</v>
      </c>
      <c r="E3" s="1040" t="s">
        <v>1644</v>
      </c>
      <c r="F3" s="1040" t="s">
        <v>1638</v>
      </c>
      <c r="G3" s="1040" t="s">
        <v>1639</v>
      </c>
      <c r="H3" s="1040" t="s">
        <v>1638</v>
      </c>
      <c r="I3" s="1040" t="s">
        <v>1639</v>
      </c>
    </row>
    <row r="4" spans="1:9" ht="45">
      <c r="A4" s="1969" t="str">
        <f>项目基本情况!S2</f>
        <v>陕西省西安市曲江新区雁翔路以西，春林路以南“景恒彩虹谷”项目房地产</v>
      </c>
      <c r="B4" s="1040">
        <f>项目基本情况!C17</f>
        <v>111646.95</v>
      </c>
      <c r="C4" s="1040">
        <f>项目基本情况!C18</f>
        <v>27591.5</v>
      </c>
      <c r="D4" s="1040" t="e">
        <f ca="1">结果表!D118</f>
        <v>#REF!</v>
      </c>
      <c r="E4" s="1040" t="e">
        <f ca="1">结果表!E118</f>
        <v>#REF!</v>
      </c>
      <c r="F4" s="1040" t="e">
        <f ca="1">结果表!F118</f>
        <v>#REF!</v>
      </c>
      <c r="G4" s="1040" t="e">
        <f ca="1">结果表!G118</f>
        <v>#REF!</v>
      </c>
      <c r="H4" s="1040">
        <f ca="1">结果表!H118</f>
        <v>112046</v>
      </c>
      <c r="I4" s="1040">
        <f ca="1">结果表!I118</f>
        <v>10036</v>
      </c>
    </row>
    <row r="5" spans="1:9" ht="30" customHeight="1">
      <c r="A5" s="3022" t="s">
        <v>1640</v>
      </c>
      <c r="B5" s="3022"/>
      <c r="C5" s="3022"/>
      <c r="D5" s="3023" t="e">
        <f ca="1">结果表!D119</f>
        <v>#REF!</v>
      </c>
      <c r="E5" s="3023"/>
      <c r="F5" s="3023" t="e">
        <f ca="1">结果表!F119</f>
        <v>#REF!</v>
      </c>
      <c r="G5" s="3023"/>
      <c r="H5" s="3023" t="str">
        <f ca="1">结果表!H119</f>
        <v>壹拾壹亿贰仟零肆拾陆万元整</v>
      </c>
      <c r="I5" s="3023"/>
    </row>
    <row r="6" spans="1:9" ht="15.75">
      <c r="A6" s="3021" t="str">
        <f>结果表!A120</f>
        <v>估价师知悉的法定优先受偿款</v>
      </c>
      <c r="B6" s="3021"/>
      <c r="C6" s="3021"/>
      <c r="D6" s="3021">
        <f>结果表!D120</f>
        <v>0</v>
      </c>
      <c r="E6" s="3021"/>
      <c r="F6" s="3021"/>
      <c r="G6" s="3021"/>
      <c r="H6" s="3021"/>
      <c r="I6" s="3021"/>
    </row>
    <row r="7" spans="1:9" ht="15">
      <c r="A7" s="3022" t="s">
        <v>1640</v>
      </c>
      <c r="B7" s="3022"/>
      <c r="C7" s="3022"/>
      <c r="D7" s="3024" t="str">
        <f>结果表!D121</f>
        <v>零元整</v>
      </c>
      <c r="E7" s="3025"/>
      <c r="F7" s="3025"/>
      <c r="G7" s="3025"/>
      <c r="H7" s="3025"/>
      <c r="I7" s="3026"/>
    </row>
    <row r="8" spans="1:9" ht="15.75">
      <c r="A8" s="3021" t="str">
        <f>结果表!A122</f>
        <v>房地产抵押价值</v>
      </c>
      <c r="B8" s="3021"/>
      <c r="C8" s="3021"/>
      <c r="D8" s="3021">
        <f ca="1">结果表!D122</f>
        <v>112046</v>
      </c>
      <c r="E8" s="3021"/>
      <c r="F8" s="3021"/>
      <c r="G8" s="3021"/>
      <c r="H8" s="3021"/>
      <c r="I8" s="3021"/>
    </row>
    <row r="9" spans="1:9" ht="15">
      <c r="A9" s="3022" t="s">
        <v>1640</v>
      </c>
      <c r="B9" s="3022"/>
      <c r="C9" s="3022"/>
      <c r="D9" s="3023" t="str">
        <f ca="1">结果表!D123</f>
        <v>壹拾壹亿贰仟零肆拾陆万元整</v>
      </c>
      <c r="E9" s="3023"/>
      <c r="F9" s="3023"/>
      <c r="G9" s="3023"/>
      <c r="H9" s="3023"/>
      <c r="I9" s="3023"/>
    </row>
    <row r="10" spans="1:9" ht="15.75">
      <c r="A10" s="3021" t="str">
        <f>结果表!A124</f>
        <v/>
      </c>
      <c r="B10" s="3021"/>
      <c r="C10" s="3021"/>
      <c r="D10" s="3021" t="str">
        <f>结果表!D124</f>
        <v>——</v>
      </c>
      <c r="E10" s="3021"/>
      <c r="F10" s="3021"/>
      <c r="G10" s="3021"/>
      <c r="H10" s="3021"/>
      <c r="I10" s="3021"/>
    </row>
    <row r="11" spans="1:9" ht="15">
      <c r="A11" s="3022" t="s">
        <v>1640</v>
      </c>
      <c r="B11" s="3022"/>
      <c r="C11" s="3022"/>
      <c r="D11" s="3023" t="e">
        <f>结果表!D125</f>
        <v>#VALUE!</v>
      </c>
      <c r="E11" s="3023"/>
      <c r="F11" s="3023"/>
      <c r="G11" s="3023"/>
      <c r="H11" s="3023"/>
      <c r="I11" s="3023"/>
    </row>
    <row r="12" spans="1:9" ht="15.75">
      <c r="A12" s="3021" t="str">
        <f>结果表!A126</f>
        <v/>
      </c>
      <c r="B12" s="3021"/>
      <c r="C12" s="3021"/>
      <c r="D12" s="3021" t="str">
        <f>结果表!D126</f>
        <v>——</v>
      </c>
      <c r="E12" s="3021"/>
      <c r="F12" s="3021"/>
      <c r="G12" s="3021"/>
      <c r="H12" s="3021"/>
      <c r="I12" s="3021"/>
    </row>
    <row r="13" spans="1:9" ht="15.75" thickBot="1">
      <c r="A13" s="3018" t="s">
        <v>1640</v>
      </c>
      <c r="B13" s="3018"/>
      <c r="C13" s="3018"/>
      <c r="D13" s="3019" t="e">
        <f>结果表!D127</f>
        <v>#VALUE!</v>
      </c>
      <c r="E13" s="3019"/>
      <c r="F13" s="3019"/>
      <c r="G13" s="3019"/>
      <c r="H13" s="3019"/>
      <c r="I13" s="3019"/>
    </row>
    <row r="14" spans="1:9" ht="15" thickTop="1">
      <c r="A14" s="3020" t="s">
        <v>1645</v>
      </c>
      <c r="B14" s="3020"/>
      <c r="C14" s="3020"/>
      <c r="D14" s="3020"/>
      <c r="E14" s="3020"/>
      <c r="F14" s="3020"/>
      <c r="G14" s="3020"/>
      <c r="H14" s="3020"/>
      <c r="I14" s="3020"/>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zoomScaleNormal="100" workbookViewId="0">
      <selection activeCell="J27" sqref="J27"/>
    </sheetView>
  </sheetViews>
  <sheetFormatPr defaultRowHeight="13.5"/>
  <cols>
    <col min="1" max="1" width="9" style="2935"/>
    <col min="2" max="2" width="17.875" style="2935" customWidth="1"/>
    <col min="3" max="3" width="13.875" style="2935" customWidth="1"/>
    <col min="4" max="4" width="16.125" style="2935" customWidth="1"/>
    <col min="5" max="5" width="20.25" style="2935" customWidth="1"/>
    <col min="6" max="6" width="9" style="2935"/>
    <col min="7" max="7" width="10.25" style="2935" customWidth="1"/>
    <col min="8" max="8" width="9" style="2935"/>
    <col min="9" max="9" width="13.75" style="2935" customWidth="1"/>
    <col min="10" max="10" width="9" style="2935"/>
  </cols>
  <sheetData>
    <row r="1" spans="1:11">
      <c r="A1" s="2973" t="s">
        <v>3038</v>
      </c>
      <c r="B1" s="2973" t="s">
        <v>3039</v>
      </c>
      <c r="C1" s="2973" t="s">
        <v>3040</v>
      </c>
      <c r="D1" s="2973" t="s">
        <v>3044</v>
      </c>
      <c r="E1" s="2973" t="s">
        <v>3047</v>
      </c>
      <c r="F1" s="2973" t="s">
        <v>3041</v>
      </c>
      <c r="G1" s="2973" t="s">
        <v>3042</v>
      </c>
      <c r="H1" s="2973" t="s">
        <v>3058</v>
      </c>
      <c r="I1" s="2973" t="s">
        <v>3059</v>
      </c>
    </row>
    <row r="2" spans="1:11">
      <c r="A2" s="2974">
        <v>1</v>
      </c>
      <c r="B2" s="2973" t="s">
        <v>3050</v>
      </c>
      <c r="C2" s="2974">
        <v>840.91</v>
      </c>
      <c r="D2" s="2974">
        <v>0</v>
      </c>
      <c r="E2" s="2974">
        <f>C2-D2</f>
        <v>840.91</v>
      </c>
      <c r="F2" s="2973" t="s">
        <v>3043</v>
      </c>
      <c r="G2" s="2974">
        <v>840.91</v>
      </c>
      <c r="H2" s="2974"/>
      <c r="I2" s="2974">
        <f>G2-H2</f>
        <v>840.91</v>
      </c>
      <c r="K2" s="2952"/>
    </row>
    <row r="3" spans="1:11">
      <c r="A3" s="3339">
        <v>2</v>
      </c>
      <c r="B3" s="3340" t="s">
        <v>3048</v>
      </c>
      <c r="C3" s="3339">
        <v>17766.099999999999</v>
      </c>
      <c r="D3" s="3339">
        <v>457.9</v>
      </c>
      <c r="E3" s="3339">
        <f>C3-D3</f>
        <v>17308.199999999997</v>
      </c>
      <c r="F3" s="2973" t="s">
        <v>3043</v>
      </c>
      <c r="G3" s="2974">
        <v>4441.9399999999996</v>
      </c>
      <c r="H3" s="2974">
        <f>93.46+176.7</f>
        <v>270.15999999999997</v>
      </c>
      <c r="I3" s="2974">
        <f>G3-H3</f>
        <v>4171.78</v>
      </c>
    </row>
    <row r="4" spans="1:11">
      <c r="A4" s="3339"/>
      <c r="B4" s="3340"/>
      <c r="C4" s="3339"/>
      <c r="D4" s="3339"/>
      <c r="E4" s="3339"/>
      <c r="F4" s="2973" t="s">
        <v>3045</v>
      </c>
      <c r="G4" s="2974">
        <v>8461.52</v>
      </c>
      <c r="H4" s="2974"/>
      <c r="I4" s="2974">
        <f t="shared" ref="I4:I14" si="0">G4-H4</f>
        <v>8461.52</v>
      </c>
    </row>
    <row r="5" spans="1:11">
      <c r="A5" s="3339"/>
      <c r="B5" s="3340"/>
      <c r="C5" s="3339"/>
      <c r="D5" s="3339"/>
      <c r="E5" s="3339"/>
      <c r="F5" s="2973" t="s">
        <v>3046</v>
      </c>
      <c r="G5" s="2974">
        <f>E3-G3-G4</f>
        <v>4404.739999999998</v>
      </c>
      <c r="H5" s="2974">
        <v>631.58000000000004</v>
      </c>
      <c r="I5" s="2974">
        <f t="shared" si="0"/>
        <v>3773.159999999998</v>
      </c>
    </row>
    <row r="6" spans="1:11">
      <c r="A6" s="3339">
        <v>3</v>
      </c>
      <c r="B6" s="3340" t="s">
        <v>3049</v>
      </c>
      <c r="C6" s="3339">
        <v>13969.81</v>
      </c>
      <c r="D6" s="3339">
        <v>368.09</v>
      </c>
      <c r="E6" s="3339">
        <f>C6-D6</f>
        <v>13601.72</v>
      </c>
      <c r="F6" s="2973" t="s">
        <v>3043</v>
      </c>
      <c r="G6" s="2974">
        <v>4808.59</v>
      </c>
      <c r="H6" s="2974">
        <f>1152.96+638.27</f>
        <v>1791.23</v>
      </c>
      <c r="I6" s="2974">
        <f t="shared" si="0"/>
        <v>3017.36</v>
      </c>
    </row>
    <row r="7" spans="1:11">
      <c r="A7" s="3339"/>
      <c r="B7" s="3340"/>
      <c r="C7" s="3339"/>
      <c r="D7" s="3339"/>
      <c r="E7" s="3339"/>
      <c r="F7" s="2973" t="s">
        <v>3046</v>
      </c>
      <c r="G7" s="2974">
        <v>8793.1299999999992</v>
      </c>
      <c r="H7" s="2974">
        <v>4398.13</v>
      </c>
      <c r="I7" s="2974">
        <f t="shared" si="0"/>
        <v>4394.9999999999991</v>
      </c>
    </row>
    <row r="8" spans="1:11">
      <c r="A8" s="2974">
        <v>4</v>
      </c>
      <c r="B8" s="2973" t="s">
        <v>3051</v>
      </c>
      <c r="C8" s="2974">
        <v>4031.27</v>
      </c>
      <c r="D8" s="2974">
        <v>107.11</v>
      </c>
      <c r="E8" s="2974">
        <f>C8-D8</f>
        <v>3924.16</v>
      </c>
      <c r="F8" s="2973" t="s">
        <v>3043</v>
      </c>
      <c r="G8" s="2974">
        <v>3924.16</v>
      </c>
      <c r="H8" s="2974"/>
      <c r="I8" s="2974">
        <f t="shared" si="0"/>
        <v>3924.16</v>
      </c>
    </row>
    <row r="9" spans="1:11">
      <c r="A9" s="3339">
        <v>5</v>
      </c>
      <c r="B9" s="3340" t="s">
        <v>3052</v>
      </c>
      <c r="C9" s="3339">
        <v>39281.32</v>
      </c>
      <c r="D9" s="3339">
        <v>2759.98</v>
      </c>
      <c r="E9" s="3339">
        <f>C9-D9</f>
        <v>36521.339999999997</v>
      </c>
      <c r="F9" s="2973" t="s">
        <v>3043</v>
      </c>
      <c r="G9" s="2974">
        <v>29119</v>
      </c>
      <c r="H9" s="2974"/>
      <c r="I9" s="2974">
        <f t="shared" si="0"/>
        <v>29119</v>
      </c>
    </row>
    <row r="10" spans="1:11">
      <c r="A10" s="3339"/>
      <c r="B10" s="3340"/>
      <c r="C10" s="3339"/>
      <c r="D10" s="3339"/>
      <c r="E10" s="3339"/>
      <c r="F10" s="2973" t="s">
        <v>3045</v>
      </c>
      <c r="G10" s="2974">
        <v>7276.35</v>
      </c>
      <c r="H10" s="2974"/>
      <c r="I10" s="2974">
        <f t="shared" si="0"/>
        <v>7276.35</v>
      </c>
    </row>
    <row r="11" spans="1:11">
      <c r="A11" s="3339"/>
      <c r="B11" s="3340"/>
      <c r="C11" s="3339"/>
      <c r="D11" s="3339"/>
      <c r="E11" s="3339"/>
      <c r="F11" s="2973" t="s">
        <v>3053</v>
      </c>
      <c r="G11" s="2974">
        <f>E9-G9-G10</f>
        <v>125.98999999999614</v>
      </c>
      <c r="H11" s="2974"/>
      <c r="I11" s="2974">
        <f t="shared" si="0"/>
        <v>125.98999999999614</v>
      </c>
    </row>
    <row r="12" spans="1:11">
      <c r="A12" s="3339">
        <v>6</v>
      </c>
      <c r="B12" s="3340" t="s">
        <v>3054</v>
      </c>
      <c r="C12" s="3339">
        <v>47210.3</v>
      </c>
      <c r="D12" s="3339">
        <v>7636.46</v>
      </c>
      <c r="E12" s="3339">
        <f>C12-D12</f>
        <v>39573.840000000004</v>
      </c>
      <c r="F12" s="2973" t="s">
        <v>3055</v>
      </c>
      <c r="G12" s="2974">
        <v>11418.03</v>
      </c>
      <c r="H12" s="2974"/>
      <c r="I12" s="2974">
        <f t="shared" si="0"/>
        <v>11418.03</v>
      </c>
    </row>
    <row r="13" spans="1:11">
      <c r="A13" s="3339"/>
      <c r="B13" s="3340"/>
      <c r="C13" s="3339"/>
      <c r="D13" s="3339"/>
      <c r="E13" s="3339"/>
      <c r="F13" s="2973" t="s">
        <v>3056</v>
      </c>
      <c r="G13" s="2974">
        <v>27986.240000000002</v>
      </c>
      <c r="H13" s="2974"/>
      <c r="I13" s="2974">
        <f t="shared" si="0"/>
        <v>27986.240000000002</v>
      </c>
    </row>
    <row r="14" spans="1:11">
      <c r="A14" s="3339"/>
      <c r="B14" s="3340"/>
      <c r="C14" s="3339"/>
      <c r="D14" s="3339"/>
      <c r="E14" s="3339"/>
      <c r="F14" s="2973" t="s">
        <v>3057</v>
      </c>
      <c r="G14" s="2974">
        <f>E12-G12-G13</f>
        <v>169.57000000000335</v>
      </c>
      <c r="H14" s="2974"/>
      <c r="I14" s="2974">
        <f t="shared" si="0"/>
        <v>169.57000000000335</v>
      </c>
    </row>
    <row r="15" spans="1:11">
      <c r="A15" s="3340" t="s">
        <v>3278</v>
      </c>
      <c r="B15" s="3340"/>
      <c r="C15" s="2974">
        <f>SUM(C2:C14)</f>
        <v>123099.71</v>
      </c>
      <c r="D15" s="2974">
        <f>SUM(D2:D14)</f>
        <v>11329.54</v>
      </c>
      <c r="E15" s="2974">
        <f>SUM(E2:E14)</f>
        <v>111770.16999999998</v>
      </c>
      <c r="F15" s="2974"/>
      <c r="G15" s="2974">
        <f>SUM(G2:G14)</f>
        <v>111770.17</v>
      </c>
      <c r="H15" s="2974">
        <f>SUM(H2:H14)</f>
        <v>7091.1</v>
      </c>
      <c r="I15" s="2974">
        <f>SUM(I2:I14)</f>
        <v>104679.07</v>
      </c>
    </row>
    <row r="18" spans="2:10">
      <c r="B18" s="2971" t="s">
        <v>3319</v>
      </c>
      <c r="C18" s="2935">
        <v>840.91</v>
      </c>
      <c r="F18" s="2971" t="s">
        <v>3352</v>
      </c>
    </row>
    <row r="19" spans="2:10">
      <c r="B19" s="2971" t="s">
        <v>3321</v>
      </c>
      <c r="C19" s="2935">
        <f>39.88+61.26+59.59+35.92+30.28+94.57+65.11+65.11+65.11+65.88+57.82+35.28+56.66+48.81+64.84+65.11+65.11+65.11+48.55+48.55+71.05+72.78+63.86+65.11+90.93+27.93+21.44+19.65+71.11+21.44+22.65+22.39+22.91+23.04+55.09+22.65+22.65+21.44+21.44+37.28+26.24+24.63</f>
        <v>1986.2600000000004</v>
      </c>
      <c r="F19" s="2975" t="s">
        <v>3279</v>
      </c>
      <c r="G19" s="2935">
        <f>J19</f>
        <v>19110</v>
      </c>
      <c r="I19" s="2971" t="s">
        <v>3291</v>
      </c>
      <c r="J19" s="2935">
        <f>'比较法-商业'!C49</f>
        <v>19110</v>
      </c>
    </row>
    <row r="20" spans="2:10">
      <c r="B20" s="2971" t="s">
        <v>3322</v>
      </c>
      <c r="C20" s="2935">
        <f>348.83+39.15+70.14+151.7+119.07+119.07+119.07+80.73+68.37+78.81+114.72+119.07+119.07+119.07+79.49+79.49+53.1+109+74.08+74.08+319.54</f>
        <v>2455.6499999999992</v>
      </c>
      <c r="F20" s="2971" t="s">
        <v>3280</v>
      </c>
      <c r="G20" s="2935">
        <f>ROUND(G19*2/1.7,0)</f>
        <v>22482</v>
      </c>
      <c r="I20" s="2971" t="s">
        <v>3292</v>
      </c>
      <c r="J20" s="2935">
        <f>ROUND(J19*2/1.7,0)</f>
        <v>22482</v>
      </c>
    </row>
    <row r="21" spans="2:10">
      <c r="B21" s="2971" t="s">
        <v>3320</v>
      </c>
      <c r="C21" s="2935">
        <f>194.1+65.12+65.12+48.56+48.56+66.43+59.6+65.12+65.12+65.9+66.98+28.42+47.14+50.87+52.19+54.59+66.66+64.87+48.56+48.56+72.76+72.76+65.12+65.12+65.9+59.47+65.92+64.13+22.49+22.21+28.06+22.66+87.21+55.87+18.51+81.69+26.04+20.26+22.7+58.25</f>
        <v>2269.6</v>
      </c>
      <c r="F21" s="2971" t="s">
        <v>3281</v>
      </c>
      <c r="G21" s="2935">
        <f>ROUND(G20*0.7,0)</f>
        <v>15737</v>
      </c>
      <c r="I21" s="2971" t="s">
        <v>3293</v>
      </c>
      <c r="J21" s="2935">
        <f>ROUND(J20*0.7,0)</f>
        <v>15737</v>
      </c>
    </row>
    <row r="22" spans="2:10">
      <c r="B22" s="2971" t="s">
        <v>3323</v>
      </c>
      <c r="C22" s="2935">
        <f>304.22+117.45+52.38+107.52+111.51+117.45+117.45+125.32+67.44+113.16+114.84+76.47+81.25+105.1+113.16+52.38+107.52+74.4+74.4+113.16+79.63+69.95+119.69+123.17</f>
        <v>2539.0200000000004</v>
      </c>
      <c r="F22" s="2971" t="s">
        <v>3282</v>
      </c>
      <c r="G22" s="2935">
        <f>ROUND(G20*0.65,0)</f>
        <v>14613</v>
      </c>
      <c r="I22" s="2971" t="s">
        <v>3349</v>
      </c>
      <c r="J22" s="2935">
        <f>ROUND(J20*0.65,0)</f>
        <v>14613</v>
      </c>
    </row>
    <row r="23" spans="2:10">
      <c r="B23" s="2971" t="s">
        <v>3324</v>
      </c>
      <c r="C23" s="2935">
        <v>967.8</v>
      </c>
      <c r="F23" s="2971" t="s">
        <v>3283</v>
      </c>
      <c r="G23" s="2935">
        <f>ROUND(G20*0.6,0)</f>
        <v>13489</v>
      </c>
    </row>
    <row r="24" spans="2:10">
      <c r="B24" s="2971" t="s">
        <v>3325</v>
      </c>
      <c r="C24" s="2935">
        <v>1847.87</v>
      </c>
      <c r="F24" s="2971" t="s">
        <v>3284</v>
      </c>
      <c r="G24" s="2935">
        <f>G23</f>
        <v>13489</v>
      </c>
    </row>
    <row r="25" spans="2:10">
      <c r="B25" s="2971" t="s">
        <v>3326</v>
      </c>
      <c r="C25" s="2935">
        <v>1108.48</v>
      </c>
      <c r="G25" s="2935">
        <f>ROUND(AVERAGE(G19:G24),0)</f>
        <v>16487</v>
      </c>
      <c r="I25" s="2971" t="s">
        <v>3350</v>
      </c>
      <c r="J25" s="2935">
        <f>J19</f>
        <v>19110</v>
      </c>
    </row>
    <row r="26" spans="2:10">
      <c r="B26" s="2971" t="s">
        <v>3327</v>
      </c>
      <c r="C26" s="2935">
        <f>5033.05+219.27+27.53+44.62+40.5+49.15+34.6+34.6+34.6+34.17+36.75+36.39+53.69+12.68+46.09+131.71+23.18+23.12+23.18+20.99+12.21</f>
        <v>5972.0800000000017</v>
      </c>
      <c r="I26" s="2971" t="s">
        <v>3351</v>
      </c>
      <c r="J26" s="2935">
        <f>ROUND(AVERAGE(J20:J22),0)</f>
        <v>17611</v>
      </c>
    </row>
    <row r="27" spans="2:10">
      <c r="B27" s="2971" t="s">
        <v>3328</v>
      </c>
      <c r="C27" s="2935">
        <v>6424.33</v>
      </c>
      <c r="I27" s="2971"/>
      <c r="J27" s="2935">
        <f>AVERAGE(J25:J26)</f>
        <v>18360.5</v>
      </c>
    </row>
    <row r="28" spans="2:10">
      <c r="B28" s="2971" t="s">
        <v>3329</v>
      </c>
      <c r="C28" s="2935">
        <v>5812.4</v>
      </c>
    </row>
    <row r="29" spans="2:10">
      <c r="B29" s="2971" t="s">
        <v>3330</v>
      </c>
      <c r="C29" s="2935">
        <v>4930.24</v>
      </c>
    </row>
    <row r="30" spans="2:10">
      <c r="B30" s="2971" t="s">
        <v>3331</v>
      </c>
      <c r="C30" s="2935">
        <v>5653.08</v>
      </c>
    </row>
    <row r="31" spans="2:10">
      <c r="B31" s="2971" t="s">
        <v>3332</v>
      </c>
      <c r="C31" s="2935">
        <v>326.87</v>
      </c>
    </row>
  </sheetData>
  <mergeCells count="21">
    <mergeCell ref="A15:B15"/>
    <mergeCell ref="B6:B7"/>
    <mergeCell ref="A6:A7"/>
    <mergeCell ref="C6:C7"/>
    <mergeCell ref="D6:D7"/>
    <mergeCell ref="A12:A14"/>
    <mergeCell ref="A9:A11"/>
    <mergeCell ref="E6:E7"/>
    <mergeCell ref="B3:B5"/>
    <mergeCell ref="A3:A5"/>
    <mergeCell ref="C3:C5"/>
    <mergeCell ref="D3:D5"/>
    <mergeCell ref="E3:E5"/>
    <mergeCell ref="E9:E11"/>
    <mergeCell ref="D9:D11"/>
    <mergeCell ref="C9:C11"/>
    <mergeCell ref="B9:B11"/>
    <mergeCell ref="E12:E14"/>
    <mergeCell ref="D12:D14"/>
    <mergeCell ref="C12:C14"/>
    <mergeCell ref="B12:B14"/>
  </mergeCells>
  <phoneticPr fontId="144" type="noConversion"/>
  <pageMargins left="0.7" right="0.7"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topLeftCell="A100" workbookViewId="0">
      <selection activeCell="K19" sqref="K19"/>
    </sheetView>
  </sheetViews>
  <sheetFormatPr defaultRowHeight="12"/>
  <cols>
    <col min="1" max="1" width="27.25" style="2938" customWidth="1"/>
    <col min="2" max="2" width="6.25" style="2938" customWidth="1"/>
    <col min="3" max="3" width="11.75" style="2938" customWidth="1"/>
    <col min="4" max="5" width="13.875" style="2938" customWidth="1"/>
    <col min="6" max="6" width="9.125" style="2938" customWidth="1"/>
    <col min="7" max="7" width="7.875" style="2938" customWidth="1"/>
    <col min="8" max="8" width="9" style="2938" customWidth="1"/>
    <col min="9" max="10" width="10.625" style="2938" customWidth="1"/>
    <col min="11" max="12" width="14.375" style="2938" customWidth="1"/>
    <col min="13" max="13" width="6.25" style="2938" customWidth="1"/>
    <col min="14" max="14" width="26.125" style="2938" customWidth="1"/>
    <col min="15" max="256" width="9" style="2938"/>
    <col min="257" max="257" width="27.25" style="2938" customWidth="1"/>
    <col min="258" max="258" width="6.25" style="2938" customWidth="1"/>
    <col min="259" max="259" width="11.75" style="2938" customWidth="1"/>
    <col min="260" max="261" width="13.875" style="2938" customWidth="1"/>
    <col min="262" max="262" width="9.125" style="2938" customWidth="1"/>
    <col min="263" max="263" width="7.875" style="2938" customWidth="1"/>
    <col min="264" max="264" width="9" style="2938" customWidth="1"/>
    <col min="265" max="266" width="10.625" style="2938" customWidth="1"/>
    <col min="267" max="268" width="14.375" style="2938" customWidth="1"/>
    <col min="269" max="269" width="6.25" style="2938" customWidth="1"/>
    <col min="270" max="270" width="26.125" style="2938" customWidth="1"/>
    <col min="271" max="512" width="9" style="2938"/>
    <col min="513" max="513" width="27.25" style="2938" customWidth="1"/>
    <col min="514" max="514" width="6.25" style="2938" customWidth="1"/>
    <col min="515" max="515" width="11.75" style="2938" customWidth="1"/>
    <col min="516" max="517" width="13.875" style="2938" customWidth="1"/>
    <col min="518" max="518" width="9.125" style="2938" customWidth="1"/>
    <col min="519" max="519" width="7.875" style="2938" customWidth="1"/>
    <col min="520" max="520" width="9" style="2938" customWidth="1"/>
    <col min="521" max="522" width="10.625" style="2938" customWidth="1"/>
    <col min="523" max="524" width="14.375" style="2938" customWidth="1"/>
    <col min="525" max="525" width="6.25" style="2938" customWidth="1"/>
    <col min="526" max="526" width="26.125" style="2938" customWidth="1"/>
    <col min="527" max="768" width="9" style="2938"/>
    <col min="769" max="769" width="27.25" style="2938" customWidth="1"/>
    <col min="770" max="770" width="6.25" style="2938" customWidth="1"/>
    <col min="771" max="771" width="11.75" style="2938" customWidth="1"/>
    <col min="772" max="773" width="13.875" style="2938" customWidth="1"/>
    <col min="774" max="774" width="9.125" style="2938" customWidth="1"/>
    <col min="775" max="775" width="7.875" style="2938" customWidth="1"/>
    <col min="776" max="776" width="9" style="2938" customWidth="1"/>
    <col min="777" max="778" width="10.625" style="2938" customWidth="1"/>
    <col min="779" max="780" width="14.375" style="2938" customWidth="1"/>
    <col min="781" max="781" width="6.25" style="2938" customWidth="1"/>
    <col min="782" max="782" width="26.125" style="2938" customWidth="1"/>
    <col min="783" max="1024" width="9" style="2938"/>
    <col min="1025" max="1025" width="27.25" style="2938" customWidth="1"/>
    <col min="1026" max="1026" width="6.25" style="2938" customWidth="1"/>
    <col min="1027" max="1027" width="11.75" style="2938" customWidth="1"/>
    <col min="1028" max="1029" width="13.875" style="2938" customWidth="1"/>
    <col min="1030" max="1030" width="9.125" style="2938" customWidth="1"/>
    <col min="1031" max="1031" width="7.875" style="2938" customWidth="1"/>
    <col min="1032" max="1032" width="9" style="2938" customWidth="1"/>
    <col min="1033" max="1034" width="10.625" style="2938" customWidth="1"/>
    <col min="1035" max="1036" width="14.375" style="2938" customWidth="1"/>
    <col min="1037" max="1037" width="6.25" style="2938" customWidth="1"/>
    <col min="1038" max="1038" width="26.125" style="2938" customWidth="1"/>
    <col min="1039" max="1280" width="9" style="2938"/>
    <col min="1281" max="1281" width="27.25" style="2938" customWidth="1"/>
    <col min="1282" max="1282" width="6.25" style="2938" customWidth="1"/>
    <col min="1283" max="1283" width="11.75" style="2938" customWidth="1"/>
    <col min="1284" max="1285" width="13.875" style="2938" customWidth="1"/>
    <col min="1286" max="1286" width="9.125" style="2938" customWidth="1"/>
    <col min="1287" max="1287" width="7.875" style="2938" customWidth="1"/>
    <col min="1288" max="1288" width="9" style="2938" customWidth="1"/>
    <col min="1289" max="1290" width="10.625" style="2938" customWidth="1"/>
    <col min="1291" max="1292" width="14.375" style="2938" customWidth="1"/>
    <col min="1293" max="1293" width="6.25" style="2938" customWidth="1"/>
    <col min="1294" max="1294" width="26.125" style="2938" customWidth="1"/>
    <col min="1295" max="1536" width="9" style="2938"/>
    <col min="1537" max="1537" width="27.25" style="2938" customWidth="1"/>
    <col min="1538" max="1538" width="6.25" style="2938" customWidth="1"/>
    <col min="1539" max="1539" width="11.75" style="2938" customWidth="1"/>
    <col min="1540" max="1541" width="13.875" style="2938" customWidth="1"/>
    <col min="1542" max="1542" width="9.125" style="2938" customWidth="1"/>
    <col min="1543" max="1543" width="7.875" style="2938" customWidth="1"/>
    <col min="1544" max="1544" width="9" style="2938" customWidth="1"/>
    <col min="1545" max="1546" width="10.625" style="2938" customWidth="1"/>
    <col min="1547" max="1548" width="14.375" style="2938" customWidth="1"/>
    <col min="1549" max="1549" width="6.25" style="2938" customWidth="1"/>
    <col min="1550" max="1550" width="26.125" style="2938" customWidth="1"/>
    <col min="1551" max="1792" width="9" style="2938"/>
    <col min="1793" max="1793" width="27.25" style="2938" customWidth="1"/>
    <col min="1794" max="1794" width="6.25" style="2938" customWidth="1"/>
    <col min="1795" max="1795" width="11.75" style="2938" customWidth="1"/>
    <col min="1796" max="1797" width="13.875" style="2938" customWidth="1"/>
    <col min="1798" max="1798" width="9.125" style="2938" customWidth="1"/>
    <col min="1799" max="1799" width="7.875" style="2938" customWidth="1"/>
    <col min="1800" max="1800" width="9" style="2938" customWidth="1"/>
    <col min="1801" max="1802" width="10.625" style="2938" customWidth="1"/>
    <col min="1803" max="1804" width="14.375" style="2938" customWidth="1"/>
    <col min="1805" max="1805" width="6.25" style="2938" customWidth="1"/>
    <col min="1806" max="1806" width="26.125" style="2938" customWidth="1"/>
    <col min="1807" max="2048" width="9" style="2938"/>
    <col min="2049" max="2049" width="27.25" style="2938" customWidth="1"/>
    <col min="2050" max="2050" width="6.25" style="2938" customWidth="1"/>
    <col min="2051" max="2051" width="11.75" style="2938" customWidth="1"/>
    <col min="2052" max="2053" width="13.875" style="2938" customWidth="1"/>
    <col min="2054" max="2054" width="9.125" style="2938" customWidth="1"/>
    <col min="2055" max="2055" width="7.875" style="2938" customWidth="1"/>
    <col min="2056" max="2056" width="9" style="2938" customWidth="1"/>
    <col min="2057" max="2058" width="10.625" style="2938" customWidth="1"/>
    <col min="2059" max="2060" width="14.375" style="2938" customWidth="1"/>
    <col min="2061" max="2061" width="6.25" style="2938" customWidth="1"/>
    <col min="2062" max="2062" width="26.125" style="2938" customWidth="1"/>
    <col min="2063" max="2304" width="9" style="2938"/>
    <col min="2305" max="2305" width="27.25" style="2938" customWidth="1"/>
    <col min="2306" max="2306" width="6.25" style="2938" customWidth="1"/>
    <col min="2307" max="2307" width="11.75" style="2938" customWidth="1"/>
    <col min="2308" max="2309" width="13.875" style="2938" customWidth="1"/>
    <col min="2310" max="2310" width="9.125" style="2938" customWidth="1"/>
    <col min="2311" max="2311" width="7.875" style="2938" customWidth="1"/>
    <col min="2312" max="2312" width="9" style="2938" customWidth="1"/>
    <col min="2313" max="2314" width="10.625" style="2938" customWidth="1"/>
    <col min="2315" max="2316" width="14.375" style="2938" customWidth="1"/>
    <col min="2317" max="2317" width="6.25" style="2938" customWidth="1"/>
    <col min="2318" max="2318" width="26.125" style="2938" customWidth="1"/>
    <col min="2319" max="2560" width="9" style="2938"/>
    <col min="2561" max="2561" width="27.25" style="2938" customWidth="1"/>
    <col min="2562" max="2562" width="6.25" style="2938" customWidth="1"/>
    <col min="2563" max="2563" width="11.75" style="2938" customWidth="1"/>
    <col min="2564" max="2565" width="13.875" style="2938" customWidth="1"/>
    <col min="2566" max="2566" width="9.125" style="2938" customWidth="1"/>
    <col min="2567" max="2567" width="7.875" style="2938" customWidth="1"/>
    <col min="2568" max="2568" width="9" style="2938" customWidth="1"/>
    <col min="2569" max="2570" width="10.625" style="2938" customWidth="1"/>
    <col min="2571" max="2572" width="14.375" style="2938" customWidth="1"/>
    <col min="2573" max="2573" width="6.25" style="2938" customWidth="1"/>
    <col min="2574" max="2574" width="26.125" style="2938" customWidth="1"/>
    <col min="2575" max="2816" width="9" style="2938"/>
    <col min="2817" max="2817" width="27.25" style="2938" customWidth="1"/>
    <col min="2818" max="2818" width="6.25" style="2938" customWidth="1"/>
    <col min="2819" max="2819" width="11.75" style="2938" customWidth="1"/>
    <col min="2820" max="2821" width="13.875" style="2938" customWidth="1"/>
    <col min="2822" max="2822" width="9.125" style="2938" customWidth="1"/>
    <col min="2823" max="2823" width="7.875" style="2938" customWidth="1"/>
    <col min="2824" max="2824" width="9" style="2938" customWidth="1"/>
    <col min="2825" max="2826" width="10.625" style="2938" customWidth="1"/>
    <col min="2827" max="2828" width="14.375" style="2938" customWidth="1"/>
    <col min="2829" max="2829" width="6.25" style="2938" customWidth="1"/>
    <col min="2830" max="2830" width="26.125" style="2938" customWidth="1"/>
    <col min="2831" max="3072" width="9" style="2938"/>
    <col min="3073" max="3073" width="27.25" style="2938" customWidth="1"/>
    <col min="3074" max="3074" width="6.25" style="2938" customWidth="1"/>
    <col min="3075" max="3075" width="11.75" style="2938" customWidth="1"/>
    <col min="3076" max="3077" width="13.875" style="2938" customWidth="1"/>
    <col min="3078" max="3078" width="9.125" style="2938" customWidth="1"/>
    <col min="3079" max="3079" width="7.875" style="2938" customWidth="1"/>
    <col min="3080" max="3080" width="9" style="2938" customWidth="1"/>
    <col min="3081" max="3082" width="10.625" style="2938" customWidth="1"/>
    <col min="3083" max="3084" width="14.375" style="2938" customWidth="1"/>
    <col min="3085" max="3085" width="6.25" style="2938" customWidth="1"/>
    <col min="3086" max="3086" width="26.125" style="2938" customWidth="1"/>
    <col min="3087" max="3328" width="9" style="2938"/>
    <col min="3329" max="3329" width="27.25" style="2938" customWidth="1"/>
    <col min="3330" max="3330" width="6.25" style="2938" customWidth="1"/>
    <col min="3331" max="3331" width="11.75" style="2938" customWidth="1"/>
    <col min="3332" max="3333" width="13.875" style="2938" customWidth="1"/>
    <col min="3334" max="3334" width="9.125" style="2938" customWidth="1"/>
    <col min="3335" max="3335" width="7.875" style="2938" customWidth="1"/>
    <col min="3336" max="3336" width="9" style="2938" customWidth="1"/>
    <col min="3337" max="3338" width="10.625" style="2938" customWidth="1"/>
    <col min="3339" max="3340" width="14.375" style="2938" customWidth="1"/>
    <col min="3341" max="3341" width="6.25" style="2938" customWidth="1"/>
    <col min="3342" max="3342" width="26.125" style="2938" customWidth="1"/>
    <col min="3343" max="3584" width="9" style="2938"/>
    <col min="3585" max="3585" width="27.25" style="2938" customWidth="1"/>
    <col min="3586" max="3586" width="6.25" style="2938" customWidth="1"/>
    <col min="3587" max="3587" width="11.75" style="2938" customWidth="1"/>
    <col min="3588" max="3589" width="13.875" style="2938" customWidth="1"/>
    <col min="3590" max="3590" width="9.125" style="2938" customWidth="1"/>
    <col min="3591" max="3591" width="7.875" style="2938" customWidth="1"/>
    <col min="3592" max="3592" width="9" style="2938" customWidth="1"/>
    <col min="3593" max="3594" width="10.625" style="2938" customWidth="1"/>
    <col min="3595" max="3596" width="14.375" style="2938" customWidth="1"/>
    <col min="3597" max="3597" width="6.25" style="2938" customWidth="1"/>
    <col min="3598" max="3598" width="26.125" style="2938" customWidth="1"/>
    <col min="3599" max="3840" width="9" style="2938"/>
    <col min="3841" max="3841" width="27.25" style="2938" customWidth="1"/>
    <col min="3842" max="3842" width="6.25" style="2938" customWidth="1"/>
    <col min="3843" max="3843" width="11.75" style="2938" customWidth="1"/>
    <col min="3844" max="3845" width="13.875" style="2938" customWidth="1"/>
    <col min="3846" max="3846" width="9.125" style="2938" customWidth="1"/>
    <col min="3847" max="3847" width="7.875" style="2938" customWidth="1"/>
    <col min="3848" max="3848" width="9" style="2938" customWidth="1"/>
    <col min="3849" max="3850" width="10.625" style="2938" customWidth="1"/>
    <col min="3851" max="3852" width="14.375" style="2938" customWidth="1"/>
    <col min="3853" max="3853" width="6.25" style="2938" customWidth="1"/>
    <col min="3854" max="3854" width="26.125" style="2938" customWidth="1"/>
    <col min="3855" max="4096" width="9" style="2938"/>
    <col min="4097" max="4097" width="27.25" style="2938" customWidth="1"/>
    <col min="4098" max="4098" width="6.25" style="2938" customWidth="1"/>
    <col min="4099" max="4099" width="11.75" style="2938" customWidth="1"/>
    <col min="4100" max="4101" width="13.875" style="2938" customWidth="1"/>
    <col min="4102" max="4102" width="9.125" style="2938" customWidth="1"/>
    <col min="4103" max="4103" width="7.875" style="2938" customWidth="1"/>
    <col min="4104" max="4104" width="9" style="2938" customWidth="1"/>
    <col min="4105" max="4106" width="10.625" style="2938" customWidth="1"/>
    <col min="4107" max="4108" width="14.375" style="2938" customWidth="1"/>
    <col min="4109" max="4109" width="6.25" style="2938" customWidth="1"/>
    <col min="4110" max="4110" width="26.125" style="2938" customWidth="1"/>
    <col min="4111" max="4352" width="9" style="2938"/>
    <col min="4353" max="4353" width="27.25" style="2938" customWidth="1"/>
    <col min="4354" max="4354" width="6.25" style="2938" customWidth="1"/>
    <col min="4355" max="4355" width="11.75" style="2938" customWidth="1"/>
    <col min="4356" max="4357" width="13.875" style="2938" customWidth="1"/>
    <col min="4358" max="4358" width="9.125" style="2938" customWidth="1"/>
    <col min="4359" max="4359" width="7.875" style="2938" customWidth="1"/>
    <col min="4360" max="4360" width="9" style="2938" customWidth="1"/>
    <col min="4361" max="4362" width="10.625" style="2938" customWidth="1"/>
    <col min="4363" max="4364" width="14.375" style="2938" customWidth="1"/>
    <col min="4365" max="4365" width="6.25" style="2938" customWidth="1"/>
    <col min="4366" max="4366" width="26.125" style="2938" customWidth="1"/>
    <col min="4367" max="4608" width="9" style="2938"/>
    <col min="4609" max="4609" width="27.25" style="2938" customWidth="1"/>
    <col min="4610" max="4610" width="6.25" style="2938" customWidth="1"/>
    <col min="4611" max="4611" width="11.75" style="2938" customWidth="1"/>
    <col min="4612" max="4613" width="13.875" style="2938" customWidth="1"/>
    <col min="4614" max="4614" width="9.125" style="2938" customWidth="1"/>
    <col min="4615" max="4615" width="7.875" style="2938" customWidth="1"/>
    <col min="4616" max="4616" width="9" style="2938" customWidth="1"/>
    <col min="4617" max="4618" width="10.625" style="2938" customWidth="1"/>
    <col min="4619" max="4620" width="14.375" style="2938" customWidth="1"/>
    <col min="4621" max="4621" width="6.25" style="2938" customWidth="1"/>
    <col min="4622" max="4622" width="26.125" style="2938" customWidth="1"/>
    <col min="4623" max="4864" width="9" style="2938"/>
    <col min="4865" max="4865" width="27.25" style="2938" customWidth="1"/>
    <col min="4866" max="4866" width="6.25" style="2938" customWidth="1"/>
    <col min="4867" max="4867" width="11.75" style="2938" customWidth="1"/>
    <col min="4868" max="4869" width="13.875" style="2938" customWidth="1"/>
    <col min="4870" max="4870" width="9.125" style="2938" customWidth="1"/>
    <col min="4871" max="4871" width="7.875" style="2938" customWidth="1"/>
    <col min="4872" max="4872" width="9" style="2938" customWidth="1"/>
    <col min="4873" max="4874" width="10.625" style="2938" customWidth="1"/>
    <col min="4875" max="4876" width="14.375" style="2938" customWidth="1"/>
    <col min="4877" max="4877" width="6.25" style="2938" customWidth="1"/>
    <col min="4878" max="4878" width="26.125" style="2938" customWidth="1"/>
    <col min="4879" max="5120" width="9" style="2938"/>
    <col min="5121" max="5121" width="27.25" style="2938" customWidth="1"/>
    <col min="5122" max="5122" width="6.25" style="2938" customWidth="1"/>
    <col min="5123" max="5123" width="11.75" style="2938" customWidth="1"/>
    <col min="5124" max="5125" width="13.875" style="2938" customWidth="1"/>
    <col min="5126" max="5126" width="9.125" style="2938" customWidth="1"/>
    <col min="5127" max="5127" width="7.875" style="2938" customWidth="1"/>
    <col min="5128" max="5128" width="9" style="2938" customWidth="1"/>
    <col min="5129" max="5130" width="10.625" style="2938" customWidth="1"/>
    <col min="5131" max="5132" width="14.375" style="2938" customWidth="1"/>
    <col min="5133" max="5133" width="6.25" style="2938" customWidth="1"/>
    <col min="5134" max="5134" width="26.125" style="2938" customWidth="1"/>
    <col min="5135" max="5376" width="9" style="2938"/>
    <col min="5377" max="5377" width="27.25" style="2938" customWidth="1"/>
    <col min="5378" max="5378" width="6.25" style="2938" customWidth="1"/>
    <col min="5379" max="5379" width="11.75" style="2938" customWidth="1"/>
    <col min="5380" max="5381" width="13.875" style="2938" customWidth="1"/>
    <col min="5382" max="5382" width="9.125" style="2938" customWidth="1"/>
    <col min="5383" max="5383" width="7.875" style="2938" customWidth="1"/>
    <col min="5384" max="5384" width="9" style="2938" customWidth="1"/>
    <col min="5385" max="5386" width="10.625" style="2938" customWidth="1"/>
    <col min="5387" max="5388" width="14.375" style="2938" customWidth="1"/>
    <col min="5389" max="5389" width="6.25" style="2938" customWidth="1"/>
    <col min="5390" max="5390" width="26.125" style="2938" customWidth="1"/>
    <col min="5391" max="5632" width="9" style="2938"/>
    <col min="5633" max="5633" width="27.25" style="2938" customWidth="1"/>
    <col min="5634" max="5634" width="6.25" style="2938" customWidth="1"/>
    <col min="5635" max="5635" width="11.75" style="2938" customWidth="1"/>
    <col min="5636" max="5637" width="13.875" style="2938" customWidth="1"/>
    <col min="5638" max="5638" width="9.125" style="2938" customWidth="1"/>
    <col min="5639" max="5639" width="7.875" style="2938" customWidth="1"/>
    <col min="5640" max="5640" width="9" style="2938" customWidth="1"/>
    <col min="5641" max="5642" width="10.625" style="2938" customWidth="1"/>
    <col min="5643" max="5644" width="14.375" style="2938" customWidth="1"/>
    <col min="5645" max="5645" width="6.25" style="2938" customWidth="1"/>
    <col min="5646" max="5646" width="26.125" style="2938" customWidth="1"/>
    <col min="5647" max="5888" width="9" style="2938"/>
    <col min="5889" max="5889" width="27.25" style="2938" customWidth="1"/>
    <col min="5890" max="5890" width="6.25" style="2938" customWidth="1"/>
    <col min="5891" max="5891" width="11.75" style="2938" customWidth="1"/>
    <col min="5892" max="5893" width="13.875" style="2938" customWidth="1"/>
    <col min="5894" max="5894" width="9.125" style="2938" customWidth="1"/>
    <col min="5895" max="5895" width="7.875" style="2938" customWidth="1"/>
    <col min="5896" max="5896" width="9" style="2938" customWidth="1"/>
    <col min="5897" max="5898" width="10.625" style="2938" customWidth="1"/>
    <col min="5899" max="5900" width="14.375" style="2938" customWidth="1"/>
    <col min="5901" max="5901" width="6.25" style="2938" customWidth="1"/>
    <col min="5902" max="5902" width="26.125" style="2938" customWidth="1"/>
    <col min="5903" max="6144" width="9" style="2938"/>
    <col min="6145" max="6145" width="27.25" style="2938" customWidth="1"/>
    <col min="6146" max="6146" width="6.25" style="2938" customWidth="1"/>
    <col min="6147" max="6147" width="11.75" style="2938" customWidth="1"/>
    <col min="6148" max="6149" width="13.875" style="2938" customWidth="1"/>
    <col min="6150" max="6150" width="9.125" style="2938" customWidth="1"/>
    <col min="6151" max="6151" width="7.875" style="2938" customWidth="1"/>
    <col min="6152" max="6152" width="9" style="2938" customWidth="1"/>
    <col min="6153" max="6154" width="10.625" style="2938" customWidth="1"/>
    <col min="6155" max="6156" width="14.375" style="2938" customWidth="1"/>
    <col min="6157" max="6157" width="6.25" style="2938" customWidth="1"/>
    <col min="6158" max="6158" width="26.125" style="2938" customWidth="1"/>
    <col min="6159" max="6400" width="9" style="2938"/>
    <col min="6401" max="6401" width="27.25" style="2938" customWidth="1"/>
    <col min="6402" max="6402" width="6.25" style="2938" customWidth="1"/>
    <col min="6403" max="6403" width="11.75" style="2938" customWidth="1"/>
    <col min="6404" max="6405" width="13.875" style="2938" customWidth="1"/>
    <col min="6406" max="6406" width="9.125" style="2938" customWidth="1"/>
    <col min="6407" max="6407" width="7.875" style="2938" customWidth="1"/>
    <col min="6408" max="6408" width="9" style="2938" customWidth="1"/>
    <col min="6409" max="6410" width="10.625" style="2938" customWidth="1"/>
    <col min="6411" max="6412" width="14.375" style="2938" customWidth="1"/>
    <col min="6413" max="6413" width="6.25" style="2938" customWidth="1"/>
    <col min="6414" max="6414" width="26.125" style="2938" customWidth="1"/>
    <col min="6415" max="6656" width="9" style="2938"/>
    <col min="6657" max="6657" width="27.25" style="2938" customWidth="1"/>
    <col min="6658" max="6658" width="6.25" style="2938" customWidth="1"/>
    <col min="6659" max="6659" width="11.75" style="2938" customWidth="1"/>
    <col min="6660" max="6661" width="13.875" style="2938" customWidth="1"/>
    <col min="6662" max="6662" width="9.125" style="2938" customWidth="1"/>
    <col min="6663" max="6663" width="7.875" style="2938" customWidth="1"/>
    <col min="6664" max="6664" width="9" style="2938" customWidth="1"/>
    <col min="6665" max="6666" width="10.625" style="2938" customWidth="1"/>
    <col min="6667" max="6668" width="14.375" style="2938" customWidth="1"/>
    <col min="6669" max="6669" width="6.25" style="2938" customWidth="1"/>
    <col min="6670" max="6670" width="26.125" style="2938" customWidth="1"/>
    <col min="6671" max="6912" width="9" style="2938"/>
    <col min="6913" max="6913" width="27.25" style="2938" customWidth="1"/>
    <col min="6914" max="6914" width="6.25" style="2938" customWidth="1"/>
    <col min="6915" max="6915" width="11.75" style="2938" customWidth="1"/>
    <col min="6916" max="6917" width="13.875" style="2938" customWidth="1"/>
    <col min="6918" max="6918" width="9.125" style="2938" customWidth="1"/>
    <col min="6919" max="6919" width="7.875" style="2938" customWidth="1"/>
    <col min="6920" max="6920" width="9" style="2938" customWidth="1"/>
    <col min="6921" max="6922" width="10.625" style="2938" customWidth="1"/>
    <col min="6923" max="6924" width="14.375" style="2938" customWidth="1"/>
    <col min="6925" max="6925" width="6.25" style="2938" customWidth="1"/>
    <col min="6926" max="6926" width="26.125" style="2938" customWidth="1"/>
    <col min="6927" max="7168" width="9" style="2938"/>
    <col min="7169" max="7169" width="27.25" style="2938" customWidth="1"/>
    <col min="7170" max="7170" width="6.25" style="2938" customWidth="1"/>
    <col min="7171" max="7171" width="11.75" style="2938" customWidth="1"/>
    <col min="7172" max="7173" width="13.875" style="2938" customWidth="1"/>
    <col min="7174" max="7174" width="9.125" style="2938" customWidth="1"/>
    <col min="7175" max="7175" width="7.875" style="2938" customWidth="1"/>
    <col min="7176" max="7176" width="9" style="2938" customWidth="1"/>
    <col min="7177" max="7178" width="10.625" style="2938" customWidth="1"/>
    <col min="7179" max="7180" width="14.375" style="2938" customWidth="1"/>
    <col min="7181" max="7181" width="6.25" style="2938" customWidth="1"/>
    <col min="7182" max="7182" width="26.125" style="2938" customWidth="1"/>
    <col min="7183" max="7424" width="9" style="2938"/>
    <col min="7425" max="7425" width="27.25" style="2938" customWidth="1"/>
    <col min="7426" max="7426" width="6.25" style="2938" customWidth="1"/>
    <col min="7427" max="7427" width="11.75" style="2938" customWidth="1"/>
    <col min="7428" max="7429" width="13.875" style="2938" customWidth="1"/>
    <col min="7430" max="7430" width="9.125" style="2938" customWidth="1"/>
    <col min="7431" max="7431" width="7.875" style="2938" customWidth="1"/>
    <col min="7432" max="7432" width="9" style="2938" customWidth="1"/>
    <col min="7433" max="7434" width="10.625" style="2938" customWidth="1"/>
    <col min="7435" max="7436" width="14.375" style="2938" customWidth="1"/>
    <col min="7437" max="7437" width="6.25" style="2938" customWidth="1"/>
    <col min="7438" max="7438" width="26.125" style="2938" customWidth="1"/>
    <col min="7439" max="7680" width="9" style="2938"/>
    <col min="7681" max="7681" width="27.25" style="2938" customWidth="1"/>
    <col min="7682" max="7682" width="6.25" style="2938" customWidth="1"/>
    <col min="7683" max="7683" width="11.75" style="2938" customWidth="1"/>
    <col min="7684" max="7685" width="13.875" style="2938" customWidth="1"/>
    <col min="7686" max="7686" width="9.125" style="2938" customWidth="1"/>
    <col min="7687" max="7687" width="7.875" style="2938" customWidth="1"/>
    <col min="7688" max="7688" width="9" style="2938" customWidth="1"/>
    <col min="7689" max="7690" width="10.625" style="2938" customWidth="1"/>
    <col min="7691" max="7692" width="14.375" style="2938" customWidth="1"/>
    <col min="7693" max="7693" width="6.25" style="2938" customWidth="1"/>
    <col min="7694" max="7694" width="26.125" style="2938" customWidth="1"/>
    <col min="7695" max="7936" width="9" style="2938"/>
    <col min="7937" max="7937" width="27.25" style="2938" customWidth="1"/>
    <col min="7938" max="7938" width="6.25" style="2938" customWidth="1"/>
    <col min="7939" max="7939" width="11.75" style="2938" customWidth="1"/>
    <col min="7940" max="7941" width="13.875" style="2938" customWidth="1"/>
    <col min="7942" max="7942" width="9.125" style="2938" customWidth="1"/>
    <col min="7943" max="7943" width="7.875" style="2938" customWidth="1"/>
    <col min="7944" max="7944" width="9" style="2938" customWidth="1"/>
    <col min="7945" max="7946" width="10.625" style="2938" customWidth="1"/>
    <col min="7947" max="7948" width="14.375" style="2938" customWidth="1"/>
    <col min="7949" max="7949" width="6.25" style="2938" customWidth="1"/>
    <col min="7950" max="7950" width="26.125" style="2938" customWidth="1"/>
    <col min="7951" max="8192" width="9" style="2938"/>
    <col min="8193" max="8193" width="27.25" style="2938" customWidth="1"/>
    <col min="8194" max="8194" width="6.25" style="2938" customWidth="1"/>
    <col min="8195" max="8195" width="11.75" style="2938" customWidth="1"/>
    <col min="8196" max="8197" width="13.875" style="2938" customWidth="1"/>
    <col min="8198" max="8198" width="9.125" style="2938" customWidth="1"/>
    <col min="8199" max="8199" width="7.875" style="2938" customWidth="1"/>
    <col min="8200" max="8200" width="9" style="2938" customWidth="1"/>
    <col min="8201" max="8202" width="10.625" style="2938" customWidth="1"/>
    <col min="8203" max="8204" width="14.375" style="2938" customWidth="1"/>
    <col min="8205" max="8205" width="6.25" style="2938" customWidth="1"/>
    <col min="8206" max="8206" width="26.125" style="2938" customWidth="1"/>
    <col min="8207" max="8448" width="9" style="2938"/>
    <col min="8449" max="8449" width="27.25" style="2938" customWidth="1"/>
    <col min="8450" max="8450" width="6.25" style="2938" customWidth="1"/>
    <col min="8451" max="8451" width="11.75" style="2938" customWidth="1"/>
    <col min="8452" max="8453" width="13.875" style="2938" customWidth="1"/>
    <col min="8454" max="8454" width="9.125" style="2938" customWidth="1"/>
    <col min="8455" max="8455" width="7.875" style="2938" customWidth="1"/>
    <col min="8456" max="8456" width="9" style="2938" customWidth="1"/>
    <col min="8457" max="8458" width="10.625" style="2938" customWidth="1"/>
    <col min="8459" max="8460" width="14.375" style="2938" customWidth="1"/>
    <col min="8461" max="8461" width="6.25" style="2938" customWidth="1"/>
    <col min="8462" max="8462" width="26.125" style="2938" customWidth="1"/>
    <col min="8463" max="8704" width="9" style="2938"/>
    <col min="8705" max="8705" width="27.25" style="2938" customWidth="1"/>
    <col min="8706" max="8706" width="6.25" style="2938" customWidth="1"/>
    <col min="8707" max="8707" width="11.75" style="2938" customWidth="1"/>
    <col min="8708" max="8709" width="13.875" style="2938" customWidth="1"/>
    <col min="8710" max="8710" width="9.125" style="2938" customWidth="1"/>
    <col min="8711" max="8711" width="7.875" style="2938" customWidth="1"/>
    <col min="8712" max="8712" width="9" style="2938" customWidth="1"/>
    <col min="8713" max="8714" width="10.625" style="2938" customWidth="1"/>
    <col min="8715" max="8716" width="14.375" style="2938" customWidth="1"/>
    <col min="8717" max="8717" width="6.25" style="2938" customWidth="1"/>
    <col min="8718" max="8718" width="26.125" style="2938" customWidth="1"/>
    <col min="8719" max="8960" width="9" style="2938"/>
    <col min="8961" max="8961" width="27.25" style="2938" customWidth="1"/>
    <col min="8962" max="8962" width="6.25" style="2938" customWidth="1"/>
    <col min="8963" max="8963" width="11.75" style="2938" customWidth="1"/>
    <col min="8964" max="8965" width="13.875" style="2938" customWidth="1"/>
    <col min="8966" max="8966" width="9.125" style="2938" customWidth="1"/>
    <col min="8967" max="8967" width="7.875" style="2938" customWidth="1"/>
    <col min="8968" max="8968" width="9" style="2938" customWidth="1"/>
    <col min="8969" max="8970" width="10.625" style="2938" customWidth="1"/>
    <col min="8971" max="8972" width="14.375" style="2938" customWidth="1"/>
    <col min="8973" max="8973" width="6.25" style="2938" customWidth="1"/>
    <col min="8974" max="8974" width="26.125" style="2938" customWidth="1"/>
    <col min="8975" max="9216" width="9" style="2938"/>
    <col min="9217" max="9217" width="27.25" style="2938" customWidth="1"/>
    <col min="9218" max="9218" width="6.25" style="2938" customWidth="1"/>
    <col min="9219" max="9219" width="11.75" style="2938" customWidth="1"/>
    <col min="9220" max="9221" width="13.875" style="2938" customWidth="1"/>
    <col min="9222" max="9222" width="9.125" style="2938" customWidth="1"/>
    <col min="9223" max="9223" width="7.875" style="2938" customWidth="1"/>
    <col min="9224" max="9224" width="9" style="2938" customWidth="1"/>
    <col min="9225" max="9226" width="10.625" style="2938" customWidth="1"/>
    <col min="9227" max="9228" width="14.375" style="2938" customWidth="1"/>
    <col min="9229" max="9229" width="6.25" style="2938" customWidth="1"/>
    <col min="9230" max="9230" width="26.125" style="2938" customWidth="1"/>
    <col min="9231" max="9472" width="9" style="2938"/>
    <col min="9473" max="9473" width="27.25" style="2938" customWidth="1"/>
    <col min="9474" max="9474" width="6.25" style="2938" customWidth="1"/>
    <col min="9475" max="9475" width="11.75" style="2938" customWidth="1"/>
    <col min="9476" max="9477" width="13.875" style="2938" customWidth="1"/>
    <col min="9478" max="9478" width="9.125" style="2938" customWidth="1"/>
    <col min="9479" max="9479" width="7.875" style="2938" customWidth="1"/>
    <col min="9480" max="9480" width="9" style="2938" customWidth="1"/>
    <col min="9481" max="9482" width="10.625" style="2938" customWidth="1"/>
    <col min="9483" max="9484" width="14.375" style="2938" customWidth="1"/>
    <col min="9485" max="9485" width="6.25" style="2938" customWidth="1"/>
    <col min="9486" max="9486" width="26.125" style="2938" customWidth="1"/>
    <col min="9487" max="9728" width="9" style="2938"/>
    <col min="9729" max="9729" width="27.25" style="2938" customWidth="1"/>
    <col min="9730" max="9730" width="6.25" style="2938" customWidth="1"/>
    <col min="9731" max="9731" width="11.75" style="2938" customWidth="1"/>
    <col min="9732" max="9733" width="13.875" style="2938" customWidth="1"/>
    <col min="9734" max="9734" width="9.125" style="2938" customWidth="1"/>
    <col min="9735" max="9735" width="7.875" style="2938" customWidth="1"/>
    <col min="9736" max="9736" width="9" style="2938" customWidth="1"/>
    <col min="9737" max="9738" width="10.625" style="2938" customWidth="1"/>
    <col min="9739" max="9740" width="14.375" style="2938" customWidth="1"/>
    <col min="9741" max="9741" width="6.25" style="2938" customWidth="1"/>
    <col min="9742" max="9742" width="26.125" style="2938" customWidth="1"/>
    <col min="9743" max="9984" width="9" style="2938"/>
    <col min="9985" max="9985" width="27.25" style="2938" customWidth="1"/>
    <col min="9986" max="9986" width="6.25" style="2938" customWidth="1"/>
    <col min="9987" max="9987" width="11.75" style="2938" customWidth="1"/>
    <col min="9988" max="9989" width="13.875" style="2938" customWidth="1"/>
    <col min="9990" max="9990" width="9.125" style="2938" customWidth="1"/>
    <col min="9991" max="9991" width="7.875" style="2938" customWidth="1"/>
    <col min="9992" max="9992" width="9" style="2938" customWidth="1"/>
    <col min="9993" max="9994" width="10.625" style="2938" customWidth="1"/>
    <col min="9995" max="9996" width="14.375" style="2938" customWidth="1"/>
    <col min="9997" max="9997" width="6.25" style="2938" customWidth="1"/>
    <col min="9998" max="9998" width="26.125" style="2938" customWidth="1"/>
    <col min="9999" max="10240" width="9" style="2938"/>
    <col min="10241" max="10241" width="27.25" style="2938" customWidth="1"/>
    <col min="10242" max="10242" width="6.25" style="2938" customWidth="1"/>
    <col min="10243" max="10243" width="11.75" style="2938" customWidth="1"/>
    <col min="10244" max="10245" width="13.875" style="2938" customWidth="1"/>
    <col min="10246" max="10246" width="9.125" style="2938" customWidth="1"/>
    <col min="10247" max="10247" width="7.875" style="2938" customWidth="1"/>
    <col min="10248" max="10248" width="9" style="2938" customWidth="1"/>
    <col min="10249" max="10250" width="10.625" style="2938" customWidth="1"/>
    <col min="10251" max="10252" width="14.375" style="2938" customWidth="1"/>
    <col min="10253" max="10253" width="6.25" style="2938" customWidth="1"/>
    <col min="10254" max="10254" width="26.125" style="2938" customWidth="1"/>
    <col min="10255" max="10496" width="9" style="2938"/>
    <col min="10497" max="10497" width="27.25" style="2938" customWidth="1"/>
    <col min="10498" max="10498" width="6.25" style="2938" customWidth="1"/>
    <col min="10499" max="10499" width="11.75" style="2938" customWidth="1"/>
    <col min="10500" max="10501" width="13.875" style="2938" customWidth="1"/>
    <col min="10502" max="10502" width="9.125" style="2938" customWidth="1"/>
    <col min="10503" max="10503" width="7.875" style="2938" customWidth="1"/>
    <col min="10504" max="10504" width="9" style="2938" customWidth="1"/>
    <col min="10505" max="10506" width="10.625" style="2938" customWidth="1"/>
    <col min="10507" max="10508" width="14.375" style="2938" customWidth="1"/>
    <col min="10509" max="10509" width="6.25" style="2938" customWidth="1"/>
    <col min="10510" max="10510" width="26.125" style="2938" customWidth="1"/>
    <col min="10511" max="10752" width="9" style="2938"/>
    <col min="10753" max="10753" width="27.25" style="2938" customWidth="1"/>
    <col min="10754" max="10754" width="6.25" style="2938" customWidth="1"/>
    <col min="10755" max="10755" width="11.75" style="2938" customWidth="1"/>
    <col min="10756" max="10757" width="13.875" style="2938" customWidth="1"/>
    <col min="10758" max="10758" width="9.125" style="2938" customWidth="1"/>
    <col min="10759" max="10759" width="7.875" style="2938" customWidth="1"/>
    <col min="10760" max="10760" width="9" style="2938" customWidth="1"/>
    <col min="10761" max="10762" width="10.625" style="2938" customWidth="1"/>
    <col min="10763" max="10764" width="14.375" style="2938" customWidth="1"/>
    <col min="10765" max="10765" width="6.25" style="2938" customWidth="1"/>
    <col min="10766" max="10766" width="26.125" style="2938" customWidth="1"/>
    <col min="10767" max="11008" width="9" style="2938"/>
    <col min="11009" max="11009" width="27.25" style="2938" customWidth="1"/>
    <col min="11010" max="11010" width="6.25" style="2938" customWidth="1"/>
    <col min="11011" max="11011" width="11.75" style="2938" customWidth="1"/>
    <col min="11012" max="11013" width="13.875" style="2938" customWidth="1"/>
    <col min="11014" max="11014" width="9.125" style="2938" customWidth="1"/>
    <col min="11015" max="11015" width="7.875" style="2938" customWidth="1"/>
    <col min="11016" max="11016" width="9" style="2938" customWidth="1"/>
    <col min="11017" max="11018" width="10.625" style="2938" customWidth="1"/>
    <col min="11019" max="11020" width="14.375" style="2938" customWidth="1"/>
    <col min="11021" max="11021" width="6.25" style="2938" customWidth="1"/>
    <col min="11022" max="11022" width="26.125" style="2938" customWidth="1"/>
    <col min="11023" max="11264" width="9" style="2938"/>
    <col min="11265" max="11265" width="27.25" style="2938" customWidth="1"/>
    <col min="11266" max="11266" width="6.25" style="2938" customWidth="1"/>
    <col min="11267" max="11267" width="11.75" style="2938" customWidth="1"/>
    <col min="11268" max="11269" width="13.875" style="2938" customWidth="1"/>
    <col min="11270" max="11270" width="9.125" style="2938" customWidth="1"/>
    <col min="11271" max="11271" width="7.875" style="2938" customWidth="1"/>
    <col min="11272" max="11272" width="9" style="2938" customWidth="1"/>
    <col min="11273" max="11274" width="10.625" style="2938" customWidth="1"/>
    <col min="11275" max="11276" width="14.375" style="2938" customWidth="1"/>
    <col min="11277" max="11277" width="6.25" style="2938" customWidth="1"/>
    <col min="11278" max="11278" width="26.125" style="2938" customWidth="1"/>
    <col min="11279" max="11520" width="9" style="2938"/>
    <col min="11521" max="11521" width="27.25" style="2938" customWidth="1"/>
    <col min="11522" max="11522" width="6.25" style="2938" customWidth="1"/>
    <col min="11523" max="11523" width="11.75" style="2938" customWidth="1"/>
    <col min="11524" max="11525" width="13.875" style="2938" customWidth="1"/>
    <col min="11526" max="11526" width="9.125" style="2938" customWidth="1"/>
    <col min="11527" max="11527" width="7.875" style="2938" customWidth="1"/>
    <col min="11528" max="11528" width="9" style="2938" customWidth="1"/>
    <col min="11529" max="11530" width="10.625" style="2938" customWidth="1"/>
    <col min="11531" max="11532" width="14.375" style="2938" customWidth="1"/>
    <col min="11533" max="11533" width="6.25" style="2938" customWidth="1"/>
    <col min="11534" max="11534" width="26.125" style="2938" customWidth="1"/>
    <col min="11535" max="11776" width="9" style="2938"/>
    <col min="11777" max="11777" width="27.25" style="2938" customWidth="1"/>
    <col min="11778" max="11778" width="6.25" style="2938" customWidth="1"/>
    <col min="11779" max="11779" width="11.75" style="2938" customWidth="1"/>
    <col min="11780" max="11781" width="13.875" style="2938" customWidth="1"/>
    <col min="11782" max="11782" width="9.125" style="2938" customWidth="1"/>
    <col min="11783" max="11783" width="7.875" style="2938" customWidth="1"/>
    <col min="11784" max="11784" width="9" style="2938" customWidth="1"/>
    <col min="11785" max="11786" width="10.625" style="2938" customWidth="1"/>
    <col min="11787" max="11788" width="14.375" style="2938" customWidth="1"/>
    <col min="11789" max="11789" width="6.25" style="2938" customWidth="1"/>
    <col min="11790" max="11790" width="26.125" style="2938" customWidth="1"/>
    <col min="11791" max="12032" width="9" style="2938"/>
    <col min="12033" max="12033" width="27.25" style="2938" customWidth="1"/>
    <col min="12034" max="12034" width="6.25" style="2938" customWidth="1"/>
    <col min="12035" max="12035" width="11.75" style="2938" customWidth="1"/>
    <col min="12036" max="12037" width="13.875" style="2938" customWidth="1"/>
    <col min="12038" max="12038" width="9.125" style="2938" customWidth="1"/>
    <col min="12039" max="12039" width="7.875" style="2938" customWidth="1"/>
    <col min="12040" max="12040" width="9" style="2938" customWidth="1"/>
    <col min="12041" max="12042" width="10.625" style="2938" customWidth="1"/>
    <col min="12043" max="12044" width="14.375" style="2938" customWidth="1"/>
    <col min="12045" max="12045" width="6.25" style="2938" customWidth="1"/>
    <col min="12046" max="12046" width="26.125" style="2938" customWidth="1"/>
    <col min="12047" max="12288" width="9" style="2938"/>
    <col min="12289" max="12289" width="27.25" style="2938" customWidth="1"/>
    <col min="12290" max="12290" width="6.25" style="2938" customWidth="1"/>
    <col min="12291" max="12291" width="11.75" style="2938" customWidth="1"/>
    <col min="12292" max="12293" width="13.875" style="2938" customWidth="1"/>
    <col min="12294" max="12294" width="9.125" style="2938" customWidth="1"/>
    <col min="12295" max="12295" width="7.875" style="2938" customWidth="1"/>
    <col min="12296" max="12296" width="9" style="2938" customWidth="1"/>
    <col min="12297" max="12298" width="10.625" style="2938" customWidth="1"/>
    <col min="12299" max="12300" width="14.375" style="2938" customWidth="1"/>
    <col min="12301" max="12301" width="6.25" style="2938" customWidth="1"/>
    <col min="12302" max="12302" width="26.125" style="2938" customWidth="1"/>
    <col min="12303" max="12544" width="9" style="2938"/>
    <col min="12545" max="12545" width="27.25" style="2938" customWidth="1"/>
    <col min="12546" max="12546" width="6.25" style="2938" customWidth="1"/>
    <col min="12547" max="12547" width="11.75" style="2938" customWidth="1"/>
    <col min="12548" max="12549" width="13.875" style="2938" customWidth="1"/>
    <col min="12550" max="12550" width="9.125" style="2938" customWidth="1"/>
    <col min="12551" max="12551" width="7.875" style="2938" customWidth="1"/>
    <col min="12552" max="12552" width="9" style="2938" customWidth="1"/>
    <col min="12553" max="12554" width="10.625" style="2938" customWidth="1"/>
    <col min="12555" max="12556" width="14.375" style="2938" customWidth="1"/>
    <col min="12557" max="12557" width="6.25" style="2938" customWidth="1"/>
    <col min="12558" max="12558" width="26.125" style="2938" customWidth="1"/>
    <col min="12559" max="12800" width="9" style="2938"/>
    <col min="12801" max="12801" width="27.25" style="2938" customWidth="1"/>
    <col min="12802" max="12802" width="6.25" style="2938" customWidth="1"/>
    <col min="12803" max="12803" width="11.75" style="2938" customWidth="1"/>
    <col min="12804" max="12805" width="13.875" style="2938" customWidth="1"/>
    <col min="12806" max="12806" width="9.125" style="2938" customWidth="1"/>
    <col min="12807" max="12807" width="7.875" style="2938" customWidth="1"/>
    <col min="12808" max="12808" width="9" style="2938" customWidth="1"/>
    <col min="12809" max="12810" width="10.625" style="2938" customWidth="1"/>
    <col min="12811" max="12812" width="14.375" style="2938" customWidth="1"/>
    <col min="12813" max="12813" width="6.25" style="2938" customWidth="1"/>
    <col min="12814" max="12814" width="26.125" style="2938" customWidth="1"/>
    <col min="12815" max="13056" width="9" style="2938"/>
    <col min="13057" max="13057" width="27.25" style="2938" customWidth="1"/>
    <col min="13058" max="13058" width="6.25" style="2938" customWidth="1"/>
    <col min="13059" max="13059" width="11.75" style="2938" customWidth="1"/>
    <col min="13060" max="13061" width="13.875" style="2938" customWidth="1"/>
    <col min="13062" max="13062" width="9.125" style="2938" customWidth="1"/>
    <col min="13063" max="13063" width="7.875" style="2938" customWidth="1"/>
    <col min="13064" max="13064" width="9" style="2938" customWidth="1"/>
    <col min="13065" max="13066" width="10.625" style="2938" customWidth="1"/>
    <col min="13067" max="13068" width="14.375" style="2938" customWidth="1"/>
    <col min="13069" max="13069" width="6.25" style="2938" customWidth="1"/>
    <col min="13070" max="13070" width="26.125" style="2938" customWidth="1"/>
    <col min="13071" max="13312" width="9" style="2938"/>
    <col min="13313" max="13313" width="27.25" style="2938" customWidth="1"/>
    <col min="13314" max="13314" width="6.25" style="2938" customWidth="1"/>
    <col min="13315" max="13315" width="11.75" style="2938" customWidth="1"/>
    <col min="13316" max="13317" width="13.875" style="2938" customWidth="1"/>
    <col min="13318" max="13318" width="9.125" style="2938" customWidth="1"/>
    <col min="13319" max="13319" width="7.875" style="2938" customWidth="1"/>
    <col min="13320" max="13320" width="9" style="2938" customWidth="1"/>
    <col min="13321" max="13322" width="10.625" style="2938" customWidth="1"/>
    <col min="13323" max="13324" width="14.375" style="2938" customWidth="1"/>
    <col min="13325" max="13325" width="6.25" style="2938" customWidth="1"/>
    <col min="13326" max="13326" width="26.125" style="2938" customWidth="1"/>
    <col min="13327" max="13568" width="9" style="2938"/>
    <col min="13569" max="13569" width="27.25" style="2938" customWidth="1"/>
    <col min="13570" max="13570" width="6.25" style="2938" customWidth="1"/>
    <col min="13571" max="13571" width="11.75" style="2938" customWidth="1"/>
    <col min="13572" max="13573" width="13.875" style="2938" customWidth="1"/>
    <col min="13574" max="13574" width="9.125" style="2938" customWidth="1"/>
    <col min="13575" max="13575" width="7.875" style="2938" customWidth="1"/>
    <col min="13576" max="13576" width="9" style="2938" customWidth="1"/>
    <col min="13577" max="13578" width="10.625" style="2938" customWidth="1"/>
    <col min="13579" max="13580" width="14.375" style="2938" customWidth="1"/>
    <col min="13581" max="13581" width="6.25" style="2938" customWidth="1"/>
    <col min="13582" max="13582" width="26.125" style="2938" customWidth="1"/>
    <col min="13583" max="13824" width="9" style="2938"/>
    <col min="13825" max="13825" width="27.25" style="2938" customWidth="1"/>
    <col min="13826" max="13826" width="6.25" style="2938" customWidth="1"/>
    <col min="13827" max="13827" width="11.75" style="2938" customWidth="1"/>
    <col min="13828" max="13829" width="13.875" style="2938" customWidth="1"/>
    <col min="13830" max="13830" width="9.125" style="2938" customWidth="1"/>
    <col min="13831" max="13831" width="7.875" style="2938" customWidth="1"/>
    <col min="13832" max="13832" width="9" style="2938" customWidth="1"/>
    <col min="13833" max="13834" width="10.625" style="2938" customWidth="1"/>
    <col min="13835" max="13836" width="14.375" style="2938" customWidth="1"/>
    <col min="13837" max="13837" width="6.25" style="2938" customWidth="1"/>
    <col min="13838" max="13838" width="26.125" style="2938" customWidth="1"/>
    <col min="13839" max="14080" width="9" style="2938"/>
    <col min="14081" max="14081" width="27.25" style="2938" customWidth="1"/>
    <col min="14082" max="14082" width="6.25" style="2938" customWidth="1"/>
    <col min="14083" max="14083" width="11.75" style="2938" customWidth="1"/>
    <col min="14084" max="14085" width="13.875" style="2938" customWidth="1"/>
    <col min="14086" max="14086" width="9.125" style="2938" customWidth="1"/>
    <col min="14087" max="14087" width="7.875" style="2938" customWidth="1"/>
    <col min="14088" max="14088" width="9" style="2938" customWidth="1"/>
    <col min="14089" max="14090" width="10.625" style="2938" customWidth="1"/>
    <col min="14091" max="14092" width="14.375" style="2938" customWidth="1"/>
    <col min="14093" max="14093" width="6.25" style="2938" customWidth="1"/>
    <col min="14094" max="14094" width="26.125" style="2938" customWidth="1"/>
    <col min="14095" max="14336" width="9" style="2938"/>
    <col min="14337" max="14337" width="27.25" style="2938" customWidth="1"/>
    <col min="14338" max="14338" width="6.25" style="2938" customWidth="1"/>
    <col min="14339" max="14339" width="11.75" style="2938" customWidth="1"/>
    <col min="14340" max="14341" width="13.875" style="2938" customWidth="1"/>
    <col min="14342" max="14342" width="9.125" style="2938" customWidth="1"/>
    <col min="14343" max="14343" width="7.875" style="2938" customWidth="1"/>
    <col min="14344" max="14344" width="9" style="2938" customWidth="1"/>
    <col min="14345" max="14346" width="10.625" style="2938" customWidth="1"/>
    <col min="14347" max="14348" width="14.375" style="2938" customWidth="1"/>
    <col min="14349" max="14349" width="6.25" style="2938" customWidth="1"/>
    <col min="14350" max="14350" width="26.125" style="2938" customWidth="1"/>
    <col min="14351" max="14592" width="9" style="2938"/>
    <col min="14593" max="14593" width="27.25" style="2938" customWidth="1"/>
    <col min="14594" max="14594" width="6.25" style="2938" customWidth="1"/>
    <col min="14595" max="14595" width="11.75" style="2938" customWidth="1"/>
    <col min="14596" max="14597" width="13.875" style="2938" customWidth="1"/>
    <col min="14598" max="14598" width="9.125" style="2938" customWidth="1"/>
    <col min="14599" max="14599" width="7.875" style="2938" customWidth="1"/>
    <col min="14600" max="14600" width="9" style="2938" customWidth="1"/>
    <col min="14601" max="14602" width="10.625" style="2938" customWidth="1"/>
    <col min="14603" max="14604" width="14.375" style="2938" customWidth="1"/>
    <col min="14605" max="14605" width="6.25" style="2938" customWidth="1"/>
    <col min="14606" max="14606" width="26.125" style="2938" customWidth="1"/>
    <col min="14607" max="14848" width="9" style="2938"/>
    <col min="14849" max="14849" width="27.25" style="2938" customWidth="1"/>
    <col min="14850" max="14850" width="6.25" style="2938" customWidth="1"/>
    <col min="14851" max="14851" width="11.75" style="2938" customWidth="1"/>
    <col min="14852" max="14853" width="13.875" style="2938" customWidth="1"/>
    <col min="14854" max="14854" width="9.125" style="2938" customWidth="1"/>
    <col min="14855" max="14855" width="7.875" style="2938" customWidth="1"/>
    <col min="14856" max="14856" width="9" style="2938" customWidth="1"/>
    <col min="14857" max="14858" width="10.625" style="2938" customWidth="1"/>
    <col min="14859" max="14860" width="14.375" style="2938" customWidth="1"/>
    <col min="14861" max="14861" width="6.25" style="2938" customWidth="1"/>
    <col min="14862" max="14862" width="26.125" style="2938" customWidth="1"/>
    <col min="14863" max="15104" width="9" style="2938"/>
    <col min="15105" max="15105" width="27.25" style="2938" customWidth="1"/>
    <col min="15106" max="15106" width="6.25" style="2938" customWidth="1"/>
    <col min="15107" max="15107" width="11.75" style="2938" customWidth="1"/>
    <col min="15108" max="15109" width="13.875" style="2938" customWidth="1"/>
    <col min="15110" max="15110" width="9.125" style="2938" customWidth="1"/>
    <col min="15111" max="15111" width="7.875" style="2938" customWidth="1"/>
    <col min="15112" max="15112" width="9" style="2938" customWidth="1"/>
    <col min="15113" max="15114" width="10.625" style="2938" customWidth="1"/>
    <col min="15115" max="15116" width="14.375" style="2938" customWidth="1"/>
    <col min="15117" max="15117" width="6.25" style="2938" customWidth="1"/>
    <col min="15118" max="15118" width="26.125" style="2938" customWidth="1"/>
    <col min="15119" max="15360" width="9" style="2938"/>
    <col min="15361" max="15361" width="27.25" style="2938" customWidth="1"/>
    <col min="15362" max="15362" width="6.25" style="2938" customWidth="1"/>
    <col min="15363" max="15363" width="11.75" style="2938" customWidth="1"/>
    <col min="15364" max="15365" width="13.875" style="2938" customWidth="1"/>
    <col min="15366" max="15366" width="9.125" style="2938" customWidth="1"/>
    <col min="15367" max="15367" width="7.875" style="2938" customWidth="1"/>
    <col min="15368" max="15368" width="9" style="2938" customWidth="1"/>
    <col min="15369" max="15370" width="10.625" style="2938" customWidth="1"/>
    <col min="15371" max="15372" width="14.375" style="2938" customWidth="1"/>
    <col min="15373" max="15373" width="6.25" style="2938" customWidth="1"/>
    <col min="15374" max="15374" width="26.125" style="2938" customWidth="1"/>
    <col min="15375" max="15616" width="9" style="2938"/>
    <col min="15617" max="15617" width="27.25" style="2938" customWidth="1"/>
    <col min="15618" max="15618" width="6.25" style="2938" customWidth="1"/>
    <col min="15619" max="15619" width="11.75" style="2938" customWidth="1"/>
    <col min="15620" max="15621" width="13.875" style="2938" customWidth="1"/>
    <col min="15622" max="15622" width="9.125" style="2938" customWidth="1"/>
    <col min="15623" max="15623" width="7.875" style="2938" customWidth="1"/>
    <col min="15624" max="15624" width="9" style="2938" customWidth="1"/>
    <col min="15625" max="15626" width="10.625" style="2938" customWidth="1"/>
    <col min="15627" max="15628" width="14.375" style="2938" customWidth="1"/>
    <col min="15629" max="15629" width="6.25" style="2938" customWidth="1"/>
    <col min="15630" max="15630" width="26.125" style="2938" customWidth="1"/>
    <col min="15631" max="15872" width="9" style="2938"/>
    <col min="15873" max="15873" width="27.25" style="2938" customWidth="1"/>
    <col min="15874" max="15874" width="6.25" style="2938" customWidth="1"/>
    <col min="15875" max="15875" width="11.75" style="2938" customWidth="1"/>
    <col min="15876" max="15877" width="13.875" style="2938" customWidth="1"/>
    <col min="15878" max="15878" width="9.125" style="2938" customWidth="1"/>
    <col min="15879" max="15879" width="7.875" style="2938" customWidth="1"/>
    <col min="15880" max="15880" width="9" style="2938" customWidth="1"/>
    <col min="15881" max="15882" width="10.625" style="2938" customWidth="1"/>
    <col min="15883" max="15884" width="14.375" style="2938" customWidth="1"/>
    <col min="15885" max="15885" width="6.25" style="2938" customWidth="1"/>
    <col min="15886" max="15886" width="26.125" style="2938" customWidth="1"/>
    <col min="15887" max="16128" width="9" style="2938"/>
    <col min="16129" max="16129" width="27.25" style="2938" customWidth="1"/>
    <col min="16130" max="16130" width="6.25" style="2938" customWidth="1"/>
    <col min="16131" max="16131" width="11.75" style="2938" customWidth="1"/>
    <col min="16132" max="16133" width="13.875" style="2938" customWidth="1"/>
    <col min="16134" max="16134" width="9.125" style="2938" customWidth="1"/>
    <col min="16135" max="16135" width="7.875" style="2938" customWidth="1"/>
    <col min="16136" max="16136" width="9" style="2938" customWidth="1"/>
    <col min="16137" max="16138" width="10.625" style="2938" customWidth="1"/>
    <col min="16139" max="16140" width="14.375" style="2938" customWidth="1"/>
    <col min="16141" max="16141" width="6.25" style="2938" customWidth="1"/>
    <col min="16142" max="16142" width="26.125" style="2938" customWidth="1"/>
    <col min="16143" max="16384" width="9" style="2938"/>
  </cols>
  <sheetData>
    <row r="1" spans="1:14" ht="12.75">
      <c r="A1" s="2938" t="s">
        <v>3060</v>
      </c>
      <c r="B1" s="2938" t="s">
        <v>3061</v>
      </c>
      <c r="C1" s="2938" t="s">
        <v>3062</v>
      </c>
      <c r="D1" s="2938" t="s">
        <v>3063</v>
      </c>
      <c r="E1" s="2938" t="s">
        <v>3064</v>
      </c>
      <c r="F1" s="2938" t="s">
        <v>3065</v>
      </c>
      <c r="G1" s="2938" t="s">
        <v>3066</v>
      </c>
      <c r="H1" s="2938" t="s">
        <v>3067</v>
      </c>
      <c r="I1" s="2938" t="s">
        <v>3068</v>
      </c>
      <c r="J1" s="2938" t="s">
        <v>3069</v>
      </c>
      <c r="K1" s="2936" t="s">
        <v>3187</v>
      </c>
      <c r="L1" s="2937" t="s">
        <v>3070</v>
      </c>
      <c r="M1" s="2938" t="s">
        <v>3071</v>
      </c>
      <c r="N1" s="2938" t="s">
        <v>3072</v>
      </c>
    </row>
    <row r="2" spans="1:14">
      <c r="A2" s="2938" t="s">
        <v>3073</v>
      </c>
      <c r="B2" s="2938" t="s">
        <v>3074</v>
      </c>
      <c r="C2" s="2938" t="s">
        <v>3075</v>
      </c>
      <c r="D2" s="2938">
        <v>11985.98</v>
      </c>
      <c r="E2" s="2938">
        <v>47943.92</v>
      </c>
      <c r="F2" s="2938" t="s">
        <v>3076</v>
      </c>
      <c r="G2" s="2938" t="s">
        <v>3077</v>
      </c>
      <c r="H2" s="2938" t="s">
        <v>3078</v>
      </c>
      <c r="I2" s="2938" t="s">
        <v>1331</v>
      </c>
      <c r="J2" s="2938">
        <v>10900</v>
      </c>
      <c r="K2" s="2938">
        <v>2273.48</v>
      </c>
      <c r="L2" s="2938">
        <f>ROUND(J2*10000/D2,2)</f>
        <v>9093.9599999999991</v>
      </c>
      <c r="M2" s="2938" t="s">
        <v>1331</v>
      </c>
      <c r="N2" s="2938" t="s">
        <v>3079</v>
      </c>
    </row>
    <row r="3" spans="1:14">
      <c r="A3" s="2938" t="s">
        <v>3080</v>
      </c>
      <c r="B3" s="2938" t="s">
        <v>3074</v>
      </c>
      <c r="C3" s="2938" t="s">
        <v>3075</v>
      </c>
      <c r="D3" s="2938">
        <v>116893.6</v>
      </c>
      <c r="E3" s="2938">
        <v>163651.1</v>
      </c>
      <c r="F3" s="2938" t="s">
        <v>3081</v>
      </c>
      <c r="G3" s="2938" t="s">
        <v>3077</v>
      </c>
      <c r="H3" s="2938" t="s">
        <v>3082</v>
      </c>
      <c r="I3" s="2938" t="s">
        <v>1331</v>
      </c>
      <c r="J3" s="2938">
        <v>28238</v>
      </c>
      <c r="K3" s="2938">
        <v>1725.5</v>
      </c>
      <c r="L3" s="2938">
        <f t="shared" ref="L3:L31" si="0">ROUND(J3*10000/D3,2)</f>
        <v>2415.6999999999998</v>
      </c>
      <c r="M3" s="2938" t="s">
        <v>1331</v>
      </c>
      <c r="N3" s="2938" t="s">
        <v>3083</v>
      </c>
    </row>
    <row r="4" spans="1:14" s="2939" customFormat="1">
      <c r="A4" s="2939" t="s">
        <v>3084</v>
      </c>
      <c r="B4" s="2939" t="s">
        <v>3074</v>
      </c>
      <c r="C4" s="2939" t="s">
        <v>3075</v>
      </c>
      <c r="D4" s="2939">
        <v>147028.6</v>
      </c>
      <c r="E4" s="2939">
        <v>294057.2</v>
      </c>
      <c r="F4" s="2939" t="s">
        <v>3085</v>
      </c>
      <c r="G4" s="2939" t="s">
        <v>3086</v>
      </c>
      <c r="H4" s="2939" t="s">
        <v>3087</v>
      </c>
      <c r="I4" s="2939">
        <v>101300</v>
      </c>
      <c r="J4" s="2939">
        <v>101300</v>
      </c>
      <c r="K4" s="2939">
        <v>3444.9</v>
      </c>
      <c r="L4" s="2939">
        <f t="shared" si="0"/>
        <v>6889.82</v>
      </c>
      <c r="M4" s="2939">
        <v>0</v>
      </c>
      <c r="N4" s="2939" t="s">
        <v>3088</v>
      </c>
    </row>
    <row r="5" spans="1:14">
      <c r="A5" s="2938" t="s">
        <v>3089</v>
      </c>
      <c r="B5" s="2938" t="s">
        <v>3074</v>
      </c>
      <c r="C5" s="2938" t="s">
        <v>3075</v>
      </c>
      <c r="D5" s="2938">
        <v>23104.69</v>
      </c>
      <c r="E5" s="2938">
        <v>34657.03</v>
      </c>
      <c r="F5" s="2938" t="s">
        <v>3090</v>
      </c>
      <c r="G5" s="2938" t="s">
        <v>3086</v>
      </c>
      <c r="H5" s="2938" t="s">
        <v>3091</v>
      </c>
      <c r="I5" s="2938">
        <v>5510</v>
      </c>
      <c r="J5" s="2938">
        <v>5510</v>
      </c>
      <c r="K5" s="2938">
        <v>1589.86</v>
      </c>
      <c r="L5" s="2938">
        <f t="shared" si="0"/>
        <v>2384.8000000000002</v>
      </c>
      <c r="M5" s="2938">
        <v>0</v>
      </c>
      <c r="N5" s="2938" t="s">
        <v>3092</v>
      </c>
    </row>
    <row r="6" spans="1:14">
      <c r="A6" s="2938" t="s">
        <v>3089</v>
      </c>
      <c r="B6" s="2938" t="s">
        <v>3074</v>
      </c>
      <c r="C6" s="2938" t="s">
        <v>3075</v>
      </c>
      <c r="D6" s="2938">
        <v>44541.81</v>
      </c>
      <c r="E6" s="2938">
        <v>155896.29999999999</v>
      </c>
      <c r="F6" s="2938" t="s">
        <v>3093</v>
      </c>
      <c r="G6" s="2938" t="s">
        <v>3086</v>
      </c>
      <c r="H6" s="2938" t="s">
        <v>3091</v>
      </c>
      <c r="I6" s="2938">
        <v>13960</v>
      </c>
      <c r="J6" s="2938">
        <v>13960</v>
      </c>
      <c r="K6" s="2938">
        <v>895.47</v>
      </c>
      <c r="L6" s="2938">
        <f t="shared" si="0"/>
        <v>3134.13</v>
      </c>
      <c r="M6" s="2938">
        <v>0</v>
      </c>
      <c r="N6" s="2938" t="s">
        <v>3092</v>
      </c>
    </row>
    <row r="7" spans="1:14">
      <c r="A7" s="2938" t="s">
        <v>3089</v>
      </c>
      <c r="B7" s="2938" t="s">
        <v>3074</v>
      </c>
      <c r="C7" s="2938" t="s">
        <v>3075</v>
      </c>
      <c r="D7" s="2938">
        <v>35756.01</v>
      </c>
      <c r="E7" s="2938">
        <v>125146</v>
      </c>
      <c r="F7" s="2938" t="s">
        <v>3093</v>
      </c>
      <c r="G7" s="2938" t="s">
        <v>3086</v>
      </c>
      <c r="H7" s="2938" t="s">
        <v>3091</v>
      </c>
      <c r="I7" s="2938">
        <v>11140</v>
      </c>
      <c r="J7" s="2938">
        <v>11140</v>
      </c>
      <c r="K7" s="2938">
        <v>890.15</v>
      </c>
      <c r="L7" s="2938">
        <f t="shared" si="0"/>
        <v>3115.56</v>
      </c>
      <c r="M7" s="2938">
        <v>0</v>
      </c>
      <c r="N7" s="2938" t="s">
        <v>3092</v>
      </c>
    </row>
    <row r="8" spans="1:14">
      <c r="A8" s="2938" t="s">
        <v>3094</v>
      </c>
      <c r="B8" s="2938" t="s">
        <v>3074</v>
      </c>
      <c r="C8" s="2938" t="s">
        <v>3075</v>
      </c>
      <c r="D8" s="2938">
        <v>4669.49</v>
      </c>
      <c r="E8" s="2938">
        <v>45667.61</v>
      </c>
      <c r="F8" s="2938" t="s">
        <v>3095</v>
      </c>
      <c r="G8" s="2938" t="s">
        <v>3086</v>
      </c>
      <c r="H8" s="2938" t="s">
        <v>3091</v>
      </c>
      <c r="I8" s="2938">
        <v>4225</v>
      </c>
      <c r="J8" s="2938">
        <v>4225</v>
      </c>
      <c r="K8" s="2938">
        <v>925.15</v>
      </c>
      <c r="L8" s="2938">
        <f t="shared" si="0"/>
        <v>9048.1</v>
      </c>
      <c r="M8" s="2938">
        <v>0</v>
      </c>
      <c r="N8" s="2938" t="s">
        <v>3096</v>
      </c>
    </row>
    <row r="9" spans="1:14">
      <c r="A9" s="2938" t="s">
        <v>3097</v>
      </c>
      <c r="B9" s="2938" t="s">
        <v>3074</v>
      </c>
      <c r="C9" s="2938" t="s">
        <v>3075</v>
      </c>
      <c r="D9" s="2938">
        <v>20611.560000000001</v>
      </c>
      <c r="E9" s="2938">
        <v>278256.09999999998</v>
      </c>
      <c r="F9" s="2938" t="s">
        <v>3098</v>
      </c>
      <c r="G9" s="2938" t="s">
        <v>3086</v>
      </c>
      <c r="H9" s="2938" t="s">
        <v>3099</v>
      </c>
      <c r="I9" s="2938">
        <v>17379</v>
      </c>
      <c r="J9" s="2938">
        <v>17379</v>
      </c>
      <c r="K9" s="2938">
        <v>624.57000000000005</v>
      </c>
      <c r="L9" s="2938">
        <f t="shared" si="0"/>
        <v>8431.68</v>
      </c>
      <c r="M9" s="2938">
        <v>0</v>
      </c>
      <c r="N9" s="2938" t="s">
        <v>3100</v>
      </c>
    </row>
    <row r="10" spans="1:14">
      <c r="A10" s="2938" t="s">
        <v>3101</v>
      </c>
      <c r="B10" s="2938" t="s">
        <v>3074</v>
      </c>
      <c r="C10" s="2938" t="s">
        <v>3075</v>
      </c>
      <c r="D10" s="2938">
        <v>13934.83</v>
      </c>
      <c r="E10" s="2938">
        <v>34837.07</v>
      </c>
      <c r="F10" s="2938" t="s">
        <v>3102</v>
      </c>
      <c r="G10" s="2938" t="s">
        <v>3086</v>
      </c>
      <c r="H10" s="2938" t="s">
        <v>3103</v>
      </c>
      <c r="I10" s="2938">
        <v>14220</v>
      </c>
      <c r="J10" s="2938">
        <v>14220</v>
      </c>
      <c r="K10" s="2938">
        <v>4081.86</v>
      </c>
      <c r="L10" s="2938">
        <f t="shared" si="0"/>
        <v>10204.65</v>
      </c>
      <c r="M10" s="2938">
        <v>0</v>
      </c>
      <c r="N10" s="2938" t="s">
        <v>3104</v>
      </c>
    </row>
    <row r="11" spans="1:14">
      <c r="A11" s="2938" t="s">
        <v>3105</v>
      </c>
      <c r="B11" s="2938" t="s">
        <v>3074</v>
      </c>
      <c r="C11" s="2938" t="s">
        <v>3075</v>
      </c>
      <c r="D11" s="2938">
        <v>26594.07</v>
      </c>
      <c r="E11" s="2938">
        <v>111695.1</v>
      </c>
      <c r="F11" s="2938" t="s">
        <v>3106</v>
      </c>
      <c r="G11" s="2938" t="s">
        <v>3086</v>
      </c>
      <c r="H11" s="2938" t="s">
        <v>3107</v>
      </c>
      <c r="I11" s="2938">
        <v>24910</v>
      </c>
      <c r="J11" s="2938">
        <v>24910</v>
      </c>
      <c r="K11" s="2938">
        <v>2230.17</v>
      </c>
      <c r="L11" s="2938">
        <f t="shared" si="0"/>
        <v>9366.75</v>
      </c>
      <c r="M11" s="2938">
        <v>0</v>
      </c>
      <c r="N11" s="2938" t="s">
        <v>3108</v>
      </c>
    </row>
    <row r="12" spans="1:14">
      <c r="A12" s="2938" t="s">
        <v>3109</v>
      </c>
      <c r="B12" s="2938" t="s">
        <v>3074</v>
      </c>
      <c r="C12" s="2938" t="s">
        <v>3075</v>
      </c>
      <c r="D12" s="2938">
        <v>15171.91</v>
      </c>
      <c r="E12" s="2938">
        <v>83445.509999999995</v>
      </c>
      <c r="F12" s="2938" t="s">
        <v>3110</v>
      </c>
      <c r="G12" s="2938" t="s">
        <v>3086</v>
      </c>
      <c r="H12" s="2938" t="s">
        <v>3111</v>
      </c>
      <c r="I12" s="2938">
        <v>14940</v>
      </c>
      <c r="J12" s="2938">
        <v>14940</v>
      </c>
      <c r="K12" s="2938">
        <v>1790.39</v>
      </c>
      <c r="L12" s="2938">
        <f t="shared" si="0"/>
        <v>9847.15</v>
      </c>
      <c r="M12" s="2938">
        <v>0</v>
      </c>
      <c r="N12" s="2938" t="s">
        <v>3112</v>
      </c>
    </row>
    <row r="13" spans="1:14">
      <c r="A13" s="2938" t="s">
        <v>3113</v>
      </c>
      <c r="B13" s="2938" t="s">
        <v>3074</v>
      </c>
      <c r="C13" s="2938" t="s">
        <v>3075</v>
      </c>
      <c r="D13" s="2938">
        <v>9039.93</v>
      </c>
      <c r="E13" s="2938">
        <v>55324.37</v>
      </c>
      <c r="F13" s="2938" t="s">
        <v>3114</v>
      </c>
      <c r="G13" s="2938" t="s">
        <v>3086</v>
      </c>
      <c r="H13" s="2938" t="s">
        <v>3115</v>
      </c>
      <c r="I13" s="2938">
        <v>3726</v>
      </c>
      <c r="J13" s="2938">
        <v>3726</v>
      </c>
      <c r="K13" s="2938">
        <v>673.48</v>
      </c>
      <c r="L13" s="2938">
        <f t="shared" si="0"/>
        <v>4121.71</v>
      </c>
      <c r="M13" s="2938">
        <v>0</v>
      </c>
      <c r="N13" s="2938" t="s">
        <v>3116</v>
      </c>
    </row>
    <row r="14" spans="1:14" s="2939" customFormat="1">
      <c r="A14" s="2939" t="s">
        <v>3117</v>
      </c>
      <c r="B14" s="2939" t="s">
        <v>3074</v>
      </c>
      <c r="C14" s="2939" t="s">
        <v>3075</v>
      </c>
      <c r="D14" s="2939">
        <v>68362.710000000006</v>
      </c>
      <c r="E14" s="2939">
        <v>170906.8</v>
      </c>
      <c r="F14" s="2939" t="s">
        <v>3118</v>
      </c>
      <c r="G14" s="2939" t="s">
        <v>3086</v>
      </c>
      <c r="H14" s="2939" t="s">
        <v>3119</v>
      </c>
      <c r="I14" s="2939">
        <v>44780</v>
      </c>
      <c r="J14" s="2939">
        <v>44780</v>
      </c>
      <c r="K14" s="2939">
        <v>2620.13</v>
      </c>
      <c r="L14" s="2939">
        <f t="shared" si="0"/>
        <v>6550.35</v>
      </c>
      <c r="M14" s="2939">
        <v>0</v>
      </c>
      <c r="N14" s="2939" t="s">
        <v>3120</v>
      </c>
    </row>
    <row r="15" spans="1:14">
      <c r="A15" s="2938" t="s">
        <v>3121</v>
      </c>
      <c r="B15" s="2938" t="s">
        <v>3074</v>
      </c>
      <c r="C15" s="2938" t="s">
        <v>3075</v>
      </c>
      <c r="D15" s="2938">
        <v>4276</v>
      </c>
      <c r="E15" s="2938">
        <v>39766.800000000003</v>
      </c>
      <c r="F15" s="2938" t="s">
        <v>3122</v>
      </c>
      <c r="G15" s="2938" t="s">
        <v>3086</v>
      </c>
      <c r="H15" s="2938" t="s">
        <v>3123</v>
      </c>
      <c r="I15" s="2938">
        <v>9961</v>
      </c>
      <c r="J15" s="2938">
        <v>9961</v>
      </c>
      <c r="K15" s="2938">
        <v>2504.84</v>
      </c>
      <c r="L15" s="2938">
        <f t="shared" si="0"/>
        <v>23295.14</v>
      </c>
      <c r="M15" s="2938">
        <v>0</v>
      </c>
      <c r="N15" s="2938" t="s">
        <v>3124</v>
      </c>
    </row>
    <row r="16" spans="1:14">
      <c r="A16" s="2938" t="s">
        <v>3125</v>
      </c>
      <c r="B16" s="2938" t="s">
        <v>3074</v>
      </c>
      <c r="C16" s="2938" t="s">
        <v>3075</v>
      </c>
      <c r="D16" s="2938">
        <v>21229.48</v>
      </c>
      <c r="E16" s="2938">
        <v>42458.96</v>
      </c>
      <c r="F16" s="2938" t="s">
        <v>3126</v>
      </c>
      <c r="G16" s="2938" t="s">
        <v>3086</v>
      </c>
      <c r="H16" s="2938" t="s">
        <v>3127</v>
      </c>
      <c r="I16" s="2938">
        <v>5093</v>
      </c>
      <c r="J16" s="2938">
        <v>5093</v>
      </c>
      <c r="K16" s="2938">
        <v>1199.5</v>
      </c>
      <c r="L16" s="2938">
        <f t="shared" si="0"/>
        <v>2399.02</v>
      </c>
      <c r="M16" s="2938">
        <v>0</v>
      </c>
      <c r="N16" s="2938" t="s">
        <v>3128</v>
      </c>
    </row>
    <row r="17" spans="1:14">
      <c r="A17" s="2938" t="s">
        <v>3129</v>
      </c>
      <c r="B17" s="2938" t="s">
        <v>3074</v>
      </c>
      <c r="C17" s="2938" t="s">
        <v>3075</v>
      </c>
      <c r="D17" s="2938">
        <v>21871.53</v>
      </c>
      <c r="E17" s="2938">
        <v>32807.29</v>
      </c>
      <c r="F17" s="2938" t="s">
        <v>3090</v>
      </c>
      <c r="G17" s="2938" t="s">
        <v>3086</v>
      </c>
      <c r="H17" s="2938" t="s">
        <v>3127</v>
      </c>
      <c r="I17" s="2938">
        <v>5200</v>
      </c>
      <c r="J17" s="2938">
        <v>5200</v>
      </c>
      <c r="K17" s="2938">
        <v>1585</v>
      </c>
      <c r="L17" s="2938">
        <f t="shared" si="0"/>
        <v>2377.52</v>
      </c>
      <c r="M17" s="2938">
        <v>0</v>
      </c>
      <c r="N17" s="2938" t="s">
        <v>3130</v>
      </c>
    </row>
    <row r="18" spans="1:14">
      <c r="A18" s="2938" t="s">
        <v>3131</v>
      </c>
      <c r="B18" s="2938" t="s">
        <v>3074</v>
      </c>
      <c r="C18" s="2938" t="s">
        <v>3075</v>
      </c>
      <c r="D18" s="2938">
        <v>1554.42</v>
      </c>
      <c r="E18" s="2938">
        <v>1974.11</v>
      </c>
      <c r="F18" s="2938" t="s">
        <v>3132</v>
      </c>
      <c r="G18" s="2938" t="s">
        <v>3086</v>
      </c>
      <c r="H18" s="2938" t="s">
        <v>3133</v>
      </c>
      <c r="I18" s="2938">
        <v>424</v>
      </c>
      <c r="J18" s="2938">
        <v>424</v>
      </c>
      <c r="K18" s="2938">
        <v>2147.8000000000002</v>
      </c>
      <c r="L18" s="2938">
        <f t="shared" si="0"/>
        <v>2727.71</v>
      </c>
      <c r="M18" s="2938">
        <v>0</v>
      </c>
      <c r="N18" s="2938" t="s">
        <v>3134</v>
      </c>
    </row>
    <row r="19" spans="1:14">
      <c r="A19" s="2938" t="s">
        <v>3135</v>
      </c>
      <c r="B19" s="2938" t="s">
        <v>3074</v>
      </c>
      <c r="C19" s="2938" t="s">
        <v>3075</v>
      </c>
      <c r="D19" s="2938">
        <v>4999.99</v>
      </c>
      <c r="E19" s="2938">
        <v>2499.9899999999998</v>
      </c>
      <c r="F19" s="2938" t="s">
        <v>3136</v>
      </c>
      <c r="G19" s="2938" t="s">
        <v>3086</v>
      </c>
      <c r="H19" s="2938" t="s">
        <v>3137</v>
      </c>
      <c r="I19" s="2938">
        <v>2540</v>
      </c>
      <c r="J19" s="2938">
        <v>2540</v>
      </c>
      <c r="K19" s="2938">
        <v>10160.040000000001</v>
      </c>
      <c r="L19" s="2938">
        <f t="shared" si="0"/>
        <v>5080.01</v>
      </c>
      <c r="M19" s="2938">
        <v>0</v>
      </c>
      <c r="N19" s="2938" t="s">
        <v>3138</v>
      </c>
    </row>
    <row r="20" spans="1:14">
      <c r="A20" s="2938" t="s">
        <v>3139</v>
      </c>
      <c r="B20" s="2938" t="s">
        <v>3074</v>
      </c>
      <c r="C20" s="2938" t="s">
        <v>3075</v>
      </c>
      <c r="D20" s="2938">
        <v>20370.849999999999</v>
      </c>
      <c r="E20" s="2938">
        <v>112039.7</v>
      </c>
      <c r="F20" s="2938" t="s">
        <v>3110</v>
      </c>
      <c r="G20" s="2938" t="s">
        <v>3086</v>
      </c>
      <c r="H20" s="2938" t="s">
        <v>3140</v>
      </c>
      <c r="I20" s="2938">
        <v>21000</v>
      </c>
      <c r="J20" s="2938">
        <v>21000</v>
      </c>
      <c r="K20" s="2938">
        <v>1874.33</v>
      </c>
      <c r="L20" s="2938">
        <f t="shared" si="0"/>
        <v>10308.85</v>
      </c>
      <c r="M20" s="2938">
        <v>0</v>
      </c>
      <c r="N20" s="2938" t="s">
        <v>3141</v>
      </c>
    </row>
    <row r="21" spans="1:14">
      <c r="A21" s="2938" t="s">
        <v>3142</v>
      </c>
      <c r="B21" s="2938" t="s">
        <v>3074</v>
      </c>
      <c r="C21" s="2938" t="s">
        <v>3075</v>
      </c>
      <c r="D21" s="2938">
        <v>4711.8599999999997</v>
      </c>
      <c r="E21" s="2938">
        <v>43631.82</v>
      </c>
      <c r="F21" s="2938" t="s">
        <v>3143</v>
      </c>
      <c r="G21" s="2938" t="s">
        <v>3086</v>
      </c>
      <c r="H21" s="2938" t="s">
        <v>3144</v>
      </c>
      <c r="I21" s="2938">
        <v>2278</v>
      </c>
      <c r="J21" s="2938">
        <v>2278</v>
      </c>
      <c r="K21" s="2938">
        <v>522.1</v>
      </c>
      <c r="L21" s="2938">
        <f t="shared" si="0"/>
        <v>4834.6099999999997</v>
      </c>
      <c r="M21" s="2938">
        <v>0</v>
      </c>
      <c r="N21" s="2938" t="s">
        <v>3145</v>
      </c>
    </row>
    <row r="22" spans="1:14" s="2939" customFormat="1">
      <c r="A22" s="2939" t="s">
        <v>3146</v>
      </c>
      <c r="B22" s="2939" t="s">
        <v>3074</v>
      </c>
      <c r="C22" s="2939" t="s">
        <v>3075</v>
      </c>
      <c r="D22" s="2939">
        <v>1131.6400000000001</v>
      </c>
      <c r="E22" s="2939">
        <v>1369.28</v>
      </c>
      <c r="F22" s="2939" t="s">
        <v>3147</v>
      </c>
      <c r="G22" s="2939" t="s">
        <v>3086</v>
      </c>
      <c r="H22" s="2939" t="s">
        <v>3148</v>
      </c>
      <c r="I22" s="2939">
        <v>615</v>
      </c>
      <c r="J22" s="2939">
        <v>615</v>
      </c>
      <c r="K22" s="2939">
        <v>4491.3999999999996</v>
      </c>
      <c r="L22" s="2939">
        <f t="shared" si="0"/>
        <v>5434.59</v>
      </c>
      <c r="M22" s="2939">
        <v>0</v>
      </c>
      <c r="N22" s="2939" t="s">
        <v>3149</v>
      </c>
    </row>
    <row r="23" spans="1:14">
      <c r="A23" s="2938" t="s">
        <v>3150</v>
      </c>
      <c r="B23" s="2938" t="s">
        <v>3074</v>
      </c>
      <c r="C23" s="2938" t="s">
        <v>3075</v>
      </c>
      <c r="D23" s="2938">
        <v>7296.53</v>
      </c>
      <c r="E23" s="2938">
        <v>43633.25</v>
      </c>
      <c r="F23" s="2938" t="s">
        <v>3151</v>
      </c>
      <c r="G23" s="2938" t="s">
        <v>3086</v>
      </c>
      <c r="H23" s="2938" t="s">
        <v>3152</v>
      </c>
      <c r="I23" s="2938">
        <v>6370</v>
      </c>
      <c r="J23" s="2938">
        <v>6370</v>
      </c>
      <c r="K23" s="2938">
        <v>1459.9</v>
      </c>
      <c r="L23" s="2938">
        <f t="shared" si="0"/>
        <v>8730.18</v>
      </c>
      <c r="M23" s="2938">
        <v>0</v>
      </c>
      <c r="N23" s="2938" t="s">
        <v>3153</v>
      </c>
    </row>
    <row r="24" spans="1:14">
      <c r="A24" s="2938" t="s">
        <v>3154</v>
      </c>
      <c r="B24" s="2938" t="s">
        <v>3074</v>
      </c>
      <c r="C24" s="2938" t="s">
        <v>3075</v>
      </c>
      <c r="D24" s="2938">
        <v>9554.8799999999992</v>
      </c>
      <c r="E24" s="2938">
        <v>9745.98</v>
      </c>
      <c r="F24" s="2938" t="s">
        <v>3155</v>
      </c>
      <c r="G24" s="2938" t="s">
        <v>3086</v>
      </c>
      <c r="H24" s="2938" t="s">
        <v>3156</v>
      </c>
      <c r="I24" s="2938">
        <v>3100</v>
      </c>
      <c r="J24" s="2938">
        <v>3100</v>
      </c>
      <c r="K24" s="2938">
        <v>3180.8</v>
      </c>
      <c r="L24" s="2938">
        <f t="shared" si="0"/>
        <v>3244.42</v>
      </c>
      <c r="M24" s="2938">
        <v>0</v>
      </c>
      <c r="N24" s="2938" t="s">
        <v>3157</v>
      </c>
    </row>
    <row r="25" spans="1:14">
      <c r="A25" s="2938" t="s">
        <v>3158</v>
      </c>
      <c r="B25" s="2938" t="s">
        <v>3074</v>
      </c>
      <c r="C25" s="2938" t="s">
        <v>3075</v>
      </c>
      <c r="D25" s="2938">
        <v>12863.16</v>
      </c>
      <c r="E25" s="2938">
        <v>65602.12</v>
      </c>
      <c r="F25" s="2938" t="s">
        <v>3159</v>
      </c>
      <c r="G25" s="2938" t="s">
        <v>3086</v>
      </c>
      <c r="H25" s="2938" t="s">
        <v>3160</v>
      </c>
      <c r="I25" s="2938">
        <v>12540</v>
      </c>
      <c r="J25" s="2938">
        <v>12540</v>
      </c>
      <c r="K25" s="2938">
        <v>1911.51</v>
      </c>
      <c r="L25" s="2938">
        <f t="shared" si="0"/>
        <v>9748.77</v>
      </c>
      <c r="M25" s="2938">
        <v>0</v>
      </c>
      <c r="N25" s="2938" t="s">
        <v>3161</v>
      </c>
    </row>
    <row r="26" spans="1:14">
      <c r="A26" s="2938" t="s">
        <v>3162</v>
      </c>
      <c r="B26" s="2938" t="s">
        <v>3074</v>
      </c>
      <c r="C26" s="2938" t="s">
        <v>3075</v>
      </c>
      <c r="D26" s="2938">
        <v>29246.1</v>
      </c>
      <c r="E26" s="2938">
        <v>167872.6</v>
      </c>
      <c r="F26" s="2938" t="s">
        <v>3163</v>
      </c>
      <c r="G26" s="2938" t="s">
        <v>3086</v>
      </c>
      <c r="H26" s="2938" t="s">
        <v>3164</v>
      </c>
      <c r="I26" s="2938">
        <v>12500</v>
      </c>
      <c r="J26" s="2938">
        <v>12500</v>
      </c>
      <c r="K26" s="2938">
        <v>744.61</v>
      </c>
      <c r="L26" s="2938">
        <f t="shared" si="0"/>
        <v>4274.07</v>
      </c>
      <c r="M26" s="2938">
        <v>0</v>
      </c>
      <c r="N26" s="2938" t="s">
        <v>3165</v>
      </c>
    </row>
    <row r="27" spans="1:14">
      <c r="A27" s="2938" t="s">
        <v>3166</v>
      </c>
      <c r="B27" s="2938" t="s">
        <v>3074</v>
      </c>
      <c r="C27" s="2938" t="s">
        <v>3075</v>
      </c>
      <c r="D27" s="2938">
        <v>4113.51</v>
      </c>
      <c r="E27" s="2938">
        <v>1645.4</v>
      </c>
      <c r="F27" s="2938" t="s">
        <v>3167</v>
      </c>
      <c r="G27" s="2938" t="s">
        <v>3086</v>
      </c>
      <c r="H27" s="2938" t="s">
        <v>3168</v>
      </c>
      <c r="I27" s="2938">
        <v>2530</v>
      </c>
      <c r="J27" s="2938">
        <v>2530</v>
      </c>
      <c r="K27" s="2938">
        <v>15376.2</v>
      </c>
      <c r="L27" s="2938">
        <f t="shared" si="0"/>
        <v>6150.47</v>
      </c>
      <c r="M27" s="2938">
        <v>0</v>
      </c>
      <c r="N27" s="2938" t="s">
        <v>3169</v>
      </c>
    </row>
    <row r="28" spans="1:14">
      <c r="A28" s="2938" t="s">
        <v>3170</v>
      </c>
      <c r="B28" s="2938" t="s">
        <v>3074</v>
      </c>
      <c r="C28" s="2938" t="s">
        <v>3075</v>
      </c>
      <c r="D28" s="2938">
        <v>57837.36</v>
      </c>
      <c r="E28" s="2938">
        <v>415272.3</v>
      </c>
      <c r="F28" s="2938" t="s">
        <v>3171</v>
      </c>
      <c r="G28" s="2938" t="s">
        <v>3086</v>
      </c>
      <c r="H28" s="2938" t="s">
        <v>3172</v>
      </c>
      <c r="I28" s="2938">
        <v>25609</v>
      </c>
      <c r="J28" s="2938">
        <v>25609</v>
      </c>
      <c r="K28" s="2938">
        <v>616.66999999999996</v>
      </c>
      <c r="L28" s="2938">
        <f t="shared" si="0"/>
        <v>4427.76</v>
      </c>
      <c r="M28" s="2938">
        <v>0</v>
      </c>
      <c r="N28" s="2938" t="s">
        <v>3173</v>
      </c>
    </row>
    <row r="29" spans="1:14">
      <c r="A29" s="2938" t="s">
        <v>3174</v>
      </c>
      <c r="B29" s="2938" t="s">
        <v>3074</v>
      </c>
      <c r="C29" s="2938" t="s">
        <v>3075</v>
      </c>
      <c r="D29" s="2938">
        <v>37324.28</v>
      </c>
      <c r="E29" s="2938">
        <v>113465.8</v>
      </c>
      <c r="F29" s="2938" t="s">
        <v>3175</v>
      </c>
      <c r="G29" s="2938" t="s">
        <v>3086</v>
      </c>
      <c r="H29" s="2938" t="s">
        <v>3176</v>
      </c>
      <c r="I29" s="2938">
        <v>19010</v>
      </c>
      <c r="J29" s="2938">
        <v>19010</v>
      </c>
      <c r="K29" s="2938">
        <v>1675.39</v>
      </c>
      <c r="L29" s="2938">
        <f t="shared" si="0"/>
        <v>5093.2</v>
      </c>
      <c r="M29" s="2938">
        <v>0</v>
      </c>
      <c r="N29" s="2938" t="s">
        <v>3177</v>
      </c>
    </row>
    <row r="30" spans="1:14">
      <c r="A30" s="2938" t="s">
        <v>3178</v>
      </c>
      <c r="B30" s="2938" t="s">
        <v>3074</v>
      </c>
      <c r="C30" s="2938" t="s">
        <v>3075</v>
      </c>
      <c r="D30" s="2938">
        <v>15991.99</v>
      </c>
      <c r="E30" s="2938">
        <v>103947.9</v>
      </c>
      <c r="F30" s="2938" t="s">
        <v>3179</v>
      </c>
      <c r="G30" s="2938" t="s">
        <v>3180</v>
      </c>
      <c r="H30" s="2938" t="s">
        <v>3181</v>
      </c>
      <c r="I30" s="2938">
        <v>14780</v>
      </c>
      <c r="J30" s="2938">
        <v>14780</v>
      </c>
      <c r="K30" s="2938">
        <v>1421.86</v>
      </c>
      <c r="L30" s="2938">
        <f t="shared" si="0"/>
        <v>9242.1299999999992</v>
      </c>
      <c r="M30" s="2938">
        <v>0</v>
      </c>
      <c r="N30" s="2938" t="s">
        <v>3182</v>
      </c>
    </row>
    <row r="31" spans="1:14">
      <c r="A31" s="2938" t="s">
        <v>3183</v>
      </c>
      <c r="B31" s="2938" t="s">
        <v>3074</v>
      </c>
      <c r="C31" s="2938" t="s">
        <v>3075</v>
      </c>
      <c r="D31" s="2938">
        <v>1539.36</v>
      </c>
      <c r="E31" s="2938">
        <v>769.68</v>
      </c>
      <c r="F31" s="2938" t="s">
        <v>3184</v>
      </c>
      <c r="G31" s="2938" t="s">
        <v>3086</v>
      </c>
      <c r="H31" s="2938" t="s">
        <v>3185</v>
      </c>
      <c r="I31" s="2938" t="s">
        <v>1331</v>
      </c>
      <c r="J31" s="2938">
        <v>970</v>
      </c>
      <c r="K31" s="2938">
        <v>12602.63</v>
      </c>
      <c r="L31" s="2938">
        <f t="shared" si="0"/>
        <v>6301.32</v>
      </c>
      <c r="M31" s="2938" t="s">
        <v>1331</v>
      </c>
      <c r="N31" s="2938" t="s">
        <v>3186</v>
      </c>
    </row>
    <row r="74" spans="1:2">
      <c r="A74" s="2938" t="s">
        <v>3227</v>
      </c>
    </row>
    <row r="75" spans="1:2">
      <c r="A75" s="2938">
        <v>2018.1</v>
      </c>
      <c r="B75" s="2938">
        <v>4.8499999999999996</v>
      </c>
    </row>
    <row r="76" spans="1:2">
      <c r="A76" s="2938">
        <v>2017.4</v>
      </c>
      <c r="B76" s="2938">
        <v>3.61</v>
      </c>
    </row>
    <row r="77" spans="1:2">
      <c r="A77" s="2938">
        <v>2017.3</v>
      </c>
      <c r="B77" s="2938">
        <v>1.07</v>
      </c>
    </row>
    <row r="78" spans="1:2">
      <c r="A78" s="2938">
        <v>2017.2</v>
      </c>
      <c r="B78" s="2938">
        <v>1.1000000000000001</v>
      </c>
    </row>
    <row r="79" spans="1:2">
      <c r="A79" s="2938">
        <v>2017.1</v>
      </c>
      <c r="B79" s="2938">
        <v>1.55</v>
      </c>
    </row>
    <row r="80" spans="1:2">
      <c r="A80" s="2938">
        <v>2016.4</v>
      </c>
      <c r="B80" s="2938">
        <v>0.8</v>
      </c>
    </row>
    <row r="81" spans="1:2">
      <c r="A81" s="2938">
        <v>2016.3</v>
      </c>
      <c r="B81" s="2938">
        <v>0.18</v>
      </c>
    </row>
    <row r="82" spans="1:2">
      <c r="A82" s="2938">
        <v>2016.2</v>
      </c>
      <c r="B82" s="2938">
        <v>-0.14000000000000001</v>
      </c>
    </row>
    <row r="83" spans="1:2">
      <c r="A83" s="2938">
        <v>2016.1</v>
      </c>
      <c r="B83" s="2938">
        <v>0.28000000000000003</v>
      </c>
    </row>
    <row r="84" spans="1:2">
      <c r="A84" s="2938">
        <v>2015.4</v>
      </c>
      <c r="B84" s="2938">
        <v>0.38</v>
      </c>
    </row>
    <row r="85" spans="1:2">
      <c r="A85" s="2938">
        <v>2015.3</v>
      </c>
      <c r="B85" s="2938">
        <v>0.84</v>
      </c>
    </row>
    <row r="86" spans="1:2">
      <c r="A86" s="2938">
        <v>2015.2</v>
      </c>
      <c r="B86" s="2938">
        <v>0.94</v>
      </c>
    </row>
    <row r="87" spans="1:2">
      <c r="A87" s="2938">
        <v>2015.1</v>
      </c>
      <c r="B87" s="2938">
        <v>0.26</v>
      </c>
    </row>
  </sheetData>
  <phoneticPr fontId="144"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2"/>
  <sheetViews>
    <sheetView topLeftCell="A31" workbookViewId="0">
      <selection activeCell="H58" sqref="H58:H59"/>
    </sheetView>
  </sheetViews>
  <sheetFormatPr defaultColWidth="13.75" defaultRowHeight="12"/>
  <cols>
    <col min="1" max="1" width="10.75" style="2989" customWidth="1"/>
    <col min="2" max="2" width="4.75" style="2986" customWidth="1"/>
    <col min="3" max="3" width="15.75" style="2990" customWidth="1"/>
    <col min="4" max="4" width="12.625" style="2991" customWidth="1"/>
    <col min="5" max="5" width="13.75" style="2990"/>
    <col min="6" max="216" width="13.75" style="2992"/>
    <col min="217" max="217" width="10.75" style="2992" customWidth="1"/>
    <col min="218" max="218" width="4.75" style="2992" customWidth="1"/>
    <col min="219" max="219" width="15.75" style="2992" customWidth="1"/>
    <col min="220" max="220" width="13.75" style="2992"/>
    <col min="221" max="221" width="10.125" style="2992" customWidth="1"/>
    <col min="222" max="228" width="11.375" style="2992" customWidth="1"/>
    <col min="229" max="230" width="11.875" style="2992" customWidth="1"/>
    <col min="231" max="231" width="15.375" style="2992" customWidth="1"/>
    <col min="232" max="232" width="11.875" style="2992" customWidth="1"/>
    <col min="233" max="239" width="11.375" style="2992" customWidth="1"/>
    <col min="240" max="243" width="12.125" style="2992" customWidth="1"/>
    <col min="244" max="244" width="11.375" style="2992" customWidth="1"/>
    <col min="245" max="247" width="13.5" style="2992" customWidth="1"/>
    <col min="248" max="472" width="13.75" style="2992"/>
    <col min="473" max="473" width="10.75" style="2992" customWidth="1"/>
    <col min="474" max="474" width="4.75" style="2992" customWidth="1"/>
    <col min="475" max="475" width="15.75" style="2992" customWidth="1"/>
    <col min="476" max="476" width="13.75" style="2992"/>
    <col min="477" max="477" width="10.125" style="2992" customWidth="1"/>
    <col min="478" max="484" width="11.375" style="2992" customWidth="1"/>
    <col min="485" max="486" width="11.875" style="2992" customWidth="1"/>
    <col min="487" max="487" width="15.375" style="2992" customWidth="1"/>
    <col min="488" max="488" width="11.875" style="2992" customWidth="1"/>
    <col min="489" max="495" width="11.375" style="2992" customWidth="1"/>
    <col min="496" max="499" width="12.125" style="2992" customWidth="1"/>
    <col min="500" max="500" width="11.375" style="2992" customWidth="1"/>
    <col min="501" max="503" width="13.5" style="2992" customWidth="1"/>
    <col min="504" max="728" width="13.75" style="2992"/>
    <col min="729" max="729" width="10.75" style="2992" customWidth="1"/>
    <col min="730" max="730" width="4.75" style="2992" customWidth="1"/>
    <col min="731" max="731" width="15.75" style="2992" customWidth="1"/>
    <col min="732" max="732" width="13.75" style="2992"/>
    <col min="733" max="733" width="10.125" style="2992" customWidth="1"/>
    <col min="734" max="740" width="11.375" style="2992" customWidth="1"/>
    <col min="741" max="742" width="11.875" style="2992" customWidth="1"/>
    <col min="743" max="743" width="15.375" style="2992" customWidth="1"/>
    <col min="744" max="744" width="11.875" style="2992" customWidth="1"/>
    <col min="745" max="751" width="11.375" style="2992" customWidth="1"/>
    <col min="752" max="755" width="12.125" style="2992" customWidth="1"/>
    <col min="756" max="756" width="11.375" style="2992" customWidth="1"/>
    <col min="757" max="759" width="13.5" style="2992" customWidth="1"/>
    <col min="760" max="984" width="13.75" style="2992"/>
    <col min="985" max="985" width="10.75" style="2992" customWidth="1"/>
    <col min="986" max="986" width="4.75" style="2992" customWidth="1"/>
    <col min="987" max="987" width="15.75" style="2992" customWidth="1"/>
    <col min="988" max="988" width="13.75" style="2992"/>
    <col min="989" max="989" width="10.125" style="2992" customWidth="1"/>
    <col min="990" max="996" width="11.375" style="2992" customWidth="1"/>
    <col min="997" max="998" width="11.875" style="2992" customWidth="1"/>
    <col min="999" max="999" width="15.375" style="2992" customWidth="1"/>
    <col min="1000" max="1000" width="11.875" style="2992" customWidth="1"/>
    <col min="1001" max="1007" width="11.375" style="2992" customWidth="1"/>
    <col min="1008" max="1011" width="12.125" style="2992" customWidth="1"/>
    <col min="1012" max="1012" width="11.375" style="2992" customWidth="1"/>
    <col min="1013" max="1015" width="13.5" style="2992" customWidth="1"/>
    <col min="1016" max="1240" width="13.75" style="2992"/>
    <col min="1241" max="1241" width="10.75" style="2992" customWidth="1"/>
    <col min="1242" max="1242" width="4.75" style="2992" customWidth="1"/>
    <col min="1243" max="1243" width="15.75" style="2992" customWidth="1"/>
    <col min="1244" max="1244" width="13.75" style="2992"/>
    <col min="1245" max="1245" width="10.125" style="2992" customWidth="1"/>
    <col min="1246" max="1252" width="11.375" style="2992" customWidth="1"/>
    <col min="1253" max="1254" width="11.875" style="2992" customWidth="1"/>
    <col min="1255" max="1255" width="15.375" style="2992" customWidth="1"/>
    <col min="1256" max="1256" width="11.875" style="2992" customWidth="1"/>
    <col min="1257" max="1263" width="11.375" style="2992" customWidth="1"/>
    <col min="1264" max="1267" width="12.125" style="2992" customWidth="1"/>
    <col min="1268" max="1268" width="11.375" style="2992" customWidth="1"/>
    <col min="1269" max="1271" width="13.5" style="2992" customWidth="1"/>
    <col min="1272" max="1496" width="13.75" style="2992"/>
    <col min="1497" max="1497" width="10.75" style="2992" customWidth="1"/>
    <col min="1498" max="1498" width="4.75" style="2992" customWidth="1"/>
    <col min="1499" max="1499" width="15.75" style="2992" customWidth="1"/>
    <col min="1500" max="1500" width="13.75" style="2992"/>
    <col min="1501" max="1501" width="10.125" style="2992" customWidth="1"/>
    <col min="1502" max="1508" width="11.375" style="2992" customWidth="1"/>
    <col min="1509" max="1510" width="11.875" style="2992" customWidth="1"/>
    <col min="1511" max="1511" width="15.375" style="2992" customWidth="1"/>
    <col min="1512" max="1512" width="11.875" style="2992" customWidth="1"/>
    <col min="1513" max="1519" width="11.375" style="2992" customWidth="1"/>
    <col min="1520" max="1523" width="12.125" style="2992" customWidth="1"/>
    <col min="1524" max="1524" width="11.375" style="2992" customWidth="1"/>
    <col min="1525" max="1527" width="13.5" style="2992" customWidth="1"/>
    <col min="1528" max="1752" width="13.75" style="2992"/>
    <col min="1753" max="1753" width="10.75" style="2992" customWidth="1"/>
    <col min="1754" max="1754" width="4.75" style="2992" customWidth="1"/>
    <col min="1755" max="1755" width="15.75" style="2992" customWidth="1"/>
    <col min="1756" max="1756" width="13.75" style="2992"/>
    <col min="1757" max="1757" width="10.125" style="2992" customWidth="1"/>
    <col min="1758" max="1764" width="11.375" style="2992" customWidth="1"/>
    <col min="1765" max="1766" width="11.875" style="2992" customWidth="1"/>
    <col min="1767" max="1767" width="15.375" style="2992" customWidth="1"/>
    <col min="1768" max="1768" width="11.875" style="2992" customWidth="1"/>
    <col min="1769" max="1775" width="11.375" style="2992" customWidth="1"/>
    <col min="1776" max="1779" width="12.125" style="2992" customWidth="1"/>
    <col min="1780" max="1780" width="11.375" style="2992" customWidth="1"/>
    <col min="1781" max="1783" width="13.5" style="2992" customWidth="1"/>
    <col min="1784" max="2008" width="13.75" style="2992"/>
    <col min="2009" max="2009" width="10.75" style="2992" customWidth="1"/>
    <col min="2010" max="2010" width="4.75" style="2992" customWidth="1"/>
    <col min="2011" max="2011" width="15.75" style="2992" customWidth="1"/>
    <col min="2012" max="2012" width="13.75" style="2992"/>
    <col min="2013" max="2013" width="10.125" style="2992" customWidth="1"/>
    <col min="2014" max="2020" width="11.375" style="2992" customWidth="1"/>
    <col min="2021" max="2022" width="11.875" style="2992" customWidth="1"/>
    <col min="2023" max="2023" width="15.375" style="2992" customWidth="1"/>
    <col min="2024" max="2024" width="11.875" style="2992" customWidth="1"/>
    <col min="2025" max="2031" width="11.375" style="2992" customWidth="1"/>
    <col min="2032" max="2035" width="12.125" style="2992" customWidth="1"/>
    <col min="2036" max="2036" width="11.375" style="2992" customWidth="1"/>
    <col min="2037" max="2039" width="13.5" style="2992" customWidth="1"/>
    <col min="2040" max="2264" width="13.75" style="2992"/>
    <col min="2265" max="2265" width="10.75" style="2992" customWidth="1"/>
    <col min="2266" max="2266" width="4.75" style="2992" customWidth="1"/>
    <col min="2267" max="2267" width="15.75" style="2992" customWidth="1"/>
    <col min="2268" max="2268" width="13.75" style="2992"/>
    <col min="2269" max="2269" width="10.125" style="2992" customWidth="1"/>
    <col min="2270" max="2276" width="11.375" style="2992" customWidth="1"/>
    <col min="2277" max="2278" width="11.875" style="2992" customWidth="1"/>
    <col min="2279" max="2279" width="15.375" style="2992" customWidth="1"/>
    <col min="2280" max="2280" width="11.875" style="2992" customWidth="1"/>
    <col min="2281" max="2287" width="11.375" style="2992" customWidth="1"/>
    <col min="2288" max="2291" width="12.125" style="2992" customWidth="1"/>
    <col min="2292" max="2292" width="11.375" style="2992" customWidth="1"/>
    <col min="2293" max="2295" width="13.5" style="2992" customWidth="1"/>
    <col min="2296" max="2520" width="13.75" style="2992"/>
    <col min="2521" max="2521" width="10.75" style="2992" customWidth="1"/>
    <col min="2522" max="2522" width="4.75" style="2992" customWidth="1"/>
    <col min="2523" max="2523" width="15.75" style="2992" customWidth="1"/>
    <col min="2524" max="2524" width="13.75" style="2992"/>
    <col min="2525" max="2525" width="10.125" style="2992" customWidth="1"/>
    <col min="2526" max="2532" width="11.375" style="2992" customWidth="1"/>
    <col min="2533" max="2534" width="11.875" style="2992" customWidth="1"/>
    <col min="2535" max="2535" width="15.375" style="2992" customWidth="1"/>
    <col min="2536" max="2536" width="11.875" style="2992" customWidth="1"/>
    <col min="2537" max="2543" width="11.375" style="2992" customWidth="1"/>
    <col min="2544" max="2547" width="12.125" style="2992" customWidth="1"/>
    <col min="2548" max="2548" width="11.375" style="2992" customWidth="1"/>
    <col min="2549" max="2551" width="13.5" style="2992" customWidth="1"/>
    <col min="2552" max="2776" width="13.75" style="2992"/>
    <col min="2777" max="2777" width="10.75" style="2992" customWidth="1"/>
    <col min="2778" max="2778" width="4.75" style="2992" customWidth="1"/>
    <col min="2779" max="2779" width="15.75" style="2992" customWidth="1"/>
    <col min="2780" max="2780" width="13.75" style="2992"/>
    <col min="2781" max="2781" width="10.125" style="2992" customWidth="1"/>
    <col min="2782" max="2788" width="11.375" style="2992" customWidth="1"/>
    <col min="2789" max="2790" width="11.875" style="2992" customWidth="1"/>
    <col min="2791" max="2791" width="15.375" style="2992" customWidth="1"/>
    <col min="2792" max="2792" width="11.875" style="2992" customWidth="1"/>
    <col min="2793" max="2799" width="11.375" style="2992" customWidth="1"/>
    <col min="2800" max="2803" width="12.125" style="2992" customWidth="1"/>
    <col min="2804" max="2804" width="11.375" style="2992" customWidth="1"/>
    <col min="2805" max="2807" width="13.5" style="2992" customWidth="1"/>
    <col min="2808" max="3032" width="13.75" style="2992"/>
    <col min="3033" max="3033" width="10.75" style="2992" customWidth="1"/>
    <col min="3034" max="3034" width="4.75" style="2992" customWidth="1"/>
    <col min="3035" max="3035" width="15.75" style="2992" customWidth="1"/>
    <col min="3036" max="3036" width="13.75" style="2992"/>
    <col min="3037" max="3037" width="10.125" style="2992" customWidth="1"/>
    <col min="3038" max="3044" width="11.375" style="2992" customWidth="1"/>
    <col min="3045" max="3046" width="11.875" style="2992" customWidth="1"/>
    <col min="3047" max="3047" width="15.375" style="2992" customWidth="1"/>
    <col min="3048" max="3048" width="11.875" style="2992" customWidth="1"/>
    <col min="3049" max="3055" width="11.375" style="2992" customWidth="1"/>
    <col min="3056" max="3059" width="12.125" style="2992" customWidth="1"/>
    <col min="3060" max="3060" width="11.375" style="2992" customWidth="1"/>
    <col min="3061" max="3063" width="13.5" style="2992" customWidth="1"/>
    <col min="3064" max="3288" width="13.75" style="2992"/>
    <col min="3289" max="3289" width="10.75" style="2992" customWidth="1"/>
    <col min="3290" max="3290" width="4.75" style="2992" customWidth="1"/>
    <col min="3291" max="3291" width="15.75" style="2992" customWidth="1"/>
    <col min="3292" max="3292" width="13.75" style="2992"/>
    <col min="3293" max="3293" width="10.125" style="2992" customWidth="1"/>
    <col min="3294" max="3300" width="11.375" style="2992" customWidth="1"/>
    <col min="3301" max="3302" width="11.875" style="2992" customWidth="1"/>
    <col min="3303" max="3303" width="15.375" style="2992" customWidth="1"/>
    <col min="3304" max="3304" width="11.875" style="2992" customWidth="1"/>
    <col min="3305" max="3311" width="11.375" style="2992" customWidth="1"/>
    <col min="3312" max="3315" width="12.125" style="2992" customWidth="1"/>
    <col min="3316" max="3316" width="11.375" style="2992" customWidth="1"/>
    <col min="3317" max="3319" width="13.5" style="2992" customWidth="1"/>
    <col min="3320" max="3544" width="13.75" style="2992"/>
    <col min="3545" max="3545" width="10.75" style="2992" customWidth="1"/>
    <col min="3546" max="3546" width="4.75" style="2992" customWidth="1"/>
    <col min="3547" max="3547" width="15.75" style="2992" customWidth="1"/>
    <col min="3548" max="3548" width="13.75" style="2992"/>
    <col min="3549" max="3549" width="10.125" style="2992" customWidth="1"/>
    <col min="3550" max="3556" width="11.375" style="2992" customWidth="1"/>
    <col min="3557" max="3558" width="11.875" style="2992" customWidth="1"/>
    <col min="3559" max="3559" width="15.375" style="2992" customWidth="1"/>
    <col min="3560" max="3560" width="11.875" style="2992" customWidth="1"/>
    <col min="3561" max="3567" width="11.375" style="2992" customWidth="1"/>
    <col min="3568" max="3571" width="12.125" style="2992" customWidth="1"/>
    <col min="3572" max="3572" width="11.375" style="2992" customWidth="1"/>
    <col min="3573" max="3575" width="13.5" style="2992" customWidth="1"/>
    <col min="3576" max="3800" width="13.75" style="2992"/>
    <col min="3801" max="3801" width="10.75" style="2992" customWidth="1"/>
    <col min="3802" max="3802" width="4.75" style="2992" customWidth="1"/>
    <col min="3803" max="3803" width="15.75" style="2992" customWidth="1"/>
    <col min="3804" max="3804" width="13.75" style="2992"/>
    <col min="3805" max="3805" width="10.125" style="2992" customWidth="1"/>
    <col min="3806" max="3812" width="11.375" style="2992" customWidth="1"/>
    <col min="3813" max="3814" width="11.875" style="2992" customWidth="1"/>
    <col min="3815" max="3815" width="15.375" style="2992" customWidth="1"/>
    <col min="3816" max="3816" width="11.875" style="2992" customWidth="1"/>
    <col min="3817" max="3823" width="11.375" style="2992" customWidth="1"/>
    <col min="3824" max="3827" width="12.125" style="2992" customWidth="1"/>
    <col min="3828" max="3828" width="11.375" style="2992" customWidth="1"/>
    <col min="3829" max="3831" width="13.5" style="2992" customWidth="1"/>
    <col min="3832" max="4056" width="13.75" style="2992"/>
    <col min="4057" max="4057" width="10.75" style="2992" customWidth="1"/>
    <col min="4058" max="4058" width="4.75" style="2992" customWidth="1"/>
    <col min="4059" max="4059" width="15.75" style="2992" customWidth="1"/>
    <col min="4060" max="4060" width="13.75" style="2992"/>
    <col min="4061" max="4061" width="10.125" style="2992" customWidth="1"/>
    <col min="4062" max="4068" width="11.375" style="2992" customWidth="1"/>
    <col min="4069" max="4070" width="11.875" style="2992" customWidth="1"/>
    <col min="4071" max="4071" width="15.375" style="2992" customWidth="1"/>
    <col min="4072" max="4072" width="11.875" style="2992" customWidth="1"/>
    <col min="4073" max="4079" width="11.375" style="2992" customWidth="1"/>
    <col min="4080" max="4083" width="12.125" style="2992" customWidth="1"/>
    <col min="4084" max="4084" width="11.375" style="2992" customWidth="1"/>
    <col min="4085" max="4087" width="13.5" style="2992" customWidth="1"/>
    <col min="4088" max="4312" width="13.75" style="2992"/>
    <col min="4313" max="4313" width="10.75" style="2992" customWidth="1"/>
    <col min="4314" max="4314" width="4.75" style="2992" customWidth="1"/>
    <col min="4315" max="4315" width="15.75" style="2992" customWidth="1"/>
    <col min="4316" max="4316" width="13.75" style="2992"/>
    <col min="4317" max="4317" width="10.125" style="2992" customWidth="1"/>
    <col min="4318" max="4324" width="11.375" style="2992" customWidth="1"/>
    <col min="4325" max="4326" width="11.875" style="2992" customWidth="1"/>
    <col min="4327" max="4327" width="15.375" style="2992" customWidth="1"/>
    <col min="4328" max="4328" width="11.875" style="2992" customWidth="1"/>
    <col min="4329" max="4335" width="11.375" style="2992" customWidth="1"/>
    <col min="4336" max="4339" width="12.125" style="2992" customWidth="1"/>
    <col min="4340" max="4340" width="11.375" style="2992" customWidth="1"/>
    <col min="4341" max="4343" width="13.5" style="2992" customWidth="1"/>
    <col min="4344" max="4568" width="13.75" style="2992"/>
    <col min="4569" max="4569" width="10.75" style="2992" customWidth="1"/>
    <col min="4570" max="4570" width="4.75" style="2992" customWidth="1"/>
    <col min="4571" max="4571" width="15.75" style="2992" customWidth="1"/>
    <col min="4572" max="4572" width="13.75" style="2992"/>
    <col min="4573" max="4573" width="10.125" style="2992" customWidth="1"/>
    <col min="4574" max="4580" width="11.375" style="2992" customWidth="1"/>
    <col min="4581" max="4582" width="11.875" style="2992" customWidth="1"/>
    <col min="4583" max="4583" width="15.375" style="2992" customWidth="1"/>
    <col min="4584" max="4584" width="11.875" style="2992" customWidth="1"/>
    <col min="4585" max="4591" width="11.375" style="2992" customWidth="1"/>
    <col min="4592" max="4595" width="12.125" style="2992" customWidth="1"/>
    <col min="4596" max="4596" width="11.375" style="2992" customWidth="1"/>
    <col min="4597" max="4599" width="13.5" style="2992" customWidth="1"/>
    <col min="4600" max="4824" width="13.75" style="2992"/>
    <col min="4825" max="4825" width="10.75" style="2992" customWidth="1"/>
    <col min="4826" max="4826" width="4.75" style="2992" customWidth="1"/>
    <col min="4827" max="4827" width="15.75" style="2992" customWidth="1"/>
    <col min="4828" max="4828" width="13.75" style="2992"/>
    <col min="4829" max="4829" width="10.125" style="2992" customWidth="1"/>
    <col min="4830" max="4836" width="11.375" style="2992" customWidth="1"/>
    <col min="4837" max="4838" width="11.875" style="2992" customWidth="1"/>
    <col min="4839" max="4839" width="15.375" style="2992" customWidth="1"/>
    <col min="4840" max="4840" width="11.875" style="2992" customWidth="1"/>
    <col min="4841" max="4847" width="11.375" style="2992" customWidth="1"/>
    <col min="4848" max="4851" width="12.125" style="2992" customWidth="1"/>
    <col min="4852" max="4852" width="11.375" style="2992" customWidth="1"/>
    <col min="4853" max="4855" width="13.5" style="2992" customWidth="1"/>
    <col min="4856" max="5080" width="13.75" style="2992"/>
    <col min="5081" max="5081" width="10.75" style="2992" customWidth="1"/>
    <col min="5082" max="5082" width="4.75" style="2992" customWidth="1"/>
    <col min="5083" max="5083" width="15.75" style="2992" customWidth="1"/>
    <col min="5084" max="5084" width="13.75" style="2992"/>
    <col min="5085" max="5085" width="10.125" style="2992" customWidth="1"/>
    <col min="5086" max="5092" width="11.375" style="2992" customWidth="1"/>
    <col min="5093" max="5094" width="11.875" style="2992" customWidth="1"/>
    <col min="5095" max="5095" width="15.375" style="2992" customWidth="1"/>
    <col min="5096" max="5096" width="11.875" style="2992" customWidth="1"/>
    <col min="5097" max="5103" width="11.375" style="2992" customWidth="1"/>
    <col min="5104" max="5107" width="12.125" style="2992" customWidth="1"/>
    <col min="5108" max="5108" width="11.375" style="2992" customWidth="1"/>
    <col min="5109" max="5111" width="13.5" style="2992" customWidth="1"/>
    <col min="5112" max="5336" width="13.75" style="2992"/>
    <col min="5337" max="5337" width="10.75" style="2992" customWidth="1"/>
    <col min="5338" max="5338" width="4.75" style="2992" customWidth="1"/>
    <col min="5339" max="5339" width="15.75" style="2992" customWidth="1"/>
    <col min="5340" max="5340" width="13.75" style="2992"/>
    <col min="5341" max="5341" width="10.125" style="2992" customWidth="1"/>
    <col min="5342" max="5348" width="11.375" style="2992" customWidth="1"/>
    <col min="5349" max="5350" width="11.875" style="2992" customWidth="1"/>
    <col min="5351" max="5351" width="15.375" style="2992" customWidth="1"/>
    <col min="5352" max="5352" width="11.875" style="2992" customWidth="1"/>
    <col min="5353" max="5359" width="11.375" style="2992" customWidth="1"/>
    <col min="5360" max="5363" width="12.125" style="2992" customWidth="1"/>
    <col min="5364" max="5364" width="11.375" style="2992" customWidth="1"/>
    <col min="5365" max="5367" width="13.5" style="2992" customWidth="1"/>
    <col min="5368" max="5592" width="13.75" style="2992"/>
    <col min="5593" max="5593" width="10.75" style="2992" customWidth="1"/>
    <col min="5594" max="5594" width="4.75" style="2992" customWidth="1"/>
    <col min="5595" max="5595" width="15.75" style="2992" customWidth="1"/>
    <col min="5596" max="5596" width="13.75" style="2992"/>
    <col min="5597" max="5597" width="10.125" style="2992" customWidth="1"/>
    <col min="5598" max="5604" width="11.375" style="2992" customWidth="1"/>
    <col min="5605" max="5606" width="11.875" style="2992" customWidth="1"/>
    <col min="5607" max="5607" width="15.375" style="2992" customWidth="1"/>
    <col min="5608" max="5608" width="11.875" style="2992" customWidth="1"/>
    <col min="5609" max="5615" width="11.375" style="2992" customWidth="1"/>
    <col min="5616" max="5619" width="12.125" style="2992" customWidth="1"/>
    <col min="5620" max="5620" width="11.375" style="2992" customWidth="1"/>
    <col min="5621" max="5623" width="13.5" style="2992" customWidth="1"/>
    <col min="5624" max="5848" width="13.75" style="2992"/>
    <col min="5849" max="5849" width="10.75" style="2992" customWidth="1"/>
    <col min="5850" max="5850" width="4.75" style="2992" customWidth="1"/>
    <col min="5851" max="5851" width="15.75" style="2992" customWidth="1"/>
    <col min="5852" max="5852" width="13.75" style="2992"/>
    <col min="5853" max="5853" width="10.125" style="2992" customWidth="1"/>
    <col min="5854" max="5860" width="11.375" style="2992" customWidth="1"/>
    <col min="5861" max="5862" width="11.875" style="2992" customWidth="1"/>
    <col min="5863" max="5863" width="15.375" style="2992" customWidth="1"/>
    <col min="5864" max="5864" width="11.875" style="2992" customWidth="1"/>
    <col min="5865" max="5871" width="11.375" style="2992" customWidth="1"/>
    <col min="5872" max="5875" width="12.125" style="2992" customWidth="1"/>
    <col min="5876" max="5876" width="11.375" style="2992" customWidth="1"/>
    <col min="5877" max="5879" width="13.5" style="2992" customWidth="1"/>
    <col min="5880" max="6104" width="13.75" style="2992"/>
    <col min="6105" max="6105" width="10.75" style="2992" customWidth="1"/>
    <col min="6106" max="6106" width="4.75" style="2992" customWidth="1"/>
    <col min="6107" max="6107" width="15.75" style="2992" customWidth="1"/>
    <col min="6108" max="6108" width="13.75" style="2992"/>
    <col min="6109" max="6109" width="10.125" style="2992" customWidth="1"/>
    <col min="6110" max="6116" width="11.375" style="2992" customWidth="1"/>
    <col min="6117" max="6118" width="11.875" style="2992" customWidth="1"/>
    <col min="6119" max="6119" width="15.375" style="2992" customWidth="1"/>
    <col min="6120" max="6120" width="11.875" style="2992" customWidth="1"/>
    <col min="6121" max="6127" width="11.375" style="2992" customWidth="1"/>
    <col min="6128" max="6131" width="12.125" style="2992" customWidth="1"/>
    <col min="6132" max="6132" width="11.375" style="2992" customWidth="1"/>
    <col min="6133" max="6135" width="13.5" style="2992" customWidth="1"/>
    <col min="6136" max="6360" width="13.75" style="2992"/>
    <col min="6361" max="6361" width="10.75" style="2992" customWidth="1"/>
    <col min="6362" max="6362" width="4.75" style="2992" customWidth="1"/>
    <col min="6363" max="6363" width="15.75" style="2992" customWidth="1"/>
    <col min="6364" max="6364" width="13.75" style="2992"/>
    <col min="6365" max="6365" width="10.125" style="2992" customWidth="1"/>
    <col min="6366" max="6372" width="11.375" style="2992" customWidth="1"/>
    <col min="6373" max="6374" width="11.875" style="2992" customWidth="1"/>
    <col min="6375" max="6375" width="15.375" style="2992" customWidth="1"/>
    <col min="6376" max="6376" width="11.875" style="2992" customWidth="1"/>
    <col min="6377" max="6383" width="11.375" style="2992" customWidth="1"/>
    <col min="6384" max="6387" width="12.125" style="2992" customWidth="1"/>
    <col min="6388" max="6388" width="11.375" style="2992" customWidth="1"/>
    <col min="6389" max="6391" width="13.5" style="2992" customWidth="1"/>
    <col min="6392" max="6616" width="13.75" style="2992"/>
    <col min="6617" max="6617" width="10.75" style="2992" customWidth="1"/>
    <col min="6618" max="6618" width="4.75" style="2992" customWidth="1"/>
    <col min="6619" max="6619" width="15.75" style="2992" customWidth="1"/>
    <col min="6620" max="6620" width="13.75" style="2992"/>
    <col min="6621" max="6621" width="10.125" style="2992" customWidth="1"/>
    <col min="6622" max="6628" width="11.375" style="2992" customWidth="1"/>
    <col min="6629" max="6630" width="11.875" style="2992" customWidth="1"/>
    <col min="6631" max="6631" width="15.375" style="2992" customWidth="1"/>
    <col min="6632" max="6632" width="11.875" style="2992" customWidth="1"/>
    <col min="6633" max="6639" width="11.375" style="2992" customWidth="1"/>
    <col min="6640" max="6643" width="12.125" style="2992" customWidth="1"/>
    <col min="6644" max="6644" width="11.375" style="2992" customWidth="1"/>
    <col min="6645" max="6647" width="13.5" style="2992" customWidth="1"/>
    <col min="6648" max="6872" width="13.75" style="2992"/>
    <col min="6873" max="6873" width="10.75" style="2992" customWidth="1"/>
    <col min="6874" max="6874" width="4.75" style="2992" customWidth="1"/>
    <col min="6875" max="6875" width="15.75" style="2992" customWidth="1"/>
    <col min="6876" max="6876" width="13.75" style="2992"/>
    <col min="6877" max="6877" width="10.125" style="2992" customWidth="1"/>
    <col min="6878" max="6884" width="11.375" style="2992" customWidth="1"/>
    <col min="6885" max="6886" width="11.875" style="2992" customWidth="1"/>
    <col min="6887" max="6887" width="15.375" style="2992" customWidth="1"/>
    <col min="6888" max="6888" width="11.875" style="2992" customWidth="1"/>
    <col min="6889" max="6895" width="11.375" style="2992" customWidth="1"/>
    <col min="6896" max="6899" width="12.125" style="2992" customWidth="1"/>
    <col min="6900" max="6900" width="11.375" style="2992" customWidth="1"/>
    <col min="6901" max="6903" width="13.5" style="2992" customWidth="1"/>
    <col min="6904" max="7128" width="13.75" style="2992"/>
    <col min="7129" max="7129" width="10.75" style="2992" customWidth="1"/>
    <col min="7130" max="7130" width="4.75" style="2992" customWidth="1"/>
    <col min="7131" max="7131" width="15.75" style="2992" customWidth="1"/>
    <col min="7132" max="7132" width="13.75" style="2992"/>
    <col min="7133" max="7133" width="10.125" style="2992" customWidth="1"/>
    <col min="7134" max="7140" width="11.375" style="2992" customWidth="1"/>
    <col min="7141" max="7142" width="11.875" style="2992" customWidth="1"/>
    <col min="7143" max="7143" width="15.375" style="2992" customWidth="1"/>
    <col min="7144" max="7144" width="11.875" style="2992" customWidth="1"/>
    <col min="7145" max="7151" width="11.375" style="2992" customWidth="1"/>
    <col min="7152" max="7155" width="12.125" style="2992" customWidth="1"/>
    <col min="7156" max="7156" width="11.375" style="2992" customWidth="1"/>
    <col min="7157" max="7159" width="13.5" style="2992" customWidth="1"/>
    <col min="7160" max="7384" width="13.75" style="2992"/>
    <col min="7385" max="7385" width="10.75" style="2992" customWidth="1"/>
    <col min="7386" max="7386" width="4.75" style="2992" customWidth="1"/>
    <col min="7387" max="7387" width="15.75" style="2992" customWidth="1"/>
    <col min="7388" max="7388" width="13.75" style="2992"/>
    <col min="7389" max="7389" width="10.125" style="2992" customWidth="1"/>
    <col min="7390" max="7396" width="11.375" style="2992" customWidth="1"/>
    <col min="7397" max="7398" width="11.875" style="2992" customWidth="1"/>
    <col min="7399" max="7399" width="15.375" style="2992" customWidth="1"/>
    <col min="7400" max="7400" width="11.875" style="2992" customWidth="1"/>
    <col min="7401" max="7407" width="11.375" style="2992" customWidth="1"/>
    <col min="7408" max="7411" width="12.125" style="2992" customWidth="1"/>
    <col min="7412" max="7412" width="11.375" style="2992" customWidth="1"/>
    <col min="7413" max="7415" width="13.5" style="2992" customWidth="1"/>
    <col min="7416" max="7640" width="13.75" style="2992"/>
    <col min="7641" max="7641" width="10.75" style="2992" customWidth="1"/>
    <col min="7642" max="7642" width="4.75" style="2992" customWidth="1"/>
    <col min="7643" max="7643" width="15.75" style="2992" customWidth="1"/>
    <col min="7644" max="7644" width="13.75" style="2992"/>
    <col min="7645" max="7645" width="10.125" style="2992" customWidth="1"/>
    <col min="7646" max="7652" width="11.375" style="2992" customWidth="1"/>
    <col min="7653" max="7654" width="11.875" style="2992" customWidth="1"/>
    <col min="7655" max="7655" width="15.375" style="2992" customWidth="1"/>
    <col min="7656" max="7656" width="11.875" style="2992" customWidth="1"/>
    <col min="7657" max="7663" width="11.375" style="2992" customWidth="1"/>
    <col min="7664" max="7667" width="12.125" style="2992" customWidth="1"/>
    <col min="7668" max="7668" width="11.375" style="2992" customWidth="1"/>
    <col min="7669" max="7671" width="13.5" style="2992" customWidth="1"/>
    <col min="7672" max="7896" width="13.75" style="2992"/>
    <col min="7897" max="7897" width="10.75" style="2992" customWidth="1"/>
    <col min="7898" max="7898" width="4.75" style="2992" customWidth="1"/>
    <col min="7899" max="7899" width="15.75" style="2992" customWidth="1"/>
    <col min="7900" max="7900" width="13.75" style="2992"/>
    <col min="7901" max="7901" width="10.125" style="2992" customWidth="1"/>
    <col min="7902" max="7908" width="11.375" style="2992" customWidth="1"/>
    <col min="7909" max="7910" width="11.875" style="2992" customWidth="1"/>
    <col min="7911" max="7911" width="15.375" style="2992" customWidth="1"/>
    <col min="7912" max="7912" width="11.875" style="2992" customWidth="1"/>
    <col min="7913" max="7919" width="11.375" style="2992" customWidth="1"/>
    <col min="7920" max="7923" width="12.125" style="2992" customWidth="1"/>
    <col min="7924" max="7924" width="11.375" style="2992" customWidth="1"/>
    <col min="7925" max="7927" width="13.5" style="2992" customWidth="1"/>
    <col min="7928" max="8152" width="13.75" style="2992"/>
    <col min="8153" max="8153" width="10.75" style="2992" customWidth="1"/>
    <col min="8154" max="8154" width="4.75" style="2992" customWidth="1"/>
    <col min="8155" max="8155" width="15.75" style="2992" customWidth="1"/>
    <col min="8156" max="8156" width="13.75" style="2992"/>
    <col min="8157" max="8157" width="10.125" style="2992" customWidth="1"/>
    <col min="8158" max="8164" width="11.375" style="2992" customWidth="1"/>
    <col min="8165" max="8166" width="11.875" style="2992" customWidth="1"/>
    <col min="8167" max="8167" width="15.375" style="2992" customWidth="1"/>
    <col min="8168" max="8168" width="11.875" style="2992" customWidth="1"/>
    <col min="8169" max="8175" width="11.375" style="2992" customWidth="1"/>
    <col min="8176" max="8179" width="12.125" style="2992" customWidth="1"/>
    <col min="8180" max="8180" width="11.375" style="2992" customWidth="1"/>
    <col min="8181" max="8183" width="13.5" style="2992" customWidth="1"/>
    <col min="8184" max="8408" width="13.75" style="2992"/>
    <col min="8409" max="8409" width="10.75" style="2992" customWidth="1"/>
    <col min="8410" max="8410" width="4.75" style="2992" customWidth="1"/>
    <col min="8411" max="8411" width="15.75" style="2992" customWidth="1"/>
    <col min="8412" max="8412" width="13.75" style="2992"/>
    <col min="8413" max="8413" width="10.125" style="2992" customWidth="1"/>
    <col min="8414" max="8420" width="11.375" style="2992" customWidth="1"/>
    <col min="8421" max="8422" width="11.875" style="2992" customWidth="1"/>
    <col min="8423" max="8423" width="15.375" style="2992" customWidth="1"/>
    <col min="8424" max="8424" width="11.875" style="2992" customWidth="1"/>
    <col min="8425" max="8431" width="11.375" style="2992" customWidth="1"/>
    <col min="8432" max="8435" width="12.125" style="2992" customWidth="1"/>
    <col min="8436" max="8436" width="11.375" style="2992" customWidth="1"/>
    <col min="8437" max="8439" width="13.5" style="2992" customWidth="1"/>
    <col min="8440" max="8664" width="13.75" style="2992"/>
    <col min="8665" max="8665" width="10.75" style="2992" customWidth="1"/>
    <col min="8666" max="8666" width="4.75" style="2992" customWidth="1"/>
    <col min="8667" max="8667" width="15.75" style="2992" customWidth="1"/>
    <col min="8668" max="8668" width="13.75" style="2992"/>
    <col min="8669" max="8669" width="10.125" style="2992" customWidth="1"/>
    <col min="8670" max="8676" width="11.375" style="2992" customWidth="1"/>
    <col min="8677" max="8678" width="11.875" style="2992" customWidth="1"/>
    <col min="8679" max="8679" width="15.375" style="2992" customWidth="1"/>
    <col min="8680" max="8680" width="11.875" style="2992" customWidth="1"/>
    <col min="8681" max="8687" width="11.375" style="2992" customWidth="1"/>
    <col min="8688" max="8691" width="12.125" style="2992" customWidth="1"/>
    <col min="8692" max="8692" width="11.375" style="2992" customWidth="1"/>
    <col min="8693" max="8695" width="13.5" style="2992" customWidth="1"/>
    <col min="8696" max="8920" width="13.75" style="2992"/>
    <col min="8921" max="8921" width="10.75" style="2992" customWidth="1"/>
    <col min="8922" max="8922" width="4.75" style="2992" customWidth="1"/>
    <col min="8923" max="8923" width="15.75" style="2992" customWidth="1"/>
    <col min="8924" max="8924" width="13.75" style="2992"/>
    <col min="8925" max="8925" width="10.125" style="2992" customWidth="1"/>
    <col min="8926" max="8932" width="11.375" style="2992" customWidth="1"/>
    <col min="8933" max="8934" width="11.875" style="2992" customWidth="1"/>
    <col min="8935" max="8935" width="15.375" style="2992" customWidth="1"/>
    <col min="8936" max="8936" width="11.875" style="2992" customWidth="1"/>
    <col min="8937" max="8943" width="11.375" style="2992" customWidth="1"/>
    <col min="8944" max="8947" width="12.125" style="2992" customWidth="1"/>
    <col min="8948" max="8948" width="11.375" style="2992" customWidth="1"/>
    <col min="8949" max="8951" width="13.5" style="2992" customWidth="1"/>
    <col min="8952" max="9176" width="13.75" style="2992"/>
    <col min="9177" max="9177" width="10.75" style="2992" customWidth="1"/>
    <col min="9178" max="9178" width="4.75" style="2992" customWidth="1"/>
    <col min="9179" max="9179" width="15.75" style="2992" customWidth="1"/>
    <col min="9180" max="9180" width="13.75" style="2992"/>
    <col min="9181" max="9181" width="10.125" style="2992" customWidth="1"/>
    <col min="9182" max="9188" width="11.375" style="2992" customWidth="1"/>
    <col min="9189" max="9190" width="11.875" style="2992" customWidth="1"/>
    <col min="9191" max="9191" width="15.375" style="2992" customWidth="1"/>
    <col min="9192" max="9192" width="11.875" style="2992" customWidth="1"/>
    <col min="9193" max="9199" width="11.375" style="2992" customWidth="1"/>
    <col min="9200" max="9203" width="12.125" style="2992" customWidth="1"/>
    <col min="9204" max="9204" width="11.375" style="2992" customWidth="1"/>
    <col min="9205" max="9207" width="13.5" style="2992" customWidth="1"/>
    <col min="9208" max="9432" width="13.75" style="2992"/>
    <col min="9433" max="9433" width="10.75" style="2992" customWidth="1"/>
    <col min="9434" max="9434" width="4.75" style="2992" customWidth="1"/>
    <col min="9435" max="9435" width="15.75" style="2992" customWidth="1"/>
    <col min="9436" max="9436" width="13.75" style="2992"/>
    <col min="9437" max="9437" width="10.125" style="2992" customWidth="1"/>
    <col min="9438" max="9444" width="11.375" style="2992" customWidth="1"/>
    <col min="9445" max="9446" width="11.875" style="2992" customWidth="1"/>
    <col min="9447" max="9447" width="15.375" style="2992" customWidth="1"/>
    <col min="9448" max="9448" width="11.875" style="2992" customWidth="1"/>
    <col min="9449" max="9455" width="11.375" style="2992" customWidth="1"/>
    <col min="9456" max="9459" width="12.125" style="2992" customWidth="1"/>
    <col min="9460" max="9460" width="11.375" style="2992" customWidth="1"/>
    <col min="9461" max="9463" width="13.5" style="2992" customWidth="1"/>
    <col min="9464" max="9688" width="13.75" style="2992"/>
    <col min="9689" max="9689" width="10.75" style="2992" customWidth="1"/>
    <col min="9690" max="9690" width="4.75" style="2992" customWidth="1"/>
    <col min="9691" max="9691" width="15.75" style="2992" customWidth="1"/>
    <col min="9692" max="9692" width="13.75" style="2992"/>
    <col min="9693" max="9693" width="10.125" style="2992" customWidth="1"/>
    <col min="9694" max="9700" width="11.375" style="2992" customWidth="1"/>
    <col min="9701" max="9702" width="11.875" style="2992" customWidth="1"/>
    <col min="9703" max="9703" width="15.375" style="2992" customWidth="1"/>
    <col min="9704" max="9704" width="11.875" style="2992" customWidth="1"/>
    <col min="9705" max="9711" width="11.375" style="2992" customWidth="1"/>
    <col min="9712" max="9715" width="12.125" style="2992" customWidth="1"/>
    <col min="9716" max="9716" width="11.375" style="2992" customWidth="1"/>
    <col min="9717" max="9719" width="13.5" style="2992" customWidth="1"/>
    <col min="9720" max="9944" width="13.75" style="2992"/>
    <col min="9945" max="9945" width="10.75" style="2992" customWidth="1"/>
    <col min="9946" max="9946" width="4.75" style="2992" customWidth="1"/>
    <col min="9947" max="9947" width="15.75" style="2992" customWidth="1"/>
    <col min="9948" max="9948" width="13.75" style="2992"/>
    <col min="9949" max="9949" width="10.125" style="2992" customWidth="1"/>
    <col min="9950" max="9956" width="11.375" style="2992" customWidth="1"/>
    <col min="9957" max="9958" width="11.875" style="2992" customWidth="1"/>
    <col min="9959" max="9959" width="15.375" style="2992" customWidth="1"/>
    <col min="9960" max="9960" width="11.875" style="2992" customWidth="1"/>
    <col min="9961" max="9967" width="11.375" style="2992" customWidth="1"/>
    <col min="9968" max="9971" width="12.125" style="2992" customWidth="1"/>
    <col min="9972" max="9972" width="11.375" style="2992" customWidth="1"/>
    <col min="9973" max="9975" width="13.5" style="2992" customWidth="1"/>
    <col min="9976" max="10200" width="13.75" style="2992"/>
    <col min="10201" max="10201" width="10.75" style="2992" customWidth="1"/>
    <col min="10202" max="10202" width="4.75" style="2992" customWidth="1"/>
    <col min="10203" max="10203" width="15.75" style="2992" customWidth="1"/>
    <col min="10204" max="10204" width="13.75" style="2992"/>
    <col min="10205" max="10205" width="10.125" style="2992" customWidth="1"/>
    <col min="10206" max="10212" width="11.375" style="2992" customWidth="1"/>
    <col min="10213" max="10214" width="11.875" style="2992" customWidth="1"/>
    <col min="10215" max="10215" width="15.375" style="2992" customWidth="1"/>
    <col min="10216" max="10216" width="11.875" style="2992" customWidth="1"/>
    <col min="10217" max="10223" width="11.375" style="2992" customWidth="1"/>
    <col min="10224" max="10227" width="12.125" style="2992" customWidth="1"/>
    <col min="10228" max="10228" width="11.375" style="2992" customWidth="1"/>
    <col min="10229" max="10231" width="13.5" style="2992" customWidth="1"/>
    <col min="10232" max="10456" width="13.75" style="2992"/>
    <col min="10457" max="10457" width="10.75" style="2992" customWidth="1"/>
    <col min="10458" max="10458" width="4.75" style="2992" customWidth="1"/>
    <col min="10459" max="10459" width="15.75" style="2992" customWidth="1"/>
    <col min="10460" max="10460" width="13.75" style="2992"/>
    <col min="10461" max="10461" width="10.125" style="2992" customWidth="1"/>
    <col min="10462" max="10468" width="11.375" style="2992" customWidth="1"/>
    <col min="10469" max="10470" width="11.875" style="2992" customWidth="1"/>
    <col min="10471" max="10471" width="15.375" style="2992" customWidth="1"/>
    <col min="10472" max="10472" width="11.875" style="2992" customWidth="1"/>
    <col min="10473" max="10479" width="11.375" style="2992" customWidth="1"/>
    <col min="10480" max="10483" width="12.125" style="2992" customWidth="1"/>
    <col min="10484" max="10484" width="11.375" style="2992" customWidth="1"/>
    <col min="10485" max="10487" width="13.5" style="2992" customWidth="1"/>
    <col min="10488" max="10712" width="13.75" style="2992"/>
    <col min="10713" max="10713" width="10.75" style="2992" customWidth="1"/>
    <col min="10714" max="10714" width="4.75" style="2992" customWidth="1"/>
    <col min="10715" max="10715" width="15.75" style="2992" customWidth="1"/>
    <col min="10716" max="10716" width="13.75" style="2992"/>
    <col min="10717" max="10717" width="10.125" style="2992" customWidth="1"/>
    <col min="10718" max="10724" width="11.375" style="2992" customWidth="1"/>
    <col min="10725" max="10726" width="11.875" style="2992" customWidth="1"/>
    <col min="10727" max="10727" width="15.375" style="2992" customWidth="1"/>
    <col min="10728" max="10728" width="11.875" style="2992" customWidth="1"/>
    <col min="10729" max="10735" width="11.375" style="2992" customWidth="1"/>
    <col min="10736" max="10739" width="12.125" style="2992" customWidth="1"/>
    <col min="10740" max="10740" width="11.375" style="2992" customWidth="1"/>
    <col min="10741" max="10743" width="13.5" style="2992" customWidth="1"/>
    <col min="10744" max="10968" width="13.75" style="2992"/>
    <col min="10969" max="10969" width="10.75" style="2992" customWidth="1"/>
    <col min="10970" max="10970" width="4.75" style="2992" customWidth="1"/>
    <col min="10971" max="10971" width="15.75" style="2992" customWidth="1"/>
    <col min="10972" max="10972" width="13.75" style="2992"/>
    <col min="10973" max="10973" width="10.125" style="2992" customWidth="1"/>
    <col min="10974" max="10980" width="11.375" style="2992" customWidth="1"/>
    <col min="10981" max="10982" width="11.875" style="2992" customWidth="1"/>
    <col min="10983" max="10983" width="15.375" style="2992" customWidth="1"/>
    <col min="10984" max="10984" width="11.875" style="2992" customWidth="1"/>
    <col min="10985" max="10991" width="11.375" style="2992" customWidth="1"/>
    <col min="10992" max="10995" width="12.125" style="2992" customWidth="1"/>
    <col min="10996" max="10996" width="11.375" style="2992" customWidth="1"/>
    <col min="10997" max="10999" width="13.5" style="2992" customWidth="1"/>
    <col min="11000" max="11224" width="13.75" style="2992"/>
    <col min="11225" max="11225" width="10.75" style="2992" customWidth="1"/>
    <col min="11226" max="11226" width="4.75" style="2992" customWidth="1"/>
    <col min="11227" max="11227" width="15.75" style="2992" customWidth="1"/>
    <col min="11228" max="11228" width="13.75" style="2992"/>
    <col min="11229" max="11229" width="10.125" style="2992" customWidth="1"/>
    <col min="11230" max="11236" width="11.375" style="2992" customWidth="1"/>
    <col min="11237" max="11238" width="11.875" style="2992" customWidth="1"/>
    <col min="11239" max="11239" width="15.375" style="2992" customWidth="1"/>
    <col min="11240" max="11240" width="11.875" style="2992" customWidth="1"/>
    <col min="11241" max="11247" width="11.375" style="2992" customWidth="1"/>
    <col min="11248" max="11251" width="12.125" style="2992" customWidth="1"/>
    <col min="11252" max="11252" width="11.375" style="2992" customWidth="1"/>
    <col min="11253" max="11255" width="13.5" style="2992" customWidth="1"/>
    <col min="11256" max="11480" width="13.75" style="2992"/>
    <col min="11481" max="11481" width="10.75" style="2992" customWidth="1"/>
    <col min="11482" max="11482" width="4.75" style="2992" customWidth="1"/>
    <col min="11483" max="11483" width="15.75" style="2992" customWidth="1"/>
    <col min="11484" max="11484" width="13.75" style="2992"/>
    <col min="11485" max="11485" width="10.125" style="2992" customWidth="1"/>
    <col min="11486" max="11492" width="11.375" style="2992" customWidth="1"/>
    <col min="11493" max="11494" width="11.875" style="2992" customWidth="1"/>
    <col min="11495" max="11495" width="15.375" style="2992" customWidth="1"/>
    <col min="11496" max="11496" width="11.875" style="2992" customWidth="1"/>
    <col min="11497" max="11503" width="11.375" style="2992" customWidth="1"/>
    <col min="11504" max="11507" width="12.125" style="2992" customWidth="1"/>
    <col min="11508" max="11508" width="11.375" style="2992" customWidth="1"/>
    <col min="11509" max="11511" width="13.5" style="2992" customWidth="1"/>
    <col min="11512" max="11736" width="13.75" style="2992"/>
    <col min="11737" max="11737" width="10.75" style="2992" customWidth="1"/>
    <col min="11738" max="11738" width="4.75" style="2992" customWidth="1"/>
    <col min="11739" max="11739" width="15.75" style="2992" customWidth="1"/>
    <col min="11740" max="11740" width="13.75" style="2992"/>
    <col min="11741" max="11741" width="10.125" style="2992" customWidth="1"/>
    <col min="11742" max="11748" width="11.375" style="2992" customWidth="1"/>
    <col min="11749" max="11750" width="11.875" style="2992" customWidth="1"/>
    <col min="11751" max="11751" width="15.375" style="2992" customWidth="1"/>
    <col min="11752" max="11752" width="11.875" style="2992" customWidth="1"/>
    <col min="11753" max="11759" width="11.375" style="2992" customWidth="1"/>
    <col min="11760" max="11763" width="12.125" style="2992" customWidth="1"/>
    <col min="11764" max="11764" width="11.375" style="2992" customWidth="1"/>
    <col min="11765" max="11767" width="13.5" style="2992" customWidth="1"/>
    <col min="11768" max="11992" width="13.75" style="2992"/>
    <col min="11993" max="11993" width="10.75" style="2992" customWidth="1"/>
    <col min="11994" max="11994" width="4.75" style="2992" customWidth="1"/>
    <col min="11995" max="11995" width="15.75" style="2992" customWidth="1"/>
    <col min="11996" max="11996" width="13.75" style="2992"/>
    <col min="11997" max="11997" width="10.125" style="2992" customWidth="1"/>
    <col min="11998" max="12004" width="11.375" style="2992" customWidth="1"/>
    <col min="12005" max="12006" width="11.875" style="2992" customWidth="1"/>
    <col min="12007" max="12007" width="15.375" style="2992" customWidth="1"/>
    <col min="12008" max="12008" width="11.875" style="2992" customWidth="1"/>
    <col min="12009" max="12015" width="11.375" style="2992" customWidth="1"/>
    <col min="12016" max="12019" width="12.125" style="2992" customWidth="1"/>
    <col min="12020" max="12020" width="11.375" style="2992" customWidth="1"/>
    <col min="12021" max="12023" width="13.5" style="2992" customWidth="1"/>
    <col min="12024" max="12248" width="13.75" style="2992"/>
    <col min="12249" max="12249" width="10.75" style="2992" customWidth="1"/>
    <col min="12250" max="12250" width="4.75" style="2992" customWidth="1"/>
    <col min="12251" max="12251" width="15.75" style="2992" customWidth="1"/>
    <col min="12252" max="12252" width="13.75" style="2992"/>
    <col min="12253" max="12253" width="10.125" style="2992" customWidth="1"/>
    <col min="12254" max="12260" width="11.375" style="2992" customWidth="1"/>
    <col min="12261" max="12262" width="11.875" style="2992" customWidth="1"/>
    <col min="12263" max="12263" width="15.375" style="2992" customWidth="1"/>
    <col min="12264" max="12264" width="11.875" style="2992" customWidth="1"/>
    <col min="12265" max="12271" width="11.375" style="2992" customWidth="1"/>
    <col min="12272" max="12275" width="12.125" style="2992" customWidth="1"/>
    <col min="12276" max="12276" width="11.375" style="2992" customWidth="1"/>
    <col min="12277" max="12279" width="13.5" style="2992" customWidth="1"/>
    <col min="12280" max="12504" width="13.75" style="2992"/>
    <col min="12505" max="12505" width="10.75" style="2992" customWidth="1"/>
    <col min="12506" max="12506" width="4.75" style="2992" customWidth="1"/>
    <col min="12507" max="12507" width="15.75" style="2992" customWidth="1"/>
    <col min="12508" max="12508" width="13.75" style="2992"/>
    <col min="12509" max="12509" width="10.125" style="2992" customWidth="1"/>
    <col min="12510" max="12516" width="11.375" style="2992" customWidth="1"/>
    <col min="12517" max="12518" width="11.875" style="2992" customWidth="1"/>
    <col min="12519" max="12519" width="15.375" style="2992" customWidth="1"/>
    <col min="12520" max="12520" width="11.875" style="2992" customWidth="1"/>
    <col min="12521" max="12527" width="11.375" style="2992" customWidth="1"/>
    <col min="12528" max="12531" width="12.125" style="2992" customWidth="1"/>
    <col min="12532" max="12532" width="11.375" style="2992" customWidth="1"/>
    <col min="12533" max="12535" width="13.5" style="2992" customWidth="1"/>
    <col min="12536" max="12760" width="13.75" style="2992"/>
    <col min="12761" max="12761" width="10.75" style="2992" customWidth="1"/>
    <col min="12762" max="12762" width="4.75" style="2992" customWidth="1"/>
    <col min="12763" max="12763" width="15.75" style="2992" customWidth="1"/>
    <col min="12764" max="12764" width="13.75" style="2992"/>
    <col min="12765" max="12765" width="10.125" style="2992" customWidth="1"/>
    <col min="12766" max="12772" width="11.375" style="2992" customWidth="1"/>
    <col min="12773" max="12774" width="11.875" style="2992" customWidth="1"/>
    <col min="12775" max="12775" width="15.375" style="2992" customWidth="1"/>
    <col min="12776" max="12776" width="11.875" style="2992" customWidth="1"/>
    <col min="12777" max="12783" width="11.375" style="2992" customWidth="1"/>
    <col min="12784" max="12787" width="12.125" style="2992" customWidth="1"/>
    <col min="12788" max="12788" width="11.375" style="2992" customWidth="1"/>
    <col min="12789" max="12791" width="13.5" style="2992" customWidth="1"/>
    <col min="12792" max="13016" width="13.75" style="2992"/>
    <col min="13017" max="13017" width="10.75" style="2992" customWidth="1"/>
    <col min="13018" max="13018" width="4.75" style="2992" customWidth="1"/>
    <col min="13019" max="13019" width="15.75" style="2992" customWidth="1"/>
    <col min="13020" max="13020" width="13.75" style="2992"/>
    <col min="13021" max="13021" width="10.125" style="2992" customWidth="1"/>
    <col min="13022" max="13028" width="11.375" style="2992" customWidth="1"/>
    <col min="13029" max="13030" width="11.875" style="2992" customWidth="1"/>
    <col min="13031" max="13031" width="15.375" style="2992" customWidth="1"/>
    <col min="13032" max="13032" width="11.875" style="2992" customWidth="1"/>
    <col min="13033" max="13039" width="11.375" style="2992" customWidth="1"/>
    <col min="13040" max="13043" width="12.125" style="2992" customWidth="1"/>
    <col min="13044" max="13044" width="11.375" style="2992" customWidth="1"/>
    <col min="13045" max="13047" width="13.5" style="2992" customWidth="1"/>
    <col min="13048" max="13272" width="13.75" style="2992"/>
    <col min="13273" max="13273" width="10.75" style="2992" customWidth="1"/>
    <col min="13274" max="13274" width="4.75" style="2992" customWidth="1"/>
    <col min="13275" max="13275" width="15.75" style="2992" customWidth="1"/>
    <col min="13276" max="13276" width="13.75" style="2992"/>
    <col min="13277" max="13277" width="10.125" style="2992" customWidth="1"/>
    <col min="13278" max="13284" width="11.375" style="2992" customWidth="1"/>
    <col min="13285" max="13286" width="11.875" style="2992" customWidth="1"/>
    <col min="13287" max="13287" width="15.375" style="2992" customWidth="1"/>
    <col min="13288" max="13288" width="11.875" style="2992" customWidth="1"/>
    <col min="13289" max="13295" width="11.375" style="2992" customWidth="1"/>
    <col min="13296" max="13299" width="12.125" style="2992" customWidth="1"/>
    <col min="13300" max="13300" width="11.375" style="2992" customWidth="1"/>
    <col min="13301" max="13303" width="13.5" style="2992" customWidth="1"/>
    <col min="13304" max="13528" width="13.75" style="2992"/>
    <col min="13529" max="13529" width="10.75" style="2992" customWidth="1"/>
    <col min="13530" max="13530" width="4.75" style="2992" customWidth="1"/>
    <col min="13531" max="13531" width="15.75" style="2992" customWidth="1"/>
    <col min="13532" max="13532" width="13.75" style="2992"/>
    <col min="13533" max="13533" width="10.125" style="2992" customWidth="1"/>
    <col min="13534" max="13540" width="11.375" style="2992" customWidth="1"/>
    <col min="13541" max="13542" width="11.875" style="2992" customWidth="1"/>
    <col min="13543" max="13543" width="15.375" style="2992" customWidth="1"/>
    <col min="13544" max="13544" width="11.875" style="2992" customWidth="1"/>
    <col min="13545" max="13551" width="11.375" style="2992" customWidth="1"/>
    <col min="13552" max="13555" width="12.125" style="2992" customWidth="1"/>
    <col min="13556" max="13556" width="11.375" style="2992" customWidth="1"/>
    <col min="13557" max="13559" width="13.5" style="2992" customWidth="1"/>
    <col min="13560" max="13784" width="13.75" style="2992"/>
    <col min="13785" max="13785" width="10.75" style="2992" customWidth="1"/>
    <col min="13786" max="13786" width="4.75" style="2992" customWidth="1"/>
    <col min="13787" max="13787" width="15.75" style="2992" customWidth="1"/>
    <col min="13788" max="13788" width="13.75" style="2992"/>
    <col min="13789" max="13789" width="10.125" style="2992" customWidth="1"/>
    <col min="13790" max="13796" width="11.375" style="2992" customWidth="1"/>
    <col min="13797" max="13798" width="11.875" style="2992" customWidth="1"/>
    <col min="13799" max="13799" width="15.375" style="2992" customWidth="1"/>
    <col min="13800" max="13800" width="11.875" style="2992" customWidth="1"/>
    <col min="13801" max="13807" width="11.375" style="2992" customWidth="1"/>
    <col min="13808" max="13811" width="12.125" style="2992" customWidth="1"/>
    <col min="13812" max="13812" width="11.375" style="2992" customWidth="1"/>
    <col min="13813" max="13815" width="13.5" style="2992" customWidth="1"/>
    <col min="13816" max="14040" width="13.75" style="2992"/>
    <col min="14041" max="14041" width="10.75" style="2992" customWidth="1"/>
    <col min="14042" max="14042" width="4.75" style="2992" customWidth="1"/>
    <col min="14043" max="14043" width="15.75" style="2992" customWidth="1"/>
    <col min="14044" max="14044" width="13.75" style="2992"/>
    <col min="14045" max="14045" width="10.125" style="2992" customWidth="1"/>
    <col min="14046" max="14052" width="11.375" style="2992" customWidth="1"/>
    <col min="14053" max="14054" width="11.875" style="2992" customWidth="1"/>
    <col min="14055" max="14055" width="15.375" style="2992" customWidth="1"/>
    <col min="14056" max="14056" width="11.875" style="2992" customWidth="1"/>
    <col min="14057" max="14063" width="11.375" style="2992" customWidth="1"/>
    <col min="14064" max="14067" width="12.125" style="2992" customWidth="1"/>
    <col min="14068" max="14068" width="11.375" style="2992" customWidth="1"/>
    <col min="14069" max="14071" width="13.5" style="2992" customWidth="1"/>
    <col min="14072" max="14296" width="13.75" style="2992"/>
    <col min="14297" max="14297" width="10.75" style="2992" customWidth="1"/>
    <col min="14298" max="14298" width="4.75" style="2992" customWidth="1"/>
    <col min="14299" max="14299" width="15.75" style="2992" customWidth="1"/>
    <col min="14300" max="14300" width="13.75" style="2992"/>
    <col min="14301" max="14301" width="10.125" style="2992" customWidth="1"/>
    <col min="14302" max="14308" width="11.375" style="2992" customWidth="1"/>
    <col min="14309" max="14310" width="11.875" style="2992" customWidth="1"/>
    <col min="14311" max="14311" width="15.375" style="2992" customWidth="1"/>
    <col min="14312" max="14312" width="11.875" style="2992" customWidth="1"/>
    <col min="14313" max="14319" width="11.375" style="2992" customWidth="1"/>
    <col min="14320" max="14323" width="12.125" style="2992" customWidth="1"/>
    <col min="14324" max="14324" width="11.375" style="2992" customWidth="1"/>
    <col min="14325" max="14327" width="13.5" style="2992" customWidth="1"/>
    <col min="14328" max="14552" width="13.75" style="2992"/>
    <col min="14553" max="14553" width="10.75" style="2992" customWidth="1"/>
    <col min="14554" max="14554" width="4.75" style="2992" customWidth="1"/>
    <col min="14555" max="14555" width="15.75" style="2992" customWidth="1"/>
    <col min="14556" max="14556" width="13.75" style="2992"/>
    <col min="14557" max="14557" width="10.125" style="2992" customWidth="1"/>
    <col min="14558" max="14564" width="11.375" style="2992" customWidth="1"/>
    <col min="14565" max="14566" width="11.875" style="2992" customWidth="1"/>
    <col min="14567" max="14567" width="15.375" style="2992" customWidth="1"/>
    <col min="14568" max="14568" width="11.875" style="2992" customWidth="1"/>
    <col min="14569" max="14575" width="11.375" style="2992" customWidth="1"/>
    <col min="14576" max="14579" width="12.125" style="2992" customWidth="1"/>
    <col min="14580" max="14580" width="11.375" style="2992" customWidth="1"/>
    <col min="14581" max="14583" width="13.5" style="2992" customWidth="1"/>
    <col min="14584" max="14808" width="13.75" style="2992"/>
    <col min="14809" max="14809" width="10.75" style="2992" customWidth="1"/>
    <col min="14810" max="14810" width="4.75" style="2992" customWidth="1"/>
    <col min="14811" max="14811" width="15.75" style="2992" customWidth="1"/>
    <col min="14812" max="14812" width="13.75" style="2992"/>
    <col min="14813" max="14813" width="10.125" style="2992" customWidth="1"/>
    <col min="14814" max="14820" width="11.375" style="2992" customWidth="1"/>
    <col min="14821" max="14822" width="11.875" style="2992" customWidth="1"/>
    <col min="14823" max="14823" width="15.375" style="2992" customWidth="1"/>
    <col min="14824" max="14824" width="11.875" style="2992" customWidth="1"/>
    <col min="14825" max="14831" width="11.375" style="2992" customWidth="1"/>
    <col min="14832" max="14835" width="12.125" style="2992" customWidth="1"/>
    <col min="14836" max="14836" width="11.375" style="2992" customWidth="1"/>
    <col min="14837" max="14839" width="13.5" style="2992" customWidth="1"/>
    <col min="14840" max="15064" width="13.75" style="2992"/>
    <col min="15065" max="15065" width="10.75" style="2992" customWidth="1"/>
    <col min="15066" max="15066" width="4.75" style="2992" customWidth="1"/>
    <col min="15067" max="15067" width="15.75" style="2992" customWidth="1"/>
    <col min="15068" max="15068" width="13.75" style="2992"/>
    <col min="15069" max="15069" width="10.125" style="2992" customWidth="1"/>
    <col min="15070" max="15076" width="11.375" style="2992" customWidth="1"/>
    <col min="15077" max="15078" width="11.875" style="2992" customWidth="1"/>
    <col min="15079" max="15079" width="15.375" style="2992" customWidth="1"/>
    <col min="15080" max="15080" width="11.875" style="2992" customWidth="1"/>
    <col min="15081" max="15087" width="11.375" style="2992" customWidth="1"/>
    <col min="15088" max="15091" width="12.125" style="2992" customWidth="1"/>
    <col min="15092" max="15092" width="11.375" style="2992" customWidth="1"/>
    <col min="15093" max="15095" width="13.5" style="2992" customWidth="1"/>
    <col min="15096" max="15320" width="13.75" style="2992"/>
    <col min="15321" max="15321" width="10.75" style="2992" customWidth="1"/>
    <col min="15322" max="15322" width="4.75" style="2992" customWidth="1"/>
    <col min="15323" max="15323" width="15.75" style="2992" customWidth="1"/>
    <col min="15324" max="15324" width="13.75" style="2992"/>
    <col min="15325" max="15325" width="10.125" style="2992" customWidth="1"/>
    <col min="15326" max="15332" width="11.375" style="2992" customWidth="1"/>
    <col min="15333" max="15334" width="11.875" style="2992" customWidth="1"/>
    <col min="15335" max="15335" width="15.375" style="2992" customWidth="1"/>
    <col min="15336" max="15336" width="11.875" style="2992" customWidth="1"/>
    <col min="15337" max="15343" width="11.375" style="2992" customWidth="1"/>
    <col min="15344" max="15347" width="12.125" style="2992" customWidth="1"/>
    <col min="15348" max="15348" width="11.375" style="2992" customWidth="1"/>
    <col min="15349" max="15351" width="13.5" style="2992" customWidth="1"/>
    <col min="15352" max="15576" width="13.75" style="2992"/>
    <col min="15577" max="15577" width="10.75" style="2992" customWidth="1"/>
    <col min="15578" max="15578" width="4.75" style="2992" customWidth="1"/>
    <col min="15579" max="15579" width="15.75" style="2992" customWidth="1"/>
    <col min="15580" max="15580" width="13.75" style="2992"/>
    <col min="15581" max="15581" width="10.125" style="2992" customWidth="1"/>
    <col min="15582" max="15588" width="11.375" style="2992" customWidth="1"/>
    <col min="15589" max="15590" width="11.875" style="2992" customWidth="1"/>
    <col min="15591" max="15591" width="15.375" style="2992" customWidth="1"/>
    <col min="15592" max="15592" width="11.875" style="2992" customWidth="1"/>
    <col min="15593" max="15599" width="11.375" style="2992" customWidth="1"/>
    <col min="15600" max="15603" width="12.125" style="2992" customWidth="1"/>
    <col min="15604" max="15604" width="11.375" style="2992" customWidth="1"/>
    <col min="15605" max="15607" width="13.5" style="2992" customWidth="1"/>
    <col min="15608" max="15832" width="13.75" style="2992"/>
    <col min="15833" max="15833" width="10.75" style="2992" customWidth="1"/>
    <col min="15834" max="15834" width="4.75" style="2992" customWidth="1"/>
    <col min="15835" max="15835" width="15.75" style="2992" customWidth="1"/>
    <col min="15836" max="15836" width="13.75" style="2992"/>
    <col min="15837" max="15837" width="10.125" style="2992" customWidth="1"/>
    <col min="15838" max="15844" width="11.375" style="2992" customWidth="1"/>
    <col min="15845" max="15846" width="11.875" style="2992" customWidth="1"/>
    <col min="15847" max="15847" width="15.375" style="2992" customWidth="1"/>
    <col min="15848" max="15848" width="11.875" style="2992" customWidth="1"/>
    <col min="15849" max="15855" width="11.375" style="2992" customWidth="1"/>
    <col min="15856" max="15859" width="12.125" style="2992" customWidth="1"/>
    <col min="15860" max="15860" width="11.375" style="2992" customWidth="1"/>
    <col min="15861" max="15863" width="13.5" style="2992" customWidth="1"/>
    <col min="15864" max="16088" width="13.75" style="2992"/>
    <col min="16089" max="16089" width="10.75" style="2992" customWidth="1"/>
    <col min="16090" max="16090" width="4.75" style="2992" customWidth="1"/>
    <col min="16091" max="16091" width="15.75" style="2992" customWidth="1"/>
    <col min="16092" max="16092" width="13.75" style="2992"/>
    <col min="16093" max="16093" width="10.125" style="2992" customWidth="1"/>
    <col min="16094" max="16100" width="11.375" style="2992" customWidth="1"/>
    <col min="16101" max="16102" width="11.875" style="2992" customWidth="1"/>
    <col min="16103" max="16103" width="15.375" style="2992" customWidth="1"/>
    <col min="16104" max="16104" width="11.875" style="2992" customWidth="1"/>
    <col min="16105" max="16111" width="11.375" style="2992" customWidth="1"/>
    <col min="16112" max="16115" width="12.125" style="2992" customWidth="1"/>
    <col min="16116" max="16116" width="11.375" style="2992" customWidth="1"/>
    <col min="16117" max="16119" width="13.5" style="2992" customWidth="1"/>
    <col min="16120" max="16384" width="13.75" style="2992"/>
  </cols>
  <sheetData>
    <row r="1" spans="1:7" s="2978" customFormat="1">
      <c r="A1" s="3355" t="s">
        <v>3294</v>
      </c>
      <c r="B1" s="3355" t="s">
        <v>3295</v>
      </c>
      <c r="C1" s="3355" t="s">
        <v>3296</v>
      </c>
      <c r="D1" s="2977" t="s">
        <v>3297</v>
      </c>
      <c r="E1" s="3355" t="s">
        <v>3298</v>
      </c>
      <c r="F1" s="3354" t="s">
        <v>3316</v>
      </c>
      <c r="G1" s="3341"/>
    </row>
    <row r="2" spans="1:7" s="2980" customFormat="1">
      <c r="A2" s="3355"/>
      <c r="B2" s="3355"/>
      <c r="C2" s="3355"/>
      <c r="D2" s="2979" t="s">
        <v>3299</v>
      </c>
      <c r="E2" s="3355"/>
      <c r="F2" s="3354"/>
      <c r="G2" s="3341"/>
    </row>
    <row r="3" spans="1:7" s="2984" customFormat="1" ht="12.75">
      <c r="A3" s="3356" t="s">
        <v>3300</v>
      </c>
      <c r="B3" s="3349" t="s">
        <v>3301</v>
      </c>
      <c r="C3" s="2981">
        <v>10126</v>
      </c>
      <c r="D3" s="2982">
        <v>27.93</v>
      </c>
      <c r="E3" s="2983" t="s">
        <v>3302</v>
      </c>
      <c r="F3" s="2984">
        <v>1</v>
      </c>
      <c r="G3" s="3342">
        <f>SUM(D3:D10)</f>
        <v>231.01000000000002</v>
      </c>
    </row>
    <row r="4" spans="1:7" s="2984" customFormat="1" ht="12.75">
      <c r="A4" s="3349"/>
      <c r="B4" s="3349"/>
      <c r="C4" s="2981">
        <v>10127</v>
      </c>
      <c r="D4" s="2982">
        <v>21.44</v>
      </c>
      <c r="E4" s="2983" t="s">
        <v>3302</v>
      </c>
      <c r="F4" s="2984">
        <v>1</v>
      </c>
      <c r="G4" s="3343"/>
    </row>
    <row r="5" spans="1:7" s="2984" customFormat="1" ht="12.75">
      <c r="A5" s="3349"/>
      <c r="B5" s="3349"/>
      <c r="C5" s="2981">
        <v>10130</v>
      </c>
      <c r="D5" s="2982">
        <v>21.44</v>
      </c>
      <c r="E5" s="2983" t="s">
        <v>3302</v>
      </c>
      <c r="F5" s="2984">
        <v>1</v>
      </c>
      <c r="G5" s="3343"/>
    </row>
    <row r="6" spans="1:7" s="2984" customFormat="1" ht="12.75">
      <c r="A6" s="3349"/>
      <c r="B6" s="3349"/>
      <c r="C6" s="2981">
        <v>10131</v>
      </c>
      <c r="D6" s="2982">
        <v>22.65</v>
      </c>
      <c r="E6" s="2983" t="s">
        <v>3302</v>
      </c>
      <c r="F6" s="2984">
        <v>1</v>
      </c>
      <c r="G6" s="3343"/>
    </row>
    <row r="7" spans="1:7" s="2984" customFormat="1">
      <c r="A7" s="3349"/>
      <c r="B7" s="3349" t="s">
        <v>3303</v>
      </c>
      <c r="C7" s="2983">
        <v>10105</v>
      </c>
      <c r="D7" s="2982">
        <v>30.28</v>
      </c>
      <c r="E7" s="2983" t="s">
        <v>3302</v>
      </c>
      <c r="F7" s="2984">
        <v>1</v>
      </c>
      <c r="G7" s="3343"/>
    </row>
    <row r="8" spans="1:7" s="2984" customFormat="1">
      <c r="A8" s="3349"/>
      <c r="B8" s="3349"/>
      <c r="C8" s="2983">
        <v>10103</v>
      </c>
      <c r="D8" s="2982">
        <v>59.59</v>
      </c>
      <c r="E8" s="2983" t="s">
        <v>3302</v>
      </c>
      <c r="F8" s="2984">
        <v>1</v>
      </c>
      <c r="G8" s="3343"/>
    </row>
    <row r="9" spans="1:7" s="2984" customFormat="1" ht="12.75">
      <c r="A9" s="3349"/>
      <c r="B9" s="3349"/>
      <c r="C9" s="2981">
        <v>10139</v>
      </c>
      <c r="D9" s="2982">
        <v>21.44</v>
      </c>
      <c r="E9" s="2983" t="s">
        <v>3302</v>
      </c>
      <c r="F9" s="2984">
        <v>1</v>
      </c>
      <c r="G9" s="3343"/>
    </row>
    <row r="10" spans="1:7" s="2984" customFormat="1" ht="12.75">
      <c r="A10" s="3349"/>
      <c r="B10" s="3349"/>
      <c r="C10" s="2981">
        <v>10141</v>
      </c>
      <c r="D10" s="2982">
        <v>26.24</v>
      </c>
      <c r="E10" s="2983" t="s">
        <v>3302</v>
      </c>
      <c r="F10" s="2984">
        <v>1</v>
      </c>
      <c r="G10" s="3343"/>
    </row>
    <row r="11" spans="1:7" s="2984" customFormat="1">
      <c r="A11" s="3349"/>
      <c r="B11" s="3349"/>
      <c r="C11" s="2983">
        <v>10202</v>
      </c>
      <c r="D11" s="2982">
        <v>39.15</v>
      </c>
      <c r="E11" s="2983" t="s">
        <v>3302</v>
      </c>
      <c r="F11" s="2984">
        <v>2</v>
      </c>
      <c r="G11" s="2993">
        <f>D11</f>
        <v>39.15</v>
      </c>
    </row>
    <row r="12" spans="1:7" s="2984" customFormat="1">
      <c r="A12" s="3349"/>
      <c r="B12" s="3349" t="s">
        <v>3304</v>
      </c>
      <c r="C12" s="2983">
        <v>10112</v>
      </c>
      <c r="D12" s="2982">
        <v>28.42</v>
      </c>
      <c r="E12" s="2983" t="s">
        <v>3302</v>
      </c>
      <c r="F12" s="2984">
        <v>1</v>
      </c>
      <c r="G12" s="3342">
        <f>SUM(D12:D18)</f>
        <v>198.22</v>
      </c>
    </row>
    <row r="13" spans="1:7" s="2984" customFormat="1" ht="12.75">
      <c r="A13" s="3349"/>
      <c r="B13" s="3349"/>
      <c r="C13" s="2981">
        <v>10129</v>
      </c>
      <c r="D13" s="2982">
        <v>22.49</v>
      </c>
      <c r="E13" s="2983" t="s">
        <v>3302</v>
      </c>
      <c r="F13" s="2984">
        <v>1</v>
      </c>
      <c r="G13" s="3343"/>
    </row>
    <row r="14" spans="1:7" s="2984" customFormat="1" ht="12.75">
      <c r="A14" s="3349"/>
      <c r="B14" s="3349"/>
      <c r="C14" s="2981">
        <v>10130</v>
      </c>
      <c r="D14" s="2982">
        <v>22.21</v>
      </c>
      <c r="E14" s="2983" t="s">
        <v>3302</v>
      </c>
      <c r="F14" s="2984">
        <v>1</v>
      </c>
      <c r="G14" s="3343"/>
    </row>
    <row r="15" spans="1:7" s="2984" customFormat="1" ht="12.75">
      <c r="A15" s="3349"/>
      <c r="B15" s="3349"/>
      <c r="C15" s="2981">
        <v>10131</v>
      </c>
      <c r="D15" s="2982">
        <v>28.06</v>
      </c>
      <c r="E15" s="2983" t="s">
        <v>3302</v>
      </c>
      <c r="F15" s="2984">
        <v>1</v>
      </c>
      <c r="G15" s="3343"/>
    </row>
    <row r="16" spans="1:7" s="2984" customFormat="1" ht="12.75">
      <c r="A16" s="3349"/>
      <c r="B16" s="3349"/>
      <c r="C16" s="2981">
        <v>10132</v>
      </c>
      <c r="D16" s="2982">
        <v>22.66</v>
      </c>
      <c r="E16" s="2983" t="s">
        <v>3302</v>
      </c>
      <c r="F16" s="2984">
        <v>1</v>
      </c>
      <c r="G16" s="3343"/>
    </row>
    <row r="17" spans="1:7" s="2984" customFormat="1" ht="12.75">
      <c r="A17" s="3349"/>
      <c r="B17" s="3349"/>
      <c r="C17" s="2981">
        <v>10134</v>
      </c>
      <c r="D17" s="2982">
        <v>55.87</v>
      </c>
      <c r="E17" s="2983" t="s">
        <v>3302</v>
      </c>
      <c r="F17" s="2984">
        <v>1</v>
      </c>
      <c r="G17" s="3343"/>
    </row>
    <row r="18" spans="1:7" s="2984" customFormat="1" ht="12.75">
      <c r="A18" s="3349"/>
      <c r="B18" s="3349"/>
      <c r="C18" s="2981">
        <v>10135</v>
      </c>
      <c r="D18" s="2982">
        <v>18.510000000000002</v>
      </c>
      <c r="E18" s="2983" t="s">
        <v>3302</v>
      </c>
      <c r="F18" s="2984">
        <v>1</v>
      </c>
      <c r="G18" s="3343"/>
    </row>
    <row r="19" spans="1:7" s="2984" customFormat="1" ht="12.75">
      <c r="A19" s="3349"/>
      <c r="B19" s="3349"/>
      <c r="C19" s="2981">
        <v>10222</v>
      </c>
      <c r="D19" s="2982">
        <v>69.95</v>
      </c>
      <c r="E19" s="2983" t="s">
        <v>3302</v>
      </c>
      <c r="F19" s="2984">
        <v>2</v>
      </c>
      <c r="G19" s="3342">
        <f>SUM(D19:D29)</f>
        <v>954.74</v>
      </c>
    </row>
    <row r="20" spans="1:7" s="2984" customFormat="1" ht="12.75">
      <c r="A20" s="3349"/>
      <c r="B20" s="3349"/>
      <c r="C20" s="2981">
        <v>10221</v>
      </c>
      <c r="D20" s="2982">
        <v>79.63</v>
      </c>
      <c r="E20" s="2983" t="s">
        <v>3302</v>
      </c>
      <c r="F20" s="2984">
        <v>2</v>
      </c>
      <c r="G20" s="3343"/>
    </row>
    <row r="21" spans="1:7" s="2984" customFormat="1" ht="12.75">
      <c r="A21" s="3349"/>
      <c r="B21" s="3349"/>
      <c r="C21" s="2981">
        <v>10220</v>
      </c>
      <c r="D21" s="2982">
        <v>113.16</v>
      </c>
      <c r="E21" s="2983" t="s">
        <v>3302</v>
      </c>
      <c r="F21" s="2984">
        <v>2</v>
      </c>
      <c r="G21" s="3343"/>
    </row>
    <row r="22" spans="1:7" s="2984" customFormat="1" ht="12.75">
      <c r="A22" s="3349"/>
      <c r="B22" s="3349"/>
      <c r="C22" s="2981">
        <v>10219</v>
      </c>
      <c r="D22" s="2982">
        <v>74.400000000000006</v>
      </c>
      <c r="E22" s="2983" t="s">
        <v>3302</v>
      </c>
      <c r="F22" s="2984">
        <v>2</v>
      </c>
      <c r="G22" s="3343"/>
    </row>
    <row r="23" spans="1:7" s="2984" customFormat="1" ht="12.75">
      <c r="A23" s="3349"/>
      <c r="B23" s="3349"/>
      <c r="C23" s="2981">
        <v>10218</v>
      </c>
      <c r="D23" s="2982">
        <v>74.400000000000006</v>
      </c>
      <c r="E23" s="2983" t="s">
        <v>3302</v>
      </c>
      <c r="F23" s="2984">
        <v>2</v>
      </c>
      <c r="G23" s="3343"/>
    </row>
    <row r="24" spans="1:7" s="2984" customFormat="1" ht="12.75">
      <c r="A24" s="3349"/>
      <c r="B24" s="3349"/>
      <c r="C24" s="2981">
        <v>10216</v>
      </c>
      <c r="D24" s="2982">
        <v>52.38</v>
      </c>
      <c r="E24" s="2983" t="s">
        <v>3302</v>
      </c>
      <c r="F24" s="2984">
        <v>2</v>
      </c>
      <c r="G24" s="3343"/>
    </row>
    <row r="25" spans="1:7" s="2984" customFormat="1" ht="12.75">
      <c r="A25" s="3349"/>
      <c r="B25" s="3349"/>
      <c r="C25" s="2981">
        <v>10215</v>
      </c>
      <c r="D25" s="2982">
        <v>113.16</v>
      </c>
      <c r="E25" s="2983" t="s">
        <v>3302</v>
      </c>
      <c r="F25" s="2984">
        <v>2</v>
      </c>
      <c r="G25" s="3343"/>
    </row>
    <row r="26" spans="1:7" s="2984" customFormat="1" ht="12.75">
      <c r="A26" s="3349"/>
      <c r="B26" s="3349"/>
      <c r="C26" s="2981">
        <v>10214</v>
      </c>
      <c r="D26" s="2982">
        <v>105.1</v>
      </c>
      <c r="E26" s="2983" t="s">
        <v>3302</v>
      </c>
      <c r="F26" s="2984">
        <v>2</v>
      </c>
      <c r="G26" s="3343"/>
    </row>
    <row r="27" spans="1:7" s="2984" customFormat="1" ht="12.75">
      <c r="A27" s="3349"/>
      <c r="B27" s="3349"/>
      <c r="C27" s="2981">
        <v>10213</v>
      </c>
      <c r="D27" s="2982">
        <v>81.25</v>
      </c>
      <c r="E27" s="2983" t="s">
        <v>3302</v>
      </c>
      <c r="F27" s="2984">
        <v>2</v>
      </c>
      <c r="G27" s="3343"/>
    </row>
    <row r="28" spans="1:7" s="2984" customFormat="1" ht="12.75">
      <c r="A28" s="3349"/>
      <c r="B28" s="3349"/>
      <c r="C28" s="2981">
        <v>10212</v>
      </c>
      <c r="D28" s="2982">
        <v>76.47</v>
      </c>
      <c r="E28" s="2983" t="s">
        <v>3302</v>
      </c>
      <c r="F28" s="2984">
        <v>2</v>
      </c>
      <c r="G28" s="3343"/>
    </row>
    <row r="29" spans="1:7" s="2984" customFormat="1" ht="12.75">
      <c r="A29" s="3349"/>
      <c r="B29" s="3349"/>
      <c r="C29" s="2981">
        <v>10211</v>
      </c>
      <c r="D29" s="2982">
        <v>114.84</v>
      </c>
      <c r="E29" s="2983" t="s">
        <v>3302</v>
      </c>
      <c r="F29" s="2984">
        <v>2</v>
      </c>
      <c r="G29" s="3343"/>
    </row>
    <row r="30" spans="1:7" s="2984" customFormat="1" ht="12.75">
      <c r="A30" s="3349"/>
      <c r="B30" s="3357" t="s">
        <v>3305</v>
      </c>
      <c r="C30" s="2981">
        <v>10105</v>
      </c>
      <c r="D30" s="2982">
        <v>48.56</v>
      </c>
      <c r="E30" s="2983" t="s">
        <v>3302</v>
      </c>
      <c r="F30" s="2984">
        <v>1</v>
      </c>
      <c r="G30" s="3342">
        <f>SUM(D30:D36)</f>
        <v>289.49</v>
      </c>
    </row>
    <row r="31" spans="1:7" s="2984" customFormat="1" ht="12.75">
      <c r="A31" s="3349"/>
      <c r="B31" s="3357"/>
      <c r="C31" s="2981">
        <v>10104</v>
      </c>
      <c r="D31" s="2982">
        <v>48.56</v>
      </c>
      <c r="E31" s="2983" t="s">
        <v>3302</v>
      </c>
      <c r="F31" s="2984">
        <v>1</v>
      </c>
      <c r="G31" s="3343"/>
    </row>
    <row r="32" spans="1:7" s="2984" customFormat="1" ht="12.75">
      <c r="A32" s="3349"/>
      <c r="B32" s="3357"/>
      <c r="C32" s="2981">
        <v>10102</v>
      </c>
      <c r="D32" s="2982">
        <v>65.12</v>
      </c>
      <c r="E32" s="2983" t="s">
        <v>3302</v>
      </c>
      <c r="F32" s="2984">
        <v>1</v>
      </c>
      <c r="G32" s="3343"/>
    </row>
    <row r="33" spans="1:7" s="2984" customFormat="1" ht="12.75">
      <c r="A33" s="3349"/>
      <c r="B33" s="3357"/>
      <c r="C33" s="2981">
        <v>10137</v>
      </c>
      <c r="D33" s="2982">
        <v>26.04</v>
      </c>
      <c r="E33" s="2983" t="s">
        <v>3302</v>
      </c>
      <c r="F33" s="2984">
        <v>1</v>
      </c>
      <c r="G33" s="3343"/>
    </row>
    <row r="34" spans="1:7" s="2984" customFormat="1" ht="12.75">
      <c r="A34" s="3349"/>
      <c r="B34" s="3357"/>
      <c r="C34" s="2981">
        <v>10138</v>
      </c>
      <c r="D34" s="2982">
        <v>20.260000000000002</v>
      </c>
      <c r="E34" s="2983" t="s">
        <v>3302</v>
      </c>
      <c r="F34" s="2984">
        <v>1</v>
      </c>
      <c r="G34" s="3343"/>
    </row>
    <row r="35" spans="1:7" s="2984" customFormat="1" ht="12.75">
      <c r="A35" s="3349"/>
      <c r="B35" s="3357"/>
      <c r="C35" s="2981">
        <v>10139</v>
      </c>
      <c r="D35" s="2982">
        <v>22.7</v>
      </c>
      <c r="E35" s="2983" t="s">
        <v>3302</v>
      </c>
      <c r="F35" s="2984">
        <v>1</v>
      </c>
      <c r="G35" s="3343"/>
    </row>
    <row r="36" spans="1:7" s="2984" customFormat="1" ht="12.75">
      <c r="A36" s="3349"/>
      <c r="B36" s="3357"/>
      <c r="C36" s="2981">
        <v>10140</v>
      </c>
      <c r="D36" s="2982">
        <v>58.25</v>
      </c>
      <c r="E36" s="2983" t="s">
        <v>3302</v>
      </c>
      <c r="F36" s="2984">
        <v>1</v>
      </c>
      <c r="G36" s="3343"/>
    </row>
    <row r="37" spans="1:7" s="2984" customFormat="1" ht="12.75">
      <c r="A37" s="3349"/>
      <c r="B37" s="3357"/>
      <c r="C37" s="2981">
        <v>10209</v>
      </c>
      <c r="D37" s="2982">
        <v>67.44</v>
      </c>
      <c r="E37" s="2983" t="s">
        <v>3302</v>
      </c>
      <c r="F37" s="2984">
        <v>2</v>
      </c>
      <c r="G37" s="3342">
        <f>D37:D40</f>
        <v>67.44</v>
      </c>
    </row>
    <row r="38" spans="1:7" s="2984" customFormat="1" ht="12.75">
      <c r="A38" s="3349"/>
      <c r="B38" s="3357"/>
      <c r="C38" s="2981">
        <v>10206</v>
      </c>
      <c r="D38" s="2982">
        <v>117.45</v>
      </c>
      <c r="E38" s="2983" t="s">
        <v>3302</v>
      </c>
      <c r="F38" s="2984">
        <v>2</v>
      </c>
      <c r="G38" s="3343"/>
    </row>
    <row r="39" spans="1:7" s="2984" customFormat="1" ht="12.75">
      <c r="A39" s="3349"/>
      <c r="B39" s="3357"/>
      <c r="C39" s="2981">
        <v>10205</v>
      </c>
      <c r="D39" s="2982">
        <v>111.51</v>
      </c>
      <c r="E39" s="2983" t="s">
        <v>3302</v>
      </c>
      <c r="F39" s="2984">
        <v>2</v>
      </c>
      <c r="G39" s="3343"/>
    </row>
    <row r="40" spans="1:7" s="2984" customFormat="1" ht="12.75">
      <c r="A40" s="3349"/>
      <c r="B40" s="3357"/>
      <c r="C40" s="2981">
        <v>10203</v>
      </c>
      <c r="D40" s="2982">
        <v>52.38</v>
      </c>
      <c r="E40" s="2983" t="s">
        <v>3302</v>
      </c>
      <c r="F40" s="2984">
        <v>2</v>
      </c>
      <c r="G40" s="3343"/>
    </row>
    <row r="41" spans="1:7" s="2984" customFormat="1">
      <c r="A41" s="3344" t="s">
        <v>3306</v>
      </c>
      <c r="B41" s="3347" t="s">
        <v>3307</v>
      </c>
      <c r="C41" s="2983">
        <v>20301</v>
      </c>
      <c r="D41" s="2982">
        <v>50.61</v>
      </c>
      <c r="E41" s="2983" t="s">
        <v>3308</v>
      </c>
      <c r="F41" s="2984">
        <v>3</v>
      </c>
    </row>
    <row r="42" spans="1:7" s="2984" customFormat="1">
      <c r="A42" s="3345"/>
      <c r="B42" s="3348"/>
      <c r="C42" s="2983">
        <v>20305</v>
      </c>
      <c r="D42" s="2982">
        <v>52.42</v>
      </c>
      <c r="E42" s="2983" t="s">
        <v>3308</v>
      </c>
      <c r="F42" s="2984">
        <v>3</v>
      </c>
    </row>
    <row r="43" spans="1:7" s="2984" customFormat="1">
      <c r="A43" s="3345"/>
      <c r="B43" s="3348"/>
      <c r="C43" s="2983">
        <v>20306</v>
      </c>
      <c r="D43" s="2982">
        <v>52.42</v>
      </c>
      <c r="E43" s="2983" t="s">
        <v>3308</v>
      </c>
      <c r="F43" s="2984">
        <v>3</v>
      </c>
    </row>
    <row r="44" spans="1:7" s="2984" customFormat="1">
      <c r="A44" s="3345"/>
      <c r="B44" s="3348"/>
      <c r="C44" s="2983">
        <v>20307</v>
      </c>
      <c r="D44" s="2982">
        <v>52.42</v>
      </c>
      <c r="E44" s="2983" t="s">
        <v>3308</v>
      </c>
      <c r="F44" s="2984">
        <v>3</v>
      </c>
    </row>
    <row r="45" spans="1:7" s="2984" customFormat="1">
      <c r="A45" s="3345"/>
      <c r="B45" s="3348"/>
      <c r="C45" s="2983">
        <v>20308</v>
      </c>
      <c r="D45" s="2982">
        <v>52.42</v>
      </c>
      <c r="E45" s="2983" t="s">
        <v>3308</v>
      </c>
      <c r="F45" s="2984">
        <v>3</v>
      </c>
    </row>
    <row r="46" spans="1:7" s="2984" customFormat="1">
      <c r="A46" s="3345"/>
      <c r="B46" s="3348"/>
      <c r="C46" s="2983">
        <v>20309</v>
      </c>
      <c r="D46" s="2982">
        <v>52.42</v>
      </c>
      <c r="E46" s="2983" t="s">
        <v>3308</v>
      </c>
      <c r="F46" s="2984">
        <v>3</v>
      </c>
    </row>
    <row r="47" spans="1:7" s="2984" customFormat="1">
      <c r="A47" s="3345"/>
      <c r="B47" s="3348"/>
      <c r="C47" s="2983">
        <v>20310</v>
      </c>
      <c r="D47" s="2982">
        <v>52.42</v>
      </c>
      <c r="E47" s="2983" t="s">
        <v>3308</v>
      </c>
      <c r="F47" s="2984">
        <v>3</v>
      </c>
    </row>
    <row r="48" spans="1:7" s="2984" customFormat="1">
      <c r="A48" s="3345"/>
      <c r="B48" s="3348"/>
      <c r="C48" s="2983">
        <v>20311</v>
      </c>
      <c r="D48" s="2982">
        <v>52.42</v>
      </c>
      <c r="E48" s="2983" t="s">
        <v>3308</v>
      </c>
      <c r="F48" s="2984">
        <v>3</v>
      </c>
    </row>
    <row r="49" spans="1:8" s="2984" customFormat="1">
      <c r="A49" s="3345"/>
      <c r="B49" s="3348"/>
      <c r="C49" s="2983">
        <v>20312</v>
      </c>
      <c r="D49" s="2982">
        <v>50.61</v>
      </c>
      <c r="E49" s="2983" t="s">
        <v>3308</v>
      </c>
      <c r="F49" s="2984">
        <v>3</v>
      </c>
    </row>
    <row r="50" spans="1:8" s="2984" customFormat="1">
      <c r="A50" s="3345"/>
      <c r="B50" s="3348"/>
      <c r="C50" s="2983">
        <v>20313</v>
      </c>
      <c r="D50" s="2982">
        <v>60.47</v>
      </c>
      <c r="E50" s="2983" t="s">
        <v>3308</v>
      </c>
      <c r="F50" s="2984">
        <v>3</v>
      </c>
    </row>
    <row r="51" spans="1:8" s="2984" customFormat="1">
      <c r="A51" s="3345"/>
      <c r="B51" s="3348"/>
      <c r="C51" s="2983">
        <v>20320</v>
      </c>
      <c r="D51" s="2982">
        <v>52.38</v>
      </c>
      <c r="E51" s="2983" t="s">
        <v>3308</v>
      </c>
      <c r="F51" s="2984">
        <v>3</v>
      </c>
    </row>
    <row r="52" spans="1:8" s="2984" customFormat="1">
      <c r="A52" s="3345"/>
      <c r="B52" s="3348"/>
      <c r="C52" s="2983">
        <v>20321</v>
      </c>
      <c r="D52" s="2982">
        <v>50.57</v>
      </c>
      <c r="E52" s="2983" t="s">
        <v>3308</v>
      </c>
      <c r="F52" s="2984">
        <v>3</v>
      </c>
    </row>
    <row r="53" spans="1:8" s="2984" customFormat="1">
      <c r="A53" s="3345"/>
      <c r="B53" s="3349" t="s">
        <v>3309</v>
      </c>
      <c r="C53" s="2983" t="s">
        <v>3310</v>
      </c>
      <c r="D53" s="2982">
        <v>1099.5999999999999</v>
      </c>
      <c r="E53" s="2983" t="s">
        <v>3302</v>
      </c>
      <c r="F53" s="3350" t="s">
        <v>3311</v>
      </c>
    </row>
    <row r="54" spans="1:8" s="2984" customFormat="1">
      <c r="A54" s="3345"/>
      <c r="B54" s="3349"/>
      <c r="C54" s="2983" t="s">
        <v>3312</v>
      </c>
      <c r="D54" s="2982">
        <v>1099.51</v>
      </c>
      <c r="E54" s="2983" t="s">
        <v>3302</v>
      </c>
      <c r="F54" s="3350"/>
    </row>
    <row r="55" spans="1:8" s="2984" customFormat="1">
      <c r="A55" s="3345"/>
      <c r="B55" s="3349"/>
      <c r="C55" s="2983" t="s">
        <v>3313</v>
      </c>
      <c r="D55" s="2982">
        <v>1099.51</v>
      </c>
      <c r="E55" s="2983" t="s">
        <v>3302</v>
      </c>
      <c r="F55" s="3350"/>
    </row>
    <row r="56" spans="1:8" s="2984" customFormat="1">
      <c r="A56" s="3346"/>
      <c r="B56" s="3349"/>
      <c r="C56" s="2983" t="s">
        <v>3314</v>
      </c>
      <c r="D56" s="2982">
        <v>1099.51</v>
      </c>
      <c r="E56" s="2983" t="s">
        <v>3302</v>
      </c>
      <c r="F56" s="3350"/>
    </row>
    <row r="57" spans="1:8" s="2984" customFormat="1">
      <c r="A57" s="3351" t="s">
        <v>3315</v>
      </c>
      <c r="B57" s="3352"/>
      <c r="C57" s="3353"/>
      <c r="D57" s="2985">
        <f>SUM(D3:D56)</f>
        <v>7091.1000000000013</v>
      </c>
      <c r="E57" s="2983"/>
    </row>
    <row r="58" spans="1:8" s="2984" customFormat="1">
      <c r="A58" s="2986"/>
      <c r="B58" s="2986"/>
      <c r="C58" s="2987"/>
      <c r="D58" s="2988"/>
      <c r="E58" s="2987"/>
      <c r="G58" s="2984" t="s">
        <v>3317</v>
      </c>
      <c r="H58" s="2993">
        <f>G3+G12+G30</f>
        <v>718.72</v>
      </c>
    </row>
    <row r="59" spans="1:8" s="2984" customFormat="1">
      <c r="A59" s="2986"/>
      <c r="B59" s="2986"/>
      <c r="C59" s="2987"/>
      <c r="D59" s="2988"/>
      <c r="E59" s="2987"/>
      <c r="G59" s="2984" t="s">
        <v>3318</v>
      </c>
      <c r="H59" s="2993">
        <f>G11+G19+G37</f>
        <v>1061.33</v>
      </c>
    </row>
    <row r="60" spans="1:8" s="2984" customFormat="1">
      <c r="A60" s="2986"/>
      <c r="B60" s="2986"/>
      <c r="C60" s="2987"/>
      <c r="D60" s="2988"/>
      <c r="E60" s="2987"/>
    </row>
    <row r="61" spans="1:8" s="2984" customFormat="1">
      <c r="A61" s="2986"/>
      <c r="B61" s="2986"/>
      <c r="C61" s="2987"/>
      <c r="D61" s="2988"/>
      <c r="E61" s="2987"/>
    </row>
    <row r="62" spans="1:8" s="2984" customFormat="1">
      <c r="A62" s="2986"/>
      <c r="B62" s="2986"/>
      <c r="C62" s="2987"/>
      <c r="D62" s="2988"/>
      <c r="E62" s="2987"/>
    </row>
    <row r="63" spans="1:8" s="2984" customFormat="1">
      <c r="A63" s="2986"/>
      <c r="B63" s="2986"/>
      <c r="C63" s="2987"/>
      <c r="D63" s="2988"/>
      <c r="E63" s="2987"/>
    </row>
    <row r="64" spans="1:8" s="2984" customFormat="1">
      <c r="A64" s="2986"/>
      <c r="B64" s="2986"/>
      <c r="C64" s="2987"/>
      <c r="D64" s="2988"/>
      <c r="E64" s="2987"/>
    </row>
    <row r="65" spans="1:5" s="2984" customFormat="1">
      <c r="A65" s="2986"/>
      <c r="B65" s="2986"/>
      <c r="C65" s="2987"/>
      <c r="D65" s="2988"/>
      <c r="E65" s="2987"/>
    </row>
    <row r="66" spans="1:5" s="2984" customFormat="1">
      <c r="A66" s="2986"/>
      <c r="B66" s="2986"/>
      <c r="C66" s="2987"/>
      <c r="D66" s="2988"/>
      <c r="E66" s="2987"/>
    </row>
    <row r="67" spans="1:5" s="2984" customFormat="1">
      <c r="A67" s="2986"/>
      <c r="B67" s="2986"/>
      <c r="C67" s="2987"/>
      <c r="D67" s="2988"/>
      <c r="E67" s="2987"/>
    </row>
    <row r="68" spans="1:5" s="2984" customFormat="1">
      <c r="A68" s="2986"/>
      <c r="B68" s="2986"/>
      <c r="C68" s="2987"/>
      <c r="D68" s="2988"/>
      <c r="E68" s="2987"/>
    </row>
    <row r="69" spans="1:5" s="2984" customFormat="1">
      <c r="A69" s="2986"/>
      <c r="B69" s="2986"/>
      <c r="C69" s="2987"/>
      <c r="D69" s="2988"/>
      <c r="E69" s="2987"/>
    </row>
    <row r="70" spans="1:5" s="2984" customFormat="1">
      <c r="A70" s="2986"/>
      <c r="B70" s="2986"/>
      <c r="C70" s="2987"/>
      <c r="D70" s="2988"/>
      <c r="E70" s="2987"/>
    </row>
    <row r="71" spans="1:5" s="2984" customFormat="1">
      <c r="A71" s="2986"/>
      <c r="B71" s="2986"/>
      <c r="C71" s="2987"/>
      <c r="D71" s="2988"/>
      <c r="E71" s="2987"/>
    </row>
    <row r="72" spans="1:5" s="2984" customFormat="1">
      <c r="A72" s="2986"/>
      <c r="B72" s="2986"/>
      <c r="C72" s="2987"/>
      <c r="D72" s="2988"/>
      <c r="E72" s="2987"/>
    </row>
    <row r="73" spans="1:5" s="2984" customFormat="1">
      <c r="A73" s="2986"/>
      <c r="B73" s="2986"/>
      <c r="C73" s="2987"/>
      <c r="D73" s="2988"/>
      <c r="E73" s="2987"/>
    </row>
    <row r="74" spans="1:5" s="2984" customFormat="1">
      <c r="A74" s="2986"/>
      <c r="B74" s="2986"/>
      <c r="C74" s="2987"/>
      <c r="D74" s="2988"/>
      <c r="E74" s="2987"/>
    </row>
    <row r="75" spans="1:5" s="2984" customFormat="1">
      <c r="A75" s="2986"/>
      <c r="B75" s="2986"/>
      <c r="C75" s="2987"/>
      <c r="D75" s="2988"/>
      <c r="E75" s="2987"/>
    </row>
    <row r="76" spans="1:5" s="2984" customFormat="1">
      <c r="A76" s="2986"/>
      <c r="B76" s="2986"/>
      <c r="C76" s="2987"/>
      <c r="D76" s="2988"/>
      <c r="E76" s="2987"/>
    </row>
    <row r="77" spans="1:5" s="2984" customFormat="1">
      <c r="A77" s="2986"/>
      <c r="B77" s="2986"/>
      <c r="C77" s="2987"/>
      <c r="D77" s="2988"/>
      <c r="E77" s="2987"/>
    </row>
    <row r="78" spans="1:5" s="2984" customFormat="1">
      <c r="A78" s="2986"/>
      <c r="B78" s="2986"/>
      <c r="C78" s="2987"/>
      <c r="D78" s="2988"/>
      <c r="E78" s="2987"/>
    </row>
    <row r="79" spans="1:5" s="2984" customFormat="1">
      <c r="A79" s="2986"/>
      <c r="B79" s="2986"/>
      <c r="C79" s="2987"/>
      <c r="D79" s="2988"/>
      <c r="E79" s="2987"/>
    </row>
    <row r="80" spans="1:5" s="2984" customFormat="1">
      <c r="A80" s="2986"/>
      <c r="B80" s="2986"/>
      <c r="C80" s="2987"/>
      <c r="D80" s="2988"/>
      <c r="E80" s="2987"/>
    </row>
    <row r="81" spans="1:5" s="2984" customFormat="1">
      <c r="A81" s="2986"/>
      <c r="B81" s="2986"/>
      <c r="C81" s="2987"/>
      <c r="D81" s="2988"/>
      <c r="E81" s="2987"/>
    </row>
    <row r="82" spans="1:5" s="2984" customFormat="1">
      <c r="A82" s="2986"/>
      <c r="B82" s="2986"/>
      <c r="C82" s="2987"/>
      <c r="D82" s="2988"/>
      <c r="E82" s="2987"/>
    </row>
    <row r="83" spans="1:5" s="2984" customFormat="1">
      <c r="A83" s="2986"/>
      <c r="B83" s="2986"/>
      <c r="C83" s="2987"/>
      <c r="D83" s="2988"/>
      <c r="E83" s="2987"/>
    </row>
    <row r="84" spans="1:5" s="2984" customFormat="1">
      <c r="A84" s="2986"/>
      <c r="B84" s="2986"/>
      <c r="C84" s="2987"/>
      <c r="D84" s="2988"/>
      <c r="E84" s="2987"/>
    </row>
    <row r="85" spans="1:5" s="2984" customFormat="1">
      <c r="A85" s="2986"/>
      <c r="B85" s="2986"/>
      <c r="C85" s="2987"/>
      <c r="D85" s="2988"/>
      <c r="E85" s="2987"/>
    </row>
    <row r="86" spans="1:5" s="2984" customFormat="1">
      <c r="A86" s="2986"/>
      <c r="B86" s="2986"/>
      <c r="C86" s="2987"/>
      <c r="D86" s="2988"/>
      <c r="E86" s="2987"/>
    </row>
    <row r="87" spans="1:5" s="2984" customFormat="1">
      <c r="A87" s="2986"/>
      <c r="B87" s="2986"/>
      <c r="C87" s="2987"/>
      <c r="D87" s="2988"/>
      <c r="E87" s="2987"/>
    </row>
    <row r="88" spans="1:5" s="2984" customFormat="1">
      <c r="A88" s="2986"/>
      <c r="B88" s="2986"/>
      <c r="C88" s="2987"/>
      <c r="D88" s="2988"/>
      <c r="E88" s="2987"/>
    </row>
    <row r="89" spans="1:5" s="2984" customFormat="1">
      <c r="A89" s="2986"/>
      <c r="B89" s="2986"/>
      <c r="C89" s="2987"/>
      <c r="D89" s="2988"/>
      <c r="E89" s="2987"/>
    </row>
    <row r="90" spans="1:5" s="2984" customFormat="1">
      <c r="A90" s="2986"/>
      <c r="B90" s="2986"/>
      <c r="C90" s="2987"/>
      <c r="D90" s="2988"/>
      <c r="E90" s="2987"/>
    </row>
    <row r="91" spans="1:5" s="2984" customFormat="1">
      <c r="A91" s="2986"/>
      <c r="B91" s="2986"/>
      <c r="C91" s="2987"/>
      <c r="D91" s="2988"/>
      <c r="E91" s="2987"/>
    </row>
    <row r="97" spans="1:5">
      <c r="A97" s="2992"/>
      <c r="B97" s="2992"/>
      <c r="C97" s="2992"/>
      <c r="D97" s="2992"/>
      <c r="E97" s="2992"/>
    </row>
    <row r="98" spans="1:5">
      <c r="A98" s="2992"/>
      <c r="B98" s="2992"/>
      <c r="C98" s="2992"/>
      <c r="D98" s="2992"/>
      <c r="E98" s="2992"/>
    </row>
    <row r="99" spans="1:5">
      <c r="A99" s="2992"/>
      <c r="B99" s="2992"/>
      <c r="C99" s="2992"/>
      <c r="D99" s="2992"/>
      <c r="E99" s="2992"/>
    </row>
    <row r="100" spans="1:5">
      <c r="A100" s="2992"/>
      <c r="B100" s="2992"/>
      <c r="C100" s="2992"/>
      <c r="D100" s="2992"/>
      <c r="E100" s="2992"/>
    </row>
    <row r="101" spans="1:5">
      <c r="A101" s="2992"/>
      <c r="B101" s="2992"/>
      <c r="C101" s="2992"/>
      <c r="D101" s="2992"/>
      <c r="E101" s="2992"/>
    </row>
    <row r="102" spans="1:5">
      <c r="A102" s="2992"/>
      <c r="B102" s="2992"/>
      <c r="C102" s="2992"/>
      <c r="D102" s="2992"/>
      <c r="E102" s="2992"/>
    </row>
    <row r="103" spans="1:5">
      <c r="A103" s="2992"/>
      <c r="B103" s="2992"/>
      <c r="C103" s="2992"/>
      <c r="D103" s="2992"/>
      <c r="E103" s="2992"/>
    </row>
    <row r="104" spans="1:5">
      <c r="A104" s="2992"/>
      <c r="B104" s="2992"/>
      <c r="C104" s="2992"/>
      <c r="D104" s="2992"/>
      <c r="E104" s="2992"/>
    </row>
    <row r="105" spans="1:5">
      <c r="A105" s="2992"/>
      <c r="B105" s="2992"/>
      <c r="C105" s="2992"/>
      <c r="D105" s="2992"/>
      <c r="E105" s="2992"/>
    </row>
    <row r="106" spans="1:5">
      <c r="A106" s="2992"/>
      <c r="B106" s="2992"/>
      <c r="C106" s="2992"/>
      <c r="D106" s="2992"/>
      <c r="E106" s="2992"/>
    </row>
    <row r="107" spans="1:5">
      <c r="A107" s="2992"/>
      <c r="B107" s="2992"/>
      <c r="C107" s="2992"/>
      <c r="D107" s="2992"/>
      <c r="E107" s="2992"/>
    </row>
    <row r="108" spans="1:5">
      <c r="A108" s="2992"/>
      <c r="B108" s="2992"/>
      <c r="C108" s="2992"/>
      <c r="D108" s="2992"/>
      <c r="E108" s="2992"/>
    </row>
    <row r="109" spans="1:5">
      <c r="A109" s="2992"/>
      <c r="B109" s="2992"/>
      <c r="C109" s="2992"/>
      <c r="D109" s="2992"/>
      <c r="E109" s="2992"/>
    </row>
    <row r="110" spans="1:5">
      <c r="A110" s="2992"/>
      <c r="B110" s="2992"/>
      <c r="C110" s="2992"/>
      <c r="D110" s="2992"/>
      <c r="E110" s="2992"/>
    </row>
    <row r="111" spans="1:5">
      <c r="A111" s="2992"/>
      <c r="B111" s="2992"/>
      <c r="C111" s="2992"/>
      <c r="D111" s="2992"/>
      <c r="E111" s="2992"/>
    </row>
    <row r="112" spans="1:5">
      <c r="A112" s="2992"/>
      <c r="B112" s="2992"/>
      <c r="C112" s="2992"/>
      <c r="D112" s="2992"/>
      <c r="E112" s="2992"/>
    </row>
    <row r="113" spans="1:5">
      <c r="A113" s="2992"/>
      <c r="B113" s="2992"/>
      <c r="C113" s="2992"/>
      <c r="D113" s="2992"/>
      <c r="E113" s="2992"/>
    </row>
    <row r="114" spans="1:5">
      <c r="A114" s="2992"/>
      <c r="B114" s="2992"/>
      <c r="C114" s="2992"/>
      <c r="D114" s="2992"/>
      <c r="E114" s="2992"/>
    </row>
    <row r="115" spans="1:5">
      <c r="A115" s="2992"/>
      <c r="B115" s="2992"/>
      <c r="C115" s="2992"/>
      <c r="D115" s="2992"/>
      <c r="E115" s="2992"/>
    </row>
    <row r="116" spans="1:5">
      <c r="A116" s="2992"/>
      <c r="B116" s="2992"/>
      <c r="C116" s="2992"/>
      <c r="D116" s="2992"/>
      <c r="E116" s="2992"/>
    </row>
    <row r="117" spans="1:5">
      <c r="A117" s="2992"/>
      <c r="B117" s="2992"/>
      <c r="C117" s="2992"/>
      <c r="D117" s="2992"/>
      <c r="E117" s="2992"/>
    </row>
    <row r="118" spans="1:5">
      <c r="A118" s="2992"/>
      <c r="B118" s="2992"/>
      <c r="C118" s="2992"/>
      <c r="D118" s="2992"/>
      <c r="E118" s="2992"/>
    </row>
    <row r="119" spans="1:5">
      <c r="A119" s="2992"/>
      <c r="B119" s="2992"/>
      <c r="C119" s="2992"/>
      <c r="D119" s="2992"/>
      <c r="E119" s="2992"/>
    </row>
    <row r="120" spans="1:5">
      <c r="A120" s="2992"/>
      <c r="B120" s="2992"/>
      <c r="C120" s="2992"/>
      <c r="D120" s="2992"/>
      <c r="E120" s="2992"/>
    </row>
    <row r="121" spans="1:5">
      <c r="A121" s="2992"/>
      <c r="B121" s="2992"/>
      <c r="C121" s="2992"/>
      <c r="D121" s="2992"/>
      <c r="E121" s="2992"/>
    </row>
    <row r="122" spans="1:5">
      <c r="A122" s="2992"/>
      <c r="B122" s="2992"/>
      <c r="C122" s="2992"/>
      <c r="D122" s="2992"/>
      <c r="E122" s="2992"/>
    </row>
    <row r="123" spans="1:5">
      <c r="A123" s="2992"/>
      <c r="B123" s="2992"/>
      <c r="C123" s="2992"/>
      <c r="D123" s="2992"/>
      <c r="E123" s="2992"/>
    </row>
    <row r="124" spans="1:5">
      <c r="A124" s="2992"/>
      <c r="B124" s="2992"/>
      <c r="C124" s="2992"/>
      <c r="D124" s="2992"/>
      <c r="E124" s="2992"/>
    </row>
    <row r="125" spans="1:5">
      <c r="A125" s="2992"/>
      <c r="B125" s="2992"/>
      <c r="C125" s="2992"/>
      <c r="D125" s="2992"/>
      <c r="E125" s="2992"/>
    </row>
    <row r="126" spans="1:5">
      <c r="A126" s="2992"/>
      <c r="B126" s="2992"/>
      <c r="C126" s="2992"/>
      <c r="D126" s="2992"/>
      <c r="E126" s="2992"/>
    </row>
    <row r="127" spans="1:5">
      <c r="A127" s="2992"/>
      <c r="B127" s="2992"/>
      <c r="C127" s="2992"/>
      <c r="D127" s="2992"/>
      <c r="E127" s="2992"/>
    </row>
    <row r="128" spans="1:5">
      <c r="A128" s="2992"/>
      <c r="B128" s="2992"/>
      <c r="C128" s="2992"/>
      <c r="D128" s="2992"/>
      <c r="E128" s="2992"/>
    </row>
    <row r="129" spans="1:5">
      <c r="A129" s="2992"/>
      <c r="B129" s="2992"/>
      <c r="C129" s="2992"/>
      <c r="D129" s="2992"/>
      <c r="E129" s="2992"/>
    </row>
    <row r="130" spans="1:5">
      <c r="A130" s="2992"/>
      <c r="B130" s="2992"/>
      <c r="C130" s="2992"/>
      <c r="D130" s="2992"/>
      <c r="E130" s="2992"/>
    </row>
    <row r="131" spans="1:5">
      <c r="A131" s="2992"/>
      <c r="B131" s="2992"/>
      <c r="C131" s="2992"/>
      <c r="D131" s="2992"/>
      <c r="E131" s="2992"/>
    </row>
    <row r="132" spans="1:5">
      <c r="A132" s="2992"/>
      <c r="B132" s="2992"/>
      <c r="C132" s="2992"/>
      <c r="D132" s="2992"/>
      <c r="E132" s="2992"/>
    </row>
    <row r="133" spans="1:5">
      <c r="A133" s="2992"/>
      <c r="B133" s="2992"/>
      <c r="C133" s="2992"/>
      <c r="D133" s="2992"/>
      <c r="E133" s="2992"/>
    </row>
    <row r="134" spans="1:5">
      <c r="A134" s="2992"/>
      <c r="B134" s="2992"/>
      <c r="C134" s="2992"/>
      <c r="D134" s="2992"/>
      <c r="E134" s="2992"/>
    </row>
    <row r="135" spans="1:5">
      <c r="A135" s="2992"/>
      <c r="B135" s="2992"/>
      <c r="C135" s="2992"/>
      <c r="D135" s="2992"/>
      <c r="E135" s="2992"/>
    </row>
    <row r="136" spans="1:5">
      <c r="A136" s="2992"/>
      <c r="B136" s="2992"/>
      <c r="C136" s="2992"/>
      <c r="D136" s="2992"/>
      <c r="E136" s="2992"/>
    </row>
    <row r="137" spans="1:5">
      <c r="A137" s="2992"/>
      <c r="B137" s="2992"/>
      <c r="C137" s="2992"/>
      <c r="D137" s="2992"/>
      <c r="E137" s="2992"/>
    </row>
    <row r="138" spans="1:5">
      <c r="A138" s="2992"/>
      <c r="B138" s="2992"/>
      <c r="C138" s="2992"/>
      <c r="D138" s="2992"/>
      <c r="E138" s="2992"/>
    </row>
    <row r="139" spans="1:5">
      <c r="A139" s="2992"/>
      <c r="B139" s="2992"/>
      <c r="C139" s="2992"/>
      <c r="D139" s="2992"/>
      <c r="E139" s="2992"/>
    </row>
    <row r="140" spans="1:5">
      <c r="A140" s="2992"/>
      <c r="B140" s="2992"/>
      <c r="C140" s="2992"/>
      <c r="D140" s="2992"/>
      <c r="E140" s="2992"/>
    </row>
    <row r="141" spans="1:5">
      <c r="A141" s="2992"/>
      <c r="B141" s="2992"/>
      <c r="C141" s="2992"/>
      <c r="D141" s="2992"/>
      <c r="E141" s="2992"/>
    </row>
    <row r="142" spans="1:5">
      <c r="A142" s="2992"/>
      <c r="B142" s="2992"/>
      <c r="C142" s="2992"/>
      <c r="D142" s="2992"/>
      <c r="E142" s="2992"/>
    </row>
    <row r="143" spans="1:5">
      <c r="A143" s="2992"/>
      <c r="B143" s="2992"/>
      <c r="C143" s="2992"/>
      <c r="D143" s="2992"/>
      <c r="E143" s="2992"/>
    </row>
    <row r="144" spans="1:5">
      <c r="A144" s="2992"/>
      <c r="B144" s="2992"/>
      <c r="C144" s="2992"/>
      <c r="D144" s="2992"/>
      <c r="E144" s="2992"/>
    </row>
    <row r="145" spans="1:5">
      <c r="A145" s="2992"/>
      <c r="B145" s="2992"/>
      <c r="C145" s="2992"/>
      <c r="D145" s="2992"/>
      <c r="E145" s="2992"/>
    </row>
    <row r="146" spans="1:5">
      <c r="A146" s="2992"/>
      <c r="B146" s="2992"/>
      <c r="C146" s="2992"/>
      <c r="D146" s="2992"/>
      <c r="E146" s="2992"/>
    </row>
    <row r="147" spans="1:5">
      <c r="A147" s="2992"/>
      <c r="B147" s="2992"/>
      <c r="C147" s="2992"/>
      <c r="D147" s="2992"/>
      <c r="E147" s="2992"/>
    </row>
    <row r="148" spans="1:5">
      <c r="A148" s="2992"/>
      <c r="B148" s="2992"/>
      <c r="C148" s="2992"/>
      <c r="D148" s="2992"/>
      <c r="E148" s="2992"/>
    </row>
    <row r="149" spans="1:5">
      <c r="A149" s="2992"/>
      <c r="B149" s="2992"/>
      <c r="C149" s="2992"/>
      <c r="D149" s="2992"/>
      <c r="E149" s="2992"/>
    </row>
    <row r="150" spans="1:5">
      <c r="A150" s="2992"/>
      <c r="B150" s="2992"/>
      <c r="C150" s="2992"/>
      <c r="D150" s="2992"/>
      <c r="E150" s="2992"/>
    </row>
    <row r="151" spans="1:5">
      <c r="A151" s="2992"/>
      <c r="B151" s="2992"/>
      <c r="C151" s="2992"/>
      <c r="D151" s="2992"/>
      <c r="E151" s="2992"/>
    </row>
    <row r="152" spans="1:5">
      <c r="A152" s="2992"/>
      <c r="B152" s="2992"/>
      <c r="C152" s="2992"/>
      <c r="D152" s="2992"/>
      <c r="E152" s="2992"/>
    </row>
    <row r="153" spans="1:5">
      <c r="A153" s="2992"/>
      <c r="B153" s="2992"/>
      <c r="C153" s="2992"/>
      <c r="D153" s="2992"/>
      <c r="E153" s="2992"/>
    </row>
    <row r="154" spans="1:5">
      <c r="A154" s="2992"/>
      <c r="B154" s="2992"/>
      <c r="C154" s="2992"/>
      <c r="D154" s="2992"/>
      <c r="E154" s="2992"/>
    </row>
    <row r="155" spans="1:5">
      <c r="A155" s="2992"/>
      <c r="B155" s="2992"/>
      <c r="C155" s="2992"/>
      <c r="D155" s="2992"/>
      <c r="E155" s="2992"/>
    </row>
    <row r="156" spans="1:5">
      <c r="A156" s="2992"/>
      <c r="B156" s="2992"/>
      <c r="C156" s="2992"/>
      <c r="D156" s="2992"/>
      <c r="E156" s="2992"/>
    </row>
    <row r="157" spans="1:5">
      <c r="A157" s="2992"/>
      <c r="B157" s="2992"/>
      <c r="C157" s="2992"/>
      <c r="D157" s="2992"/>
      <c r="E157" s="2992"/>
    </row>
    <row r="158" spans="1:5">
      <c r="A158" s="2992"/>
      <c r="B158" s="2992"/>
      <c r="C158" s="2992"/>
      <c r="D158" s="2992"/>
      <c r="E158" s="2992"/>
    </row>
    <row r="159" spans="1:5">
      <c r="A159" s="2992"/>
      <c r="B159" s="2992"/>
      <c r="C159" s="2992"/>
      <c r="D159" s="2992"/>
      <c r="E159" s="2992"/>
    </row>
    <row r="160" spans="1:5">
      <c r="A160" s="2992"/>
      <c r="B160" s="2992"/>
      <c r="C160" s="2992"/>
      <c r="D160" s="2992"/>
      <c r="E160" s="2992"/>
    </row>
    <row r="161" spans="1:5">
      <c r="A161" s="2992"/>
      <c r="B161" s="2992"/>
      <c r="C161" s="2992"/>
      <c r="D161" s="2992"/>
      <c r="E161" s="2992"/>
    </row>
    <row r="162" spans="1:5">
      <c r="A162" s="2992"/>
      <c r="B162" s="2992"/>
      <c r="C162" s="2992"/>
      <c r="D162" s="2992"/>
      <c r="E162" s="2992"/>
    </row>
    <row r="163" spans="1:5">
      <c r="A163" s="2992"/>
      <c r="B163" s="2992"/>
      <c r="C163" s="2992"/>
      <c r="D163" s="2992"/>
      <c r="E163" s="2992"/>
    </row>
    <row r="164" spans="1:5">
      <c r="A164" s="2992"/>
      <c r="B164" s="2992"/>
      <c r="C164" s="2992"/>
      <c r="D164" s="2992"/>
      <c r="E164" s="2992"/>
    </row>
    <row r="165" spans="1:5">
      <c r="A165" s="2992"/>
      <c r="B165" s="2992"/>
      <c r="C165" s="2992"/>
      <c r="D165" s="2992"/>
      <c r="E165" s="2992"/>
    </row>
    <row r="166" spans="1:5">
      <c r="A166" s="2992"/>
      <c r="B166" s="2992"/>
      <c r="C166" s="2992"/>
      <c r="D166" s="2992"/>
      <c r="E166" s="2992"/>
    </row>
    <row r="167" spans="1:5">
      <c r="A167" s="2992"/>
      <c r="B167" s="2992"/>
      <c r="C167" s="2992"/>
      <c r="D167" s="2992"/>
      <c r="E167" s="2992"/>
    </row>
    <row r="168" spans="1:5">
      <c r="A168" s="2992"/>
      <c r="B168" s="2992"/>
      <c r="C168" s="2992"/>
      <c r="D168" s="2992"/>
      <c r="E168" s="2992"/>
    </row>
    <row r="169" spans="1:5">
      <c r="A169" s="2992"/>
      <c r="B169" s="2992"/>
      <c r="C169" s="2992"/>
      <c r="D169" s="2992"/>
      <c r="E169" s="2992"/>
    </row>
    <row r="170" spans="1:5">
      <c r="A170" s="2992"/>
      <c r="B170" s="2992"/>
      <c r="C170" s="2992"/>
      <c r="D170" s="2992"/>
      <c r="E170" s="2992"/>
    </row>
    <row r="171" spans="1:5">
      <c r="A171" s="2992"/>
      <c r="B171" s="2992"/>
      <c r="C171" s="2992"/>
      <c r="D171" s="2992"/>
      <c r="E171" s="2992"/>
    </row>
    <row r="172" spans="1:5">
      <c r="A172" s="2992"/>
      <c r="B172" s="2992"/>
      <c r="C172" s="2992"/>
      <c r="D172" s="2992"/>
      <c r="E172" s="2992"/>
    </row>
    <row r="173" spans="1:5">
      <c r="A173" s="2992"/>
      <c r="B173" s="2992"/>
      <c r="C173" s="2992"/>
      <c r="D173" s="2992"/>
      <c r="E173" s="2992"/>
    </row>
    <row r="174" spans="1:5">
      <c r="A174" s="2992"/>
      <c r="B174" s="2992"/>
      <c r="C174" s="2992"/>
      <c r="D174" s="2992"/>
      <c r="E174" s="2992"/>
    </row>
    <row r="175" spans="1:5">
      <c r="A175" s="2992"/>
      <c r="B175" s="2992"/>
      <c r="C175" s="2992"/>
      <c r="D175" s="2992"/>
      <c r="E175" s="2992"/>
    </row>
    <row r="176" spans="1:5">
      <c r="A176" s="2992"/>
      <c r="B176" s="2992"/>
      <c r="C176" s="2992"/>
      <c r="D176" s="2992"/>
      <c r="E176" s="2992"/>
    </row>
    <row r="177" spans="1:5">
      <c r="A177" s="2992"/>
      <c r="B177" s="2992"/>
      <c r="C177" s="2992"/>
      <c r="D177" s="2992"/>
      <c r="E177" s="2992"/>
    </row>
    <row r="178" spans="1:5">
      <c r="A178" s="2992"/>
      <c r="B178" s="2992"/>
      <c r="C178" s="2992"/>
      <c r="D178" s="2992"/>
      <c r="E178" s="2992"/>
    </row>
    <row r="179" spans="1:5">
      <c r="A179" s="2992"/>
      <c r="B179" s="2992"/>
      <c r="C179" s="2992"/>
      <c r="D179" s="2992"/>
      <c r="E179" s="2992"/>
    </row>
    <row r="180" spans="1:5">
      <c r="A180" s="2992"/>
      <c r="B180" s="2992"/>
      <c r="C180" s="2992"/>
      <c r="D180" s="2992"/>
      <c r="E180" s="2992"/>
    </row>
    <row r="181" spans="1:5">
      <c r="A181" s="2992"/>
      <c r="B181" s="2992"/>
      <c r="C181" s="2992"/>
      <c r="D181" s="2992"/>
      <c r="E181" s="2992"/>
    </row>
    <row r="182" spans="1:5">
      <c r="A182" s="2992"/>
      <c r="B182" s="2992"/>
      <c r="C182" s="2992"/>
      <c r="D182" s="2992"/>
      <c r="E182" s="2992"/>
    </row>
    <row r="183" spans="1:5">
      <c r="A183" s="2992"/>
      <c r="B183" s="2992"/>
      <c r="C183" s="2992"/>
      <c r="D183" s="2992"/>
      <c r="E183" s="2992"/>
    </row>
    <row r="184" spans="1:5">
      <c r="A184" s="2992"/>
      <c r="B184" s="2992"/>
      <c r="C184" s="2992"/>
      <c r="D184" s="2992"/>
      <c r="E184" s="2992"/>
    </row>
    <row r="185" spans="1:5">
      <c r="A185" s="2992"/>
      <c r="B185" s="2992"/>
      <c r="C185" s="2992"/>
      <c r="D185" s="2992"/>
      <c r="E185" s="2992"/>
    </row>
    <row r="186" spans="1:5">
      <c r="A186" s="2992"/>
      <c r="B186" s="2992"/>
      <c r="C186" s="2992"/>
      <c r="D186" s="2992"/>
      <c r="E186" s="2992"/>
    </row>
    <row r="187" spans="1:5">
      <c r="A187" s="2992"/>
      <c r="B187" s="2992"/>
      <c r="C187" s="2992"/>
      <c r="D187" s="2992"/>
      <c r="E187" s="2992"/>
    </row>
    <row r="188" spans="1:5">
      <c r="A188" s="2992"/>
      <c r="B188" s="2992"/>
      <c r="C188" s="2992"/>
      <c r="D188" s="2992"/>
      <c r="E188" s="2992"/>
    </row>
    <row r="189" spans="1:5">
      <c r="A189" s="2992"/>
      <c r="B189" s="2992"/>
      <c r="C189" s="2992"/>
      <c r="D189" s="2992"/>
      <c r="E189" s="2992"/>
    </row>
    <row r="190" spans="1:5">
      <c r="A190" s="2992"/>
      <c r="B190" s="2992"/>
      <c r="C190" s="2992"/>
      <c r="D190" s="2992"/>
      <c r="E190" s="2992"/>
    </row>
    <row r="191" spans="1:5">
      <c r="A191" s="2992"/>
      <c r="B191" s="2992"/>
      <c r="C191" s="2992"/>
      <c r="D191" s="2992"/>
      <c r="E191" s="2992"/>
    </row>
    <row r="192" spans="1:5">
      <c r="A192" s="2992"/>
      <c r="B192" s="2992"/>
      <c r="C192" s="2992"/>
      <c r="D192" s="2992"/>
      <c r="E192" s="2992"/>
    </row>
    <row r="193" spans="1:5">
      <c r="A193" s="2992"/>
      <c r="B193" s="2992"/>
      <c r="C193" s="2992"/>
      <c r="D193" s="2992"/>
      <c r="E193" s="2992"/>
    </row>
    <row r="194" spans="1:5">
      <c r="A194" s="2992"/>
      <c r="B194" s="2992"/>
      <c r="C194" s="2992"/>
      <c r="D194" s="2992"/>
      <c r="E194" s="2992"/>
    </row>
    <row r="195" spans="1:5">
      <c r="A195" s="2992"/>
      <c r="B195" s="2992"/>
      <c r="C195" s="2992"/>
      <c r="D195" s="2992"/>
      <c r="E195" s="2992"/>
    </row>
    <row r="196" spans="1:5">
      <c r="A196" s="2992"/>
      <c r="B196" s="2992"/>
      <c r="C196" s="2992"/>
      <c r="D196" s="2992"/>
      <c r="E196" s="2992"/>
    </row>
    <row r="197" spans="1:5">
      <c r="A197" s="2992"/>
      <c r="B197" s="2992"/>
      <c r="C197" s="2992"/>
      <c r="D197" s="2992"/>
      <c r="E197" s="2992"/>
    </row>
    <row r="198" spans="1:5">
      <c r="A198" s="2992"/>
      <c r="B198" s="2992"/>
      <c r="C198" s="2992"/>
      <c r="D198" s="2992"/>
      <c r="E198" s="2992"/>
    </row>
    <row r="199" spans="1:5">
      <c r="A199" s="2992"/>
      <c r="B199" s="2992"/>
      <c r="C199" s="2992"/>
      <c r="D199" s="2992"/>
      <c r="E199" s="2992"/>
    </row>
    <row r="200" spans="1:5">
      <c r="A200" s="2992"/>
      <c r="B200" s="2992"/>
      <c r="C200" s="2992"/>
      <c r="D200" s="2992"/>
      <c r="E200" s="2992"/>
    </row>
    <row r="201" spans="1:5">
      <c r="A201" s="2992"/>
      <c r="B201" s="2992"/>
      <c r="C201" s="2992"/>
      <c r="D201" s="2992"/>
      <c r="E201" s="2992"/>
    </row>
    <row r="202" spans="1:5">
      <c r="A202" s="2992"/>
      <c r="B202" s="2992"/>
      <c r="C202" s="2992"/>
      <c r="D202" s="2992"/>
      <c r="E202" s="2992"/>
    </row>
    <row r="203" spans="1:5">
      <c r="A203" s="2992"/>
      <c r="B203" s="2992"/>
      <c r="C203" s="2992"/>
      <c r="D203" s="2992"/>
      <c r="E203" s="2992"/>
    </row>
    <row r="204" spans="1:5">
      <c r="A204" s="2992"/>
      <c r="B204" s="2992"/>
      <c r="C204" s="2992"/>
      <c r="D204" s="2992"/>
      <c r="E204" s="2992"/>
    </row>
    <row r="205" spans="1:5">
      <c r="A205" s="2992"/>
      <c r="B205" s="2992"/>
      <c r="C205" s="2992"/>
      <c r="D205" s="2992"/>
      <c r="E205" s="2992"/>
    </row>
    <row r="206" spans="1:5">
      <c r="A206" s="2992"/>
      <c r="B206" s="2992"/>
      <c r="C206" s="2992"/>
      <c r="D206" s="2992"/>
      <c r="E206" s="2992"/>
    </row>
    <row r="207" spans="1:5">
      <c r="A207" s="2992"/>
      <c r="B207" s="2992"/>
      <c r="C207" s="2992"/>
      <c r="D207" s="2992"/>
      <c r="E207" s="2992"/>
    </row>
    <row r="208" spans="1:5">
      <c r="A208" s="2992"/>
      <c r="B208" s="2992"/>
      <c r="C208" s="2992"/>
      <c r="D208" s="2992"/>
      <c r="E208" s="2992"/>
    </row>
    <row r="209" spans="1:5">
      <c r="A209" s="2992"/>
      <c r="B209" s="2992"/>
      <c r="C209" s="2992"/>
      <c r="D209" s="2992"/>
      <c r="E209" s="2992"/>
    </row>
    <row r="210" spans="1:5">
      <c r="A210" s="2992"/>
      <c r="B210" s="2992"/>
      <c r="C210" s="2992"/>
      <c r="D210" s="2992"/>
      <c r="E210" s="2992"/>
    </row>
    <row r="211" spans="1:5">
      <c r="A211" s="2992"/>
      <c r="B211" s="2992"/>
      <c r="C211" s="2992"/>
      <c r="D211" s="2992"/>
      <c r="E211" s="2992"/>
    </row>
    <row r="212" spans="1:5">
      <c r="A212" s="2992"/>
      <c r="B212" s="2992"/>
      <c r="C212" s="2992"/>
      <c r="D212" s="2992"/>
      <c r="E212" s="2992"/>
    </row>
    <row r="213" spans="1:5">
      <c r="A213" s="2992"/>
      <c r="B213" s="2992"/>
      <c r="C213" s="2992"/>
      <c r="D213" s="2992"/>
      <c r="E213" s="2992"/>
    </row>
    <row r="214" spans="1:5">
      <c r="A214" s="2992"/>
      <c r="B214" s="2992"/>
      <c r="C214" s="2992"/>
      <c r="D214" s="2992"/>
      <c r="E214" s="2992"/>
    </row>
    <row r="215" spans="1:5">
      <c r="A215" s="2992"/>
      <c r="B215" s="2992"/>
      <c r="C215" s="2992"/>
      <c r="D215" s="2992"/>
      <c r="E215" s="2992"/>
    </row>
    <row r="216" spans="1:5">
      <c r="A216" s="2992"/>
      <c r="B216" s="2992"/>
      <c r="C216" s="2992"/>
      <c r="D216" s="2992"/>
      <c r="E216" s="2992"/>
    </row>
    <row r="217" spans="1:5">
      <c r="A217" s="2992"/>
      <c r="B217" s="2992"/>
      <c r="C217" s="2992"/>
      <c r="D217" s="2992"/>
      <c r="E217" s="2992"/>
    </row>
    <row r="218" spans="1:5">
      <c r="A218" s="2992"/>
      <c r="B218" s="2992"/>
      <c r="C218" s="2992"/>
      <c r="D218" s="2992"/>
      <c r="E218" s="2992"/>
    </row>
    <row r="219" spans="1:5">
      <c r="A219" s="2992"/>
      <c r="B219" s="2992"/>
      <c r="C219" s="2992"/>
      <c r="D219" s="2992"/>
      <c r="E219" s="2992"/>
    </row>
    <row r="220" spans="1:5">
      <c r="A220" s="2992"/>
      <c r="B220" s="2992"/>
      <c r="C220" s="2992"/>
      <c r="D220" s="2992"/>
      <c r="E220" s="2992"/>
    </row>
    <row r="221" spans="1:5">
      <c r="A221" s="2992"/>
      <c r="B221" s="2992"/>
      <c r="C221" s="2992"/>
      <c r="D221" s="2992"/>
      <c r="E221" s="2992"/>
    </row>
    <row r="222" spans="1:5">
      <c r="A222" s="2992"/>
      <c r="B222" s="2992"/>
      <c r="C222" s="2992"/>
      <c r="D222" s="2992"/>
      <c r="E222" s="2992"/>
    </row>
    <row r="223" spans="1:5">
      <c r="A223" s="2992"/>
      <c r="B223" s="2992"/>
      <c r="C223" s="2992"/>
      <c r="D223" s="2992"/>
      <c r="E223" s="2992"/>
    </row>
    <row r="224" spans="1:5">
      <c r="A224" s="2992"/>
      <c r="B224" s="2992"/>
      <c r="C224" s="2992"/>
      <c r="D224" s="2992"/>
      <c r="E224" s="2992"/>
    </row>
    <row r="225" spans="1:5">
      <c r="A225" s="2992"/>
      <c r="B225" s="2992"/>
      <c r="C225" s="2992"/>
      <c r="D225" s="2992"/>
      <c r="E225" s="2992"/>
    </row>
    <row r="226" spans="1:5">
      <c r="A226" s="2992"/>
      <c r="B226" s="2992"/>
      <c r="C226" s="2992"/>
      <c r="D226" s="2992"/>
      <c r="E226" s="2992"/>
    </row>
    <row r="227" spans="1:5">
      <c r="A227" s="2992"/>
      <c r="B227" s="2992"/>
      <c r="C227" s="2992"/>
      <c r="D227" s="2992"/>
      <c r="E227" s="2992"/>
    </row>
    <row r="228" spans="1:5">
      <c r="A228" s="2992"/>
      <c r="B228" s="2992"/>
      <c r="C228" s="2992"/>
      <c r="D228" s="2992"/>
      <c r="E228" s="2992"/>
    </row>
    <row r="229" spans="1:5">
      <c r="A229" s="2992"/>
      <c r="B229" s="2992"/>
      <c r="C229" s="2992"/>
      <c r="D229" s="2992"/>
      <c r="E229" s="2992"/>
    </row>
    <row r="230" spans="1:5">
      <c r="A230" s="2992"/>
      <c r="B230" s="2992"/>
      <c r="C230" s="2992"/>
      <c r="D230" s="2992"/>
      <c r="E230" s="2992"/>
    </row>
    <row r="231" spans="1:5">
      <c r="A231" s="2992"/>
      <c r="B231" s="2992"/>
      <c r="C231" s="2992"/>
      <c r="D231" s="2992"/>
      <c r="E231" s="2992"/>
    </row>
    <row r="232" spans="1:5">
      <c r="A232" s="2992"/>
      <c r="B232" s="2992"/>
      <c r="C232" s="2992"/>
      <c r="D232" s="2992"/>
      <c r="E232" s="2992"/>
    </row>
    <row r="233" spans="1:5">
      <c r="A233" s="2992"/>
      <c r="B233" s="2992"/>
      <c r="C233" s="2992"/>
      <c r="D233" s="2992"/>
      <c r="E233" s="2992"/>
    </row>
    <row r="234" spans="1:5">
      <c r="A234" s="2992"/>
      <c r="B234" s="2992"/>
      <c r="C234" s="2992"/>
      <c r="D234" s="2992"/>
      <c r="E234" s="2992"/>
    </row>
    <row r="235" spans="1:5">
      <c r="A235" s="2992"/>
      <c r="B235" s="2992"/>
      <c r="C235" s="2992"/>
      <c r="D235" s="2992"/>
      <c r="E235" s="2992"/>
    </row>
    <row r="236" spans="1:5">
      <c r="A236" s="2992"/>
      <c r="B236" s="2992"/>
      <c r="C236" s="2992"/>
      <c r="D236" s="2992"/>
      <c r="E236" s="2992"/>
    </row>
    <row r="237" spans="1:5">
      <c r="A237" s="2992"/>
      <c r="B237" s="2992"/>
      <c r="C237" s="2992"/>
      <c r="D237" s="2992"/>
      <c r="E237" s="2992"/>
    </row>
    <row r="238" spans="1:5">
      <c r="A238" s="2992"/>
      <c r="B238" s="2992"/>
      <c r="C238" s="2992"/>
      <c r="D238" s="2992"/>
      <c r="E238" s="2992"/>
    </row>
    <row r="239" spans="1:5">
      <c r="A239" s="2992"/>
      <c r="B239" s="2992"/>
      <c r="C239" s="2992"/>
      <c r="D239" s="2992"/>
      <c r="E239" s="2992"/>
    </row>
    <row r="240" spans="1:5">
      <c r="A240" s="2992"/>
      <c r="B240" s="2992"/>
      <c r="C240" s="2992"/>
      <c r="D240" s="2992"/>
      <c r="E240" s="2992"/>
    </row>
    <row r="241" spans="1:5">
      <c r="A241" s="2992"/>
      <c r="B241" s="2992"/>
      <c r="C241" s="2992"/>
      <c r="D241" s="2992"/>
      <c r="E241" s="2992"/>
    </row>
    <row r="242" spans="1:5">
      <c r="A242" s="2992"/>
      <c r="B242" s="2992"/>
      <c r="C242" s="2992"/>
      <c r="D242" s="2992"/>
      <c r="E242" s="2992"/>
    </row>
    <row r="243" spans="1:5">
      <c r="A243" s="2992"/>
      <c r="B243" s="2992"/>
      <c r="C243" s="2992"/>
      <c r="D243" s="2992"/>
      <c r="E243" s="2992"/>
    </row>
    <row r="244" spans="1:5">
      <c r="A244" s="2992"/>
      <c r="B244" s="2992"/>
      <c r="C244" s="2992"/>
      <c r="D244" s="2992"/>
      <c r="E244" s="2992"/>
    </row>
    <row r="245" spans="1:5">
      <c r="A245" s="2992"/>
      <c r="B245" s="2992"/>
      <c r="C245" s="2992"/>
      <c r="D245" s="2992"/>
      <c r="E245" s="2992"/>
    </row>
    <row r="246" spans="1:5">
      <c r="A246" s="2992"/>
      <c r="B246" s="2992"/>
      <c r="C246" s="2992"/>
      <c r="D246" s="2992"/>
      <c r="E246" s="2992"/>
    </row>
    <row r="247" spans="1:5">
      <c r="A247" s="2992"/>
      <c r="B247" s="2992"/>
      <c r="C247" s="2992"/>
      <c r="D247" s="2992"/>
      <c r="E247" s="2992"/>
    </row>
    <row r="248" spans="1:5">
      <c r="A248" s="2992"/>
      <c r="B248" s="2992"/>
      <c r="C248" s="2992"/>
      <c r="D248" s="2992"/>
      <c r="E248" s="2992"/>
    </row>
    <row r="249" spans="1:5">
      <c r="A249" s="2992"/>
      <c r="B249" s="2992"/>
      <c r="C249" s="2992"/>
      <c r="D249" s="2992"/>
      <c r="E249" s="2992"/>
    </row>
    <row r="250" spans="1:5">
      <c r="A250" s="2992"/>
      <c r="B250" s="2992"/>
      <c r="C250" s="2992"/>
      <c r="D250" s="2992"/>
      <c r="E250" s="2992"/>
    </row>
    <row r="251" spans="1:5">
      <c r="A251" s="2992"/>
      <c r="B251" s="2992"/>
      <c r="C251" s="2992"/>
      <c r="D251" s="2992"/>
      <c r="E251" s="2992"/>
    </row>
    <row r="252" spans="1:5">
      <c r="A252" s="2992"/>
      <c r="B252" s="2992"/>
      <c r="C252" s="2992"/>
      <c r="D252" s="2992"/>
      <c r="E252" s="2992"/>
    </row>
    <row r="253" spans="1:5">
      <c r="A253" s="2992"/>
      <c r="B253" s="2992"/>
      <c r="C253" s="2992"/>
      <c r="D253" s="2992"/>
      <c r="E253" s="2992"/>
    </row>
    <row r="254" spans="1:5">
      <c r="A254" s="2992"/>
      <c r="B254" s="2992"/>
      <c r="C254" s="2992"/>
      <c r="D254" s="2992"/>
      <c r="E254" s="2992"/>
    </row>
    <row r="255" spans="1:5">
      <c r="A255" s="2992"/>
      <c r="B255" s="2992"/>
      <c r="C255" s="2992"/>
      <c r="D255" s="2992"/>
      <c r="E255" s="2992"/>
    </row>
    <row r="256" spans="1:5">
      <c r="A256" s="2992"/>
      <c r="B256" s="2992"/>
      <c r="C256" s="2992"/>
      <c r="D256" s="2992"/>
      <c r="E256" s="2992"/>
    </row>
    <row r="257" spans="1:5">
      <c r="A257" s="2992"/>
      <c r="B257" s="2992"/>
      <c r="C257" s="2992"/>
      <c r="D257" s="2992"/>
      <c r="E257" s="2992"/>
    </row>
    <row r="258" spans="1:5">
      <c r="A258" s="2992"/>
      <c r="B258" s="2992"/>
      <c r="C258" s="2992"/>
      <c r="D258" s="2992"/>
      <c r="E258" s="2992"/>
    </row>
    <row r="259" spans="1:5">
      <c r="A259" s="2992"/>
      <c r="B259" s="2992"/>
      <c r="C259" s="2992"/>
      <c r="D259" s="2992"/>
      <c r="E259" s="2992"/>
    </row>
    <row r="260" spans="1:5">
      <c r="A260" s="2992"/>
      <c r="B260" s="2992"/>
      <c r="C260" s="2992"/>
      <c r="D260" s="2992"/>
      <c r="E260" s="2992"/>
    </row>
    <row r="261" spans="1:5">
      <c r="A261" s="2992"/>
      <c r="B261" s="2992"/>
      <c r="C261" s="2992"/>
      <c r="D261" s="2992"/>
      <c r="E261" s="2992"/>
    </row>
    <row r="262" spans="1:5">
      <c r="A262" s="2992"/>
      <c r="B262" s="2992"/>
      <c r="C262" s="2992"/>
      <c r="D262" s="2992"/>
      <c r="E262" s="2992"/>
    </row>
    <row r="263" spans="1:5">
      <c r="A263" s="2992"/>
      <c r="B263" s="2992"/>
      <c r="C263" s="2992"/>
      <c r="D263" s="2992"/>
      <c r="E263" s="2992"/>
    </row>
    <row r="264" spans="1:5">
      <c r="A264" s="2992"/>
      <c r="B264" s="2992"/>
      <c r="C264" s="2992"/>
      <c r="D264" s="2992"/>
      <c r="E264" s="2992"/>
    </row>
    <row r="265" spans="1:5">
      <c r="A265" s="2992"/>
      <c r="B265" s="2992"/>
      <c r="C265" s="2992"/>
      <c r="D265" s="2992"/>
      <c r="E265" s="2992"/>
    </row>
    <row r="266" spans="1:5">
      <c r="A266" s="2992"/>
      <c r="B266" s="2992"/>
      <c r="C266" s="2992"/>
      <c r="D266" s="2992"/>
      <c r="E266" s="2992"/>
    </row>
    <row r="267" spans="1:5">
      <c r="A267" s="2992"/>
      <c r="B267" s="2992"/>
      <c r="C267" s="2992"/>
      <c r="D267" s="2992"/>
      <c r="E267" s="2992"/>
    </row>
    <row r="268" spans="1:5">
      <c r="A268" s="2992"/>
      <c r="B268" s="2992"/>
      <c r="C268" s="2992"/>
      <c r="D268" s="2992"/>
      <c r="E268" s="2992"/>
    </row>
    <row r="269" spans="1:5">
      <c r="A269" s="2992"/>
      <c r="B269" s="2992"/>
      <c r="C269" s="2992"/>
      <c r="D269" s="2992"/>
      <c r="E269" s="2992"/>
    </row>
    <row r="270" spans="1:5">
      <c r="A270" s="2992"/>
      <c r="B270" s="2992"/>
      <c r="C270" s="2992"/>
      <c r="D270" s="2992"/>
      <c r="E270" s="2992"/>
    </row>
    <row r="271" spans="1:5">
      <c r="A271" s="2992"/>
      <c r="B271" s="2992"/>
      <c r="C271" s="2992"/>
      <c r="D271" s="2992"/>
      <c r="E271" s="2992"/>
    </row>
    <row r="272" spans="1:5">
      <c r="A272" s="2992"/>
      <c r="B272" s="2992"/>
      <c r="C272" s="2992"/>
      <c r="D272" s="2992"/>
      <c r="E272" s="2992"/>
    </row>
    <row r="273" spans="1:5">
      <c r="A273" s="2992"/>
      <c r="B273" s="2992"/>
      <c r="C273" s="2992"/>
      <c r="D273" s="2992"/>
      <c r="E273" s="2992"/>
    </row>
    <row r="274" spans="1:5">
      <c r="A274" s="2992"/>
      <c r="B274" s="2992"/>
      <c r="C274" s="2992"/>
      <c r="D274" s="2992"/>
      <c r="E274" s="2992"/>
    </row>
    <row r="275" spans="1:5">
      <c r="A275" s="2992"/>
      <c r="B275" s="2992"/>
      <c r="C275" s="2992"/>
      <c r="D275" s="2992"/>
      <c r="E275" s="2992"/>
    </row>
    <row r="276" spans="1:5">
      <c r="A276" s="2992"/>
      <c r="B276" s="2992"/>
      <c r="C276" s="2992"/>
      <c r="D276" s="2992"/>
      <c r="E276" s="2992"/>
    </row>
    <row r="277" spans="1:5">
      <c r="A277" s="2992"/>
      <c r="B277" s="2992"/>
      <c r="C277" s="2992"/>
      <c r="D277" s="2992"/>
      <c r="E277" s="2992"/>
    </row>
    <row r="278" spans="1:5">
      <c r="A278" s="2992"/>
      <c r="B278" s="2992"/>
      <c r="C278" s="2992"/>
      <c r="D278" s="2992"/>
      <c r="E278" s="2992"/>
    </row>
    <row r="279" spans="1:5">
      <c r="A279" s="2992"/>
      <c r="B279" s="2992"/>
      <c r="C279" s="2992"/>
      <c r="D279" s="2992"/>
      <c r="E279" s="2992"/>
    </row>
    <row r="280" spans="1:5">
      <c r="A280" s="2992"/>
      <c r="B280" s="2992"/>
      <c r="C280" s="2992"/>
      <c r="D280" s="2992"/>
      <c r="E280" s="2992"/>
    </row>
    <row r="281" spans="1:5">
      <c r="A281" s="2992"/>
      <c r="B281" s="2992"/>
      <c r="C281" s="2992"/>
      <c r="D281" s="2992"/>
      <c r="E281" s="2992"/>
    </row>
    <row r="282" spans="1:5">
      <c r="A282" s="2992"/>
      <c r="B282" s="2992"/>
      <c r="C282" s="2992"/>
      <c r="D282" s="2992"/>
      <c r="E282" s="2992"/>
    </row>
    <row r="283" spans="1:5">
      <c r="A283" s="2992"/>
      <c r="B283" s="2992"/>
      <c r="C283" s="2992"/>
      <c r="D283" s="2992"/>
      <c r="E283" s="2992"/>
    </row>
    <row r="284" spans="1:5">
      <c r="A284" s="2992"/>
      <c r="B284" s="2992"/>
      <c r="C284" s="2992"/>
      <c r="D284" s="2992"/>
      <c r="E284" s="2992"/>
    </row>
    <row r="285" spans="1:5">
      <c r="A285" s="2992"/>
      <c r="B285" s="2992"/>
      <c r="C285" s="2992"/>
      <c r="D285" s="2992"/>
      <c r="E285" s="2992"/>
    </row>
    <row r="286" spans="1:5">
      <c r="A286" s="2992"/>
      <c r="B286" s="2992"/>
      <c r="C286" s="2992"/>
      <c r="D286" s="2992"/>
      <c r="E286" s="2992"/>
    </row>
    <row r="287" spans="1:5">
      <c r="A287" s="2992"/>
      <c r="B287" s="2992"/>
      <c r="C287" s="2992"/>
      <c r="D287" s="2992"/>
      <c r="E287" s="2992"/>
    </row>
    <row r="288" spans="1:5">
      <c r="A288" s="2992"/>
      <c r="B288" s="2992"/>
      <c r="C288" s="2992"/>
      <c r="D288" s="2992"/>
      <c r="E288" s="2992"/>
    </row>
    <row r="289" spans="1:5">
      <c r="A289" s="2992"/>
      <c r="B289" s="2992"/>
      <c r="C289" s="2992"/>
      <c r="D289" s="2992"/>
      <c r="E289" s="2992"/>
    </row>
    <row r="290" spans="1:5">
      <c r="A290" s="2992"/>
      <c r="B290" s="2992"/>
      <c r="C290" s="2992"/>
      <c r="D290" s="2992"/>
      <c r="E290" s="2992"/>
    </row>
    <row r="291" spans="1:5">
      <c r="A291" s="2992"/>
      <c r="B291" s="2992"/>
      <c r="C291" s="2992"/>
      <c r="D291" s="2992"/>
      <c r="E291" s="2992"/>
    </row>
    <row r="292" spans="1:5">
      <c r="A292" s="2992"/>
      <c r="B292" s="2992"/>
      <c r="C292" s="2992"/>
      <c r="D292" s="2992"/>
      <c r="E292" s="2992"/>
    </row>
    <row r="293" spans="1:5">
      <c r="A293" s="2992"/>
      <c r="B293" s="2992"/>
      <c r="C293" s="2992"/>
      <c r="D293" s="2992"/>
      <c r="E293" s="2992"/>
    </row>
    <row r="294" spans="1:5">
      <c r="A294" s="2992"/>
      <c r="B294" s="2992"/>
      <c r="C294" s="2992"/>
      <c r="D294" s="2992"/>
      <c r="E294" s="2992"/>
    </row>
    <row r="295" spans="1:5">
      <c r="A295" s="2992"/>
      <c r="B295" s="2992"/>
      <c r="C295" s="2992"/>
      <c r="D295" s="2992"/>
      <c r="E295" s="2992"/>
    </row>
    <row r="296" spans="1:5">
      <c r="A296" s="2992"/>
      <c r="B296" s="2992"/>
      <c r="C296" s="2992"/>
      <c r="D296" s="2992"/>
      <c r="E296" s="2992"/>
    </row>
    <row r="297" spans="1:5">
      <c r="A297" s="2992"/>
      <c r="B297" s="2992"/>
      <c r="C297" s="2992"/>
      <c r="D297" s="2992"/>
      <c r="E297" s="2992"/>
    </row>
    <row r="298" spans="1:5">
      <c r="A298" s="2992"/>
      <c r="B298" s="2992"/>
      <c r="C298" s="2992"/>
      <c r="D298" s="2992"/>
      <c r="E298" s="2992"/>
    </row>
    <row r="299" spans="1:5">
      <c r="A299" s="2992"/>
      <c r="B299" s="2992"/>
      <c r="C299" s="2992"/>
      <c r="D299" s="2992"/>
      <c r="E299" s="2992"/>
    </row>
    <row r="300" spans="1:5">
      <c r="A300" s="2992"/>
      <c r="B300" s="2992"/>
      <c r="C300" s="2992"/>
      <c r="D300" s="2992"/>
      <c r="E300" s="2992"/>
    </row>
    <row r="301" spans="1:5">
      <c r="A301" s="2992"/>
      <c r="B301" s="2992"/>
      <c r="C301" s="2992"/>
      <c r="D301" s="2992"/>
      <c r="E301" s="2992"/>
    </row>
    <row r="302" spans="1:5">
      <c r="A302" s="2992"/>
      <c r="B302" s="2992"/>
      <c r="C302" s="2992"/>
      <c r="D302" s="2992"/>
      <c r="E302" s="2992"/>
    </row>
    <row r="303" spans="1:5">
      <c r="A303" s="2992"/>
      <c r="B303" s="2992"/>
      <c r="C303" s="2992"/>
      <c r="D303" s="2992"/>
      <c r="E303" s="2992"/>
    </row>
    <row r="304" spans="1:5">
      <c r="A304" s="2992"/>
      <c r="B304" s="2992"/>
      <c r="C304" s="2992"/>
      <c r="D304" s="2992"/>
      <c r="E304" s="2992"/>
    </row>
    <row r="305" spans="1:5">
      <c r="A305" s="2992"/>
      <c r="B305" s="2992"/>
      <c r="C305" s="2992"/>
      <c r="D305" s="2992"/>
      <c r="E305" s="2992"/>
    </row>
    <row r="306" spans="1:5">
      <c r="A306" s="2992"/>
      <c r="B306" s="2992"/>
      <c r="C306" s="2992"/>
      <c r="D306" s="2992"/>
      <c r="E306" s="2992"/>
    </row>
    <row r="307" spans="1:5">
      <c r="A307" s="2992"/>
      <c r="B307" s="2992"/>
      <c r="C307" s="2992"/>
      <c r="D307" s="2992"/>
      <c r="E307" s="2992"/>
    </row>
    <row r="308" spans="1:5">
      <c r="A308" s="2992"/>
      <c r="B308" s="2992"/>
      <c r="C308" s="2992"/>
      <c r="D308" s="2992"/>
      <c r="E308" s="2992"/>
    </row>
    <row r="309" spans="1:5">
      <c r="A309" s="2992"/>
      <c r="B309" s="2992"/>
      <c r="C309" s="2992"/>
      <c r="D309" s="2992"/>
      <c r="E309" s="2992"/>
    </row>
    <row r="310" spans="1:5">
      <c r="A310" s="2992"/>
      <c r="B310" s="2992"/>
      <c r="C310" s="2992"/>
      <c r="D310" s="2992"/>
      <c r="E310" s="2992"/>
    </row>
    <row r="311" spans="1:5">
      <c r="A311" s="2992"/>
      <c r="B311" s="2992"/>
      <c r="C311" s="2992"/>
      <c r="D311" s="2992"/>
      <c r="E311" s="2992"/>
    </row>
    <row r="312" spans="1:5">
      <c r="A312" s="2992"/>
      <c r="B312" s="2992"/>
      <c r="C312" s="2992"/>
      <c r="D312" s="2992"/>
      <c r="E312" s="2992"/>
    </row>
    <row r="313" spans="1:5">
      <c r="A313" s="2992"/>
      <c r="B313" s="2992"/>
      <c r="C313" s="2992"/>
      <c r="D313" s="2992"/>
      <c r="E313" s="2992"/>
    </row>
    <row r="314" spans="1:5">
      <c r="A314" s="2992"/>
      <c r="B314" s="2992"/>
      <c r="C314" s="2992"/>
      <c r="D314" s="2992"/>
      <c r="E314" s="2992"/>
    </row>
    <row r="315" spans="1:5">
      <c r="A315" s="2992"/>
      <c r="B315" s="2992"/>
      <c r="C315" s="2992"/>
      <c r="D315" s="2992"/>
      <c r="E315" s="2992"/>
    </row>
    <row r="316" spans="1:5">
      <c r="A316" s="2992"/>
      <c r="B316" s="2992"/>
      <c r="C316" s="2992"/>
      <c r="D316" s="2992"/>
      <c r="E316" s="2992"/>
    </row>
    <row r="317" spans="1:5">
      <c r="A317" s="2992"/>
      <c r="B317" s="2992"/>
      <c r="C317" s="2992"/>
      <c r="D317" s="2992"/>
      <c r="E317" s="2992"/>
    </row>
    <row r="318" spans="1:5">
      <c r="A318" s="2992"/>
      <c r="B318" s="2992"/>
      <c r="C318" s="2992"/>
      <c r="D318" s="2992"/>
      <c r="E318" s="2992"/>
    </row>
    <row r="319" spans="1:5">
      <c r="A319" s="2992"/>
      <c r="B319" s="2992"/>
      <c r="C319" s="2992"/>
      <c r="D319" s="2992"/>
      <c r="E319" s="2992"/>
    </row>
    <row r="320" spans="1:5">
      <c r="A320" s="2992"/>
      <c r="B320" s="2992"/>
      <c r="C320" s="2992"/>
      <c r="D320" s="2992"/>
      <c r="E320" s="2992"/>
    </row>
    <row r="321" spans="1:5">
      <c r="A321" s="2992"/>
      <c r="B321" s="2992"/>
      <c r="C321" s="2992"/>
      <c r="D321" s="2992"/>
      <c r="E321" s="2992"/>
    </row>
    <row r="322" spans="1:5">
      <c r="A322" s="2992"/>
      <c r="B322" s="2992"/>
      <c r="C322" s="2992"/>
      <c r="D322" s="2992"/>
      <c r="E322" s="2992"/>
    </row>
    <row r="323" spans="1:5">
      <c r="A323" s="2992"/>
      <c r="B323" s="2992"/>
      <c r="C323" s="2992"/>
      <c r="D323" s="2992"/>
      <c r="E323" s="2992"/>
    </row>
    <row r="324" spans="1:5">
      <c r="A324" s="2992"/>
      <c r="B324" s="2992"/>
      <c r="C324" s="2992"/>
      <c r="D324" s="2992"/>
      <c r="E324" s="2992"/>
    </row>
    <row r="325" spans="1:5">
      <c r="A325" s="2992"/>
      <c r="B325" s="2992"/>
      <c r="C325" s="2992"/>
      <c r="D325" s="2992"/>
      <c r="E325" s="2992"/>
    </row>
    <row r="326" spans="1:5">
      <c r="A326" s="2992"/>
      <c r="B326" s="2992"/>
      <c r="C326" s="2992"/>
      <c r="D326" s="2992"/>
      <c r="E326" s="2992"/>
    </row>
    <row r="327" spans="1:5">
      <c r="A327" s="2992"/>
      <c r="B327" s="2992"/>
      <c r="C327" s="2992"/>
      <c r="D327" s="2992"/>
      <c r="E327" s="2992"/>
    </row>
    <row r="328" spans="1:5">
      <c r="A328" s="2992"/>
      <c r="B328" s="2992"/>
      <c r="C328" s="2992"/>
      <c r="D328" s="2992"/>
      <c r="E328" s="2992"/>
    </row>
    <row r="329" spans="1:5">
      <c r="A329" s="2992"/>
      <c r="B329" s="2992"/>
      <c r="C329" s="2992"/>
      <c r="D329" s="2992"/>
      <c r="E329" s="2992"/>
    </row>
    <row r="330" spans="1:5">
      <c r="A330" s="2992"/>
      <c r="B330" s="2992"/>
      <c r="C330" s="2992"/>
      <c r="D330" s="2992"/>
      <c r="E330" s="2992"/>
    </row>
    <row r="331" spans="1:5">
      <c r="A331" s="2992"/>
      <c r="B331" s="2992"/>
      <c r="C331" s="2992"/>
      <c r="D331" s="2992"/>
      <c r="E331" s="2992"/>
    </row>
    <row r="332" spans="1:5">
      <c r="A332" s="2992"/>
      <c r="B332" s="2992"/>
      <c r="C332" s="2992"/>
      <c r="D332" s="2992"/>
      <c r="E332" s="2992"/>
    </row>
    <row r="333" spans="1:5">
      <c r="A333" s="2992"/>
      <c r="B333" s="2992"/>
      <c r="C333" s="2992"/>
      <c r="D333" s="2992"/>
      <c r="E333" s="2992"/>
    </row>
    <row r="334" spans="1:5">
      <c r="A334" s="2992"/>
      <c r="B334" s="2992"/>
      <c r="C334" s="2992"/>
      <c r="D334" s="2992"/>
      <c r="E334" s="2992"/>
    </row>
    <row r="335" spans="1:5">
      <c r="A335" s="2992"/>
      <c r="B335" s="2992"/>
      <c r="C335" s="2992"/>
      <c r="D335" s="2992"/>
      <c r="E335" s="2992"/>
    </row>
    <row r="336" spans="1:5">
      <c r="A336" s="2992"/>
      <c r="B336" s="2992"/>
      <c r="C336" s="2992"/>
      <c r="D336" s="2992"/>
      <c r="E336" s="2992"/>
    </row>
    <row r="337" spans="1:5">
      <c r="A337" s="2992"/>
      <c r="B337" s="2992"/>
      <c r="C337" s="2992"/>
      <c r="D337" s="2992"/>
      <c r="E337" s="2992"/>
    </row>
    <row r="338" spans="1:5">
      <c r="A338" s="2992"/>
      <c r="B338" s="2992"/>
      <c r="C338" s="2992"/>
      <c r="D338" s="2992"/>
      <c r="E338" s="2992"/>
    </row>
    <row r="339" spans="1:5">
      <c r="A339" s="2992"/>
      <c r="B339" s="2992"/>
      <c r="C339" s="2992"/>
      <c r="D339" s="2992"/>
      <c r="E339" s="2992"/>
    </row>
    <row r="340" spans="1:5">
      <c r="A340" s="2992"/>
      <c r="B340" s="2992"/>
      <c r="C340" s="2992"/>
      <c r="D340" s="2992"/>
      <c r="E340" s="2992"/>
    </row>
    <row r="341" spans="1:5">
      <c r="A341" s="2992"/>
      <c r="B341" s="2992"/>
      <c r="C341" s="2992"/>
      <c r="D341" s="2992"/>
      <c r="E341" s="2992"/>
    </row>
    <row r="342" spans="1:5">
      <c r="A342" s="2992"/>
      <c r="B342" s="2992"/>
      <c r="C342" s="2992"/>
      <c r="D342" s="2992"/>
      <c r="E342" s="2992"/>
    </row>
    <row r="343" spans="1:5">
      <c r="A343" s="2992"/>
      <c r="B343" s="2992"/>
      <c r="C343" s="2992"/>
      <c r="D343" s="2992"/>
      <c r="E343" s="2992"/>
    </row>
    <row r="344" spans="1:5">
      <c r="A344" s="2992"/>
      <c r="B344" s="2992"/>
      <c r="C344" s="2992"/>
      <c r="D344" s="2992"/>
      <c r="E344" s="2992"/>
    </row>
    <row r="345" spans="1:5">
      <c r="A345" s="2992"/>
      <c r="B345" s="2992"/>
      <c r="C345" s="2992"/>
      <c r="D345" s="2992"/>
      <c r="E345" s="2992"/>
    </row>
    <row r="346" spans="1:5">
      <c r="A346" s="2992"/>
      <c r="B346" s="2992"/>
      <c r="C346" s="2992"/>
      <c r="D346" s="2992"/>
      <c r="E346" s="2992"/>
    </row>
    <row r="347" spans="1:5">
      <c r="A347" s="2992"/>
      <c r="B347" s="2992"/>
      <c r="C347" s="2992"/>
      <c r="D347" s="2992"/>
      <c r="E347" s="2992"/>
    </row>
    <row r="348" spans="1:5">
      <c r="A348" s="2992"/>
      <c r="B348" s="2992"/>
      <c r="C348" s="2992"/>
      <c r="D348" s="2992"/>
      <c r="E348" s="2992"/>
    </row>
    <row r="349" spans="1:5">
      <c r="A349" s="2992"/>
      <c r="B349" s="2992"/>
      <c r="C349" s="2992"/>
      <c r="D349" s="2992"/>
      <c r="E349" s="2992"/>
    </row>
    <row r="350" spans="1:5">
      <c r="A350" s="2992"/>
      <c r="B350" s="2992"/>
      <c r="C350" s="2992"/>
      <c r="D350" s="2992"/>
      <c r="E350" s="2992"/>
    </row>
    <row r="351" spans="1:5">
      <c r="A351" s="2992"/>
      <c r="B351" s="2992"/>
      <c r="C351" s="2992"/>
      <c r="D351" s="2992"/>
      <c r="E351" s="2992"/>
    </row>
    <row r="352" spans="1:5">
      <c r="A352" s="2992"/>
      <c r="B352" s="2992"/>
      <c r="C352" s="2992"/>
      <c r="D352" s="2992"/>
      <c r="E352" s="2992"/>
    </row>
    <row r="353" spans="1:5">
      <c r="A353" s="2992"/>
      <c r="B353" s="2992"/>
      <c r="C353" s="2992"/>
      <c r="D353" s="2992"/>
      <c r="E353" s="2992"/>
    </row>
    <row r="354" spans="1:5">
      <c r="A354" s="2992"/>
      <c r="B354" s="2992"/>
      <c r="C354" s="2992"/>
      <c r="D354" s="2992"/>
      <c r="E354" s="2992"/>
    </row>
    <row r="355" spans="1:5">
      <c r="A355" s="2992"/>
      <c r="B355" s="2992"/>
      <c r="C355" s="2992"/>
      <c r="D355" s="2992"/>
      <c r="E355" s="2992"/>
    </row>
    <row r="356" spans="1:5">
      <c r="A356" s="2992"/>
      <c r="B356" s="2992"/>
      <c r="C356" s="2992"/>
      <c r="D356" s="2992"/>
      <c r="E356" s="2992"/>
    </row>
    <row r="357" spans="1:5">
      <c r="A357" s="2992"/>
      <c r="B357" s="2992"/>
      <c r="C357" s="2992"/>
      <c r="D357" s="2992"/>
      <c r="E357" s="2992"/>
    </row>
    <row r="358" spans="1:5">
      <c r="A358" s="2992"/>
      <c r="B358" s="2992"/>
      <c r="C358" s="2992"/>
      <c r="D358" s="2992"/>
      <c r="E358" s="2992"/>
    </row>
    <row r="359" spans="1:5">
      <c r="A359" s="2992"/>
      <c r="B359" s="2992"/>
      <c r="C359" s="2992"/>
      <c r="D359" s="2992"/>
      <c r="E359" s="2992"/>
    </row>
    <row r="360" spans="1:5">
      <c r="A360" s="2992"/>
      <c r="B360" s="2992"/>
      <c r="C360" s="2992"/>
      <c r="D360" s="2992"/>
      <c r="E360" s="2992"/>
    </row>
    <row r="361" spans="1:5">
      <c r="A361" s="2992"/>
      <c r="B361" s="2992"/>
      <c r="C361" s="2992"/>
      <c r="D361" s="2992"/>
      <c r="E361" s="2992"/>
    </row>
    <row r="362" spans="1:5">
      <c r="A362" s="2992"/>
      <c r="B362" s="2992"/>
      <c r="C362" s="2992"/>
      <c r="D362" s="2992"/>
      <c r="E362" s="2992"/>
    </row>
    <row r="363" spans="1:5">
      <c r="A363" s="2992"/>
      <c r="B363" s="2992"/>
      <c r="C363" s="2992"/>
      <c r="D363" s="2992"/>
      <c r="E363" s="2992"/>
    </row>
    <row r="364" spans="1:5">
      <c r="A364" s="2992"/>
      <c r="B364" s="2992"/>
      <c r="C364" s="2992"/>
      <c r="D364" s="2992"/>
      <c r="E364" s="2992"/>
    </row>
    <row r="365" spans="1:5">
      <c r="A365" s="2992"/>
      <c r="B365" s="2992"/>
      <c r="C365" s="2992"/>
      <c r="D365" s="2992"/>
      <c r="E365" s="2992"/>
    </row>
    <row r="366" spans="1:5">
      <c r="A366" s="2992"/>
      <c r="B366" s="2992"/>
      <c r="C366" s="2992"/>
      <c r="D366" s="2992"/>
      <c r="E366" s="2992"/>
    </row>
    <row r="367" spans="1:5">
      <c r="A367" s="2992"/>
      <c r="B367" s="2992"/>
      <c r="C367" s="2992"/>
      <c r="D367" s="2992"/>
      <c r="E367" s="2992"/>
    </row>
    <row r="368" spans="1:5">
      <c r="A368" s="2992"/>
      <c r="B368" s="2992"/>
      <c r="C368" s="2992"/>
      <c r="D368" s="2992"/>
      <c r="E368" s="2992"/>
    </row>
    <row r="369" spans="1:5">
      <c r="A369" s="2992"/>
      <c r="B369" s="2992"/>
      <c r="C369" s="2992"/>
      <c r="D369" s="2992"/>
      <c r="E369" s="2992"/>
    </row>
    <row r="370" spans="1:5">
      <c r="A370" s="2992"/>
      <c r="B370" s="2992"/>
      <c r="C370" s="2992"/>
      <c r="D370" s="2992"/>
      <c r="E370" s="2992"/>
    </row>
    <row r="371" spans="1:5">
      <c r="A371" s="2992"/>
      <c r="B371" s="2992"/>
      <c r="C371" s="2992"/>
      <c r="D371" s="2992"/>
      <c r="E371" s="2992"/>
    </row>
    <row r="372" spans="1:5">
      <c r="A372" s="2992"/>
      <c r="B372" s="2992"/>
      <c r="C372" s="2992"/>
      <c r="D372" s="2992"/>
      <c r="E372" s="2992"/>
    </row>
    <row r="373" spans="1:5">
      <c r="A373" s="2992"/>
      <c r="B373" s="2992"/>
      <c r="C373" s="2992"/>
      <c r="D373" s="2992"/>
      <c r="E373" s="2992"/>
    </row>
    <row r="374" spans="1:5">
      <c r="A374" s="2992"/>
      <c r="B374" s="2992"/>
      <c r="C374" s="2992"/>
      <c r="D374" s="2992"/>
      <c r="E374" s="2992"/>
    </row>
    <row r="375" spans="1:5">
      <c r="A375" s="2992"/>
      <c r="B375" s="2992"/>
      <c r="C375" s="2992"/>
      <c r="D375" s="2992"/>
      <c r="E375" s="2992"/>
    </row>
    <row r="376" spans="1:5">
      <c r="A376" s="2992"/>
      <c r="B376" s="2992"/>
      <c r="C376" s="2992"/>
      <c r="D376" s="2992"/>
      <c r="E376" s="2992"/>
    </row>
    <row r="377" spans="1:5">
      <c r="A377" s="2992"/>
      <c r="B377" s="2992"/>
      <c r="C377" s="2992"/>
      <c r="D377" s="2992"/>
      <c r="E377" s="2992"/>
    </row>
    <row r="378" spans="1:5">
      <c r="A378" s="2992"/>
      <c r="B378" s="2992"/>
      <c r="C378" s="2992"/>
      <c r="D378" s="2992"/>
      <c r="E378" s="2992"/>
    </row>
    <row r="379" spans="1:5">
      <c r="A379" s="2992"/>
      <c r="B379" s="2992"/>
      <c r="C379" s="2992"/>
      <c r="D379" s="2992"/>
      <c r="E379" s="2992"/>
    </row>
    <row r="380" spans="1:5">
      <c r="A380" s="2992"/>
      <c r="B380" s="2992"/>
      <c r="C380" s="2992"/>
      <c r="D380" s="2992"/>
      <c r="E380" s="2992"/>
    </row>
    <row r="381" spans="1:5">
      <c r="A381" s="2992"/>
      <c r="B381" s="2992"/>
      <c r="C381" s="2992"/>
      <c r="D381" s="2992"/>
      <c r="E381" s="2992"/>
    </row>
    <row r="382" spans="1:5">
      <c r="A382" s="2992"/>
      <c r="B382" s="2992"/>
      <c r="C382" s="2992"/>
      <c r="D382" s="2992"/>
      <c r="E382" s="2992"/>
    </row>
    <row r="383" spans="1:5">
      <c r="A383" s="2992"/>
      <c r="B383" s="2992"/>
      <c r="C383" s="2992"/>
      <c r="D383" s="2992"/>
      <c r="E383" s="2992"/>
    </row>
    <row r="384" spans="1:5">
      <c r="A384" s="2992"/>
      <c r="B384" s="2992"/>
      <c r="C384" s="2992"/>
      <c r="D384" s="2992"/>
      <c r="E384" s="2992"/>
    </row>
    <row r="385" spans="1:5">
      <c r="A385" s="2992"/>
      <c r="B385" s="2992"/>
      <c r="C385" s="2992"/>
      <c r="D385" s="2992"/>
      <c r="E385" s="2992"/>
    </row>
    <row r="386" spans="1:5">
      <c r="A386" s="2992"/>
      <c r="B386" s="2992"/>
      <c r="C386" s="2992"/>
      <c r="D386" s="2992"/>
      <c r="E386" s="2992"/>
    </row>
    <row r="387" spans="1:5">
      <c r="A387" s="2992"/>
      <c r="B387" s="2992"/>
      <c r="C387" s="2992"/>
      <c r="D387" s="2992"/>
      <c r="E387" s="2992"/>
    </row>
    <row r="388" spans="1:5">
      <c r="A388" s="2992"/>
      <c r="B388" s="2992"/>
      <c r="C388" s="2992"/>
      <c r="D388" s="2992"/>
      <c r="E388" s="2992"/>
    </row>
    <row r="389" spans="1:5">
      <c r="A389" s="2992"/>
      <c r="B389" s="2992"/>
      <c r="C389" s="2992"/>
      <c r="D389" s="2992"/>
      <c r="E389" s="2992"/>
    </row>
    <row r="390" spans="1:5">
      <c r="A390" s="2992"/>
      <c r="B390" s="2992"/>
      <c r="C390" s="2992"/>
      <c r="D390" s="2992"/>
      <c r="E390" s="2992"/>
    </row>
    <row r="391" spans="1:5">
      <c r="A391" s="2992"/>
      <c r="B391" s="2992"/>
      <c r="C391" s="2992"/>
      <c r="D391" s="2992"/>
      <c r="E391" s="2992"/>
    </row>
    <row r="392" spans="1:5">
      <c r="A392" s="2992"/>
      <c r="B392" s="2992"/>
      <c r="C392" s="2992"/>
      <c r="D392" s="2992"/>
      <c r="E392" s="2992"/>
    </row>
    <row r="393" spans="1:5">
      <c r="A393" s="2992"/>
      <c r="B393" s="2992"/>
      <c r="C393" s="2992"/>
      <c r="D393" s="2992"/>
      <c r="E393" s="2992"/>
    </row>
    <row r="394" spans="1:5">
      <c r="A394" s="2992"/>
      <c r="B394" s="2992"/>
      <c r="C394" s="2992"/>
      <c r="D394" s="2992"/>
      <c r="E394" s="2992"/>
    </row>
    <row r="395" spans="1:5">
      <c r="A395" s="2992"/>
      <c r="B395" s="2992"/>
      <c r="C395" s="2992"/>
      <c r="D395" s="2992"/>
      <c r="E395" s="2992"/>
    </row>
    <row r="396" spans="1:5">
      <c r="A396" s="2992"/>
      <c r="B396" s="2992"/>
      <c r="C396" s="2992"/>
      <c r="D396" s="2992"/>
      <c r="E396" s="2992"/>
    </row>
    <row r="397" spans="1:5">
      <c r="A397" s="2992"/>
      <c r="B397" s="2992"/>
      <c r="C397" s="2992"/>
      <c r="D397" s="2992"/>
      <c r="E397" s="2992"/>
    </row>
    <row r="398" spans="1:5">
      <c r="A398" s="2992"/>
      <c r="B398" s="2992"/>
      <c r="C398" s="2992"/>
      <c r="D398" s="2992"/>
      <c r="E398" s="2992"/>
    </row>
    <row r="399" spans="1:5">
      <c r="A399" s="2992"/>
      <c r="B399" s="2992"/>
      <c r="C399" s="2992"/>
      <c r="D399" s="2992"/>
      <c r="E399" s="2992"/>
    </row>
    <row r="400" spans="1:5">
      <c r="A400" s="2992"/>
      <c r="B400" s="2992"/>
      <c r="C400" s="2992"/>
      <c r="D400" s="2992"/>
      <c r="E400" s="2992"/>
    </row>
    <row r="401" spans="1:5">
      <c r="A401" s="2992"/>
      <c r="B401" s="2992"/>
      <c r="C401" s="2992"/>
      <c r="D401" s="2992"/>
      <c r="E401" s="2992"/>
    </row>
    <row r="402" spans="1:5">
      <c r="A402" s="2992"/>
      <c r="B402" s="2992"/>
      <c r="C402" s="2992"/>
      <c r="D402" s="2992"/>
      <c r="E402" s="2992"/>
    </row>
    <row r="403" spans="1:5">
      <c r="A403" s="2992"/>
      <c r="B403" s="2992"/>
      <c r="C403" s="2992"/>
      <c r="D403" s="2992"/>
      <c r="E403" s="2992"/>
    </row>
    <row r="404" spans="1:5">
      <c r="A404" s="2992"/>
      <c r="B404" s="2992"/>
      <c r="C404" s="2992"/>
      <c r="D404" s="2992"/>
      <c r="E404" s="2992"/>
    </row>
    <row r="405" spans="1:5">
      <c r="A405" s="2992"/>
      <c r="B405" s="2992"/>
      <c r="C405" s="2992"/>
      <c r="D405" s="2992"/>
      <c r="E405" s="2992"/>
    </row>
    <row r="406" spans="1:5">
      <c r="A406" s="2992"/>
      <c r="B406" s="2992"/>
      <c r="C406" s="2992"/>
      <c r="D406" s="2992"/>
      <c r="E406" s="2992"/>
    </row>
    <row r="407" spans="1:5">
      <c r="A407" s="2992"/>
      <c r="B407" s="2992"/>
      <c r="C407" s="2992"/>
      <c r="D407" s="2992"/>
      <c r="E407" s="2992"/>
    </row>
    <row r="408" spans="1:5">
      <c r="A408" s="2992"/>
      <c r="B408" s="2992"/>
      <c r="C408" s="2992"/>
      <c r="D408" s="2992"/>
      <c r="E408" s="2992"/>
    </row>
    <row r="409" spans="1:5">
      <c r="A409" s="2992"/>
      <c r="B409" s="2992"/>
      <c r="C409" s="2992"/>
      <c r="D409" s="2992"/>
      <c r="E409" s="2992"/>
    </row>
    <row r="410" spans="1:5">
      <c r="A410" s="2992"/>
      <c r="B410" s="2992"/>
      <c r="C410" s="2992"/>
      <c r="D410" s="2992"/>
      <c r="E410" s="2992"/>
    </row>
    <row r="411" spans="1:5">
      <c r="A411" s="2992"/>
      <c r="B411" s="2992"/>
      <c r="C411" s="2992"/>
      <c r="D411" s="2992"/>
      <c r="E411" s="2992"/>
    </row>
    <row r="412" spans="1:5">
      <c r="A412" s="2992"/>
      <c r="B412" s="2992"/>
      <c r="C412" s="2992"/>
      <c r="D412" s="2992"/>
      <c r="E412" s="2992"/>
    </row>
    <row r="413" spans="1:5">
      <c r="A413" s="2992"/>
      <c r="B413" s="2992"/>
      <c r="C413" s="2992"/>
      <c r="D413" s="2992"/>
      <c r="E413" s="2992"/>
    </row>
    <row r="414" spans="1:5">
      <c r="A414" s="2992"/>
      <c r="B414" s="2992"/>
      <c r="C414" s="2992"/>
      <c r="D414" s="2992"/>
      <c r="E414" s="2992"/>
    </row>
    <row r="415" spans="1:5">
      <c r="A415" s="2992"/>
      <c r="B415" s="2992"/>
      <c r="C415" s="2992"/>
      <c r="D415" s="2992"/>
      <c r="E415" s="2992"/>
    </row>
    <row r="416" spans="1:5">
      <c r="A416" s="2992"/>
      <c r="B416" s="2992"/>
      <c r="C416" s="2992"/>
      <c r="D416" s="2992"/>
      <c r="E416" s="2992"/>
    </row>
    <row r="417" spans="1:5">
      <c r="A417" s="2992"/>
      <c r="B417" s="2992"/>
      <c r="C417" s="2992"/>
      <c r="D417" s="2992"/>
      <c r="E417" s="2992"/>
    </row>
    <row r="418" spans="1:5">
      <c r="A418" s="2992"/>
      <c r="B418" s="2992"/>
      <c r="C418" s="2992"/>
      <c r="D418" s="2992"/>
      <c r="E418" s="2992"/>
    </row>
    <row r="419" spans="1:5">
      <c r="A419" s="2992"/>
      <c r="B419" s="2992"/>
      <c r="C419" s="2992"/>
      <c r="D419" s="2992"/>
      <c r="E419" s="2992"/>
    </row>
    <row r="420" spans="1:5">
      <c r="A420" s="2992"/>
      <c r="B420" s="2992"/>
      <c r="C420" s="2992"/>
      <c r="D420" s="2992"/>
      <c r="E420" s="2992"/>
    </row>
    <row r="421" spans="1:5">
      <c r="A421" s="2992"/>
      <c r="B421" s="2992"/>
      <c r="C421" s="2992"/>
      <c r="D421" s="2992"/>
      <c r="E421" s="2992"/>
    </row>
    <row r="422" spans="1:5">
      <c r="A422" s="2992"/>
      <c r="B422" s="2992"/>
      <c r="C422" s="2992"/>
      <c r="D422" s="2992"/>
      <c r="E422" s="2992"/>
    </row>
    <row r="423" spans="1:5">
      <c r="A423" s="2992"/>
      <c r="B423" s="2992"/>
      <c r="C423" s="2992"/>
      <c r="D423" s="2992"/>
      <c r="E423" s="2992"/>
    </row>
    <row r="424" spans="1:5">
      <c r="A424" s="2992"/>
      <c r="B424" s="2992"/>
      <c r="C424" s="2992"/>
      <c r="D424" s="2992"/>
      <c r="E424" s="2992"/>
    </row>
    <row r="425" spans="1:5">
      <c r="A425" s="2992"/>
      <c r="B425" s="2992"/>
      <c r="C425" s="2992"/>
      <c r="D425" s="2992"/>
      <c r="E425" s="2992"/>
    </row>
    <row r="426" spans="1:5">
      <c r="A426" s="2992"/>
      <c r="B426" s="2992"/>
      <c r="C426" s="2992"/>
      <c r="D426" s="2992"/>
      <c r="E426" s="2992"/>
    </row>
    <row r="427" spans="1:5">
      <c r="A427" s="2992"/>
      <c r="B427" s="2992"/>
      <c r="C427" s="2992"/>
      <c r="D427" s="2992"/>
      <c r="E427" s="2992"/>
    </row>
    <row r="428" spans="1:5">
      <c r="A428" s="2992"/>
      <c r="B428" s="2992"/>
      <c r="C428" s="2992"/>
      <c r="D428" s="2992"/>
      <c r="E428" s="2992"/>
    </row>
    <row r="429" spans="1:5">
      <c r="A429" s="2992"/>
      <c r="B429" s="2992"/>
      <c r="C429" s="2992"/>
      <c r="D429" s="2992"/>
      <c r="E429" s="2992"/>
    </row>
    <row r="430" spans="1:5">
      <c r="A430" s="2992"/>
      <c r="B430" s="2992"/>
      <c r="C430" s="2992"/>
      <c r="D430" s="2992"/>
      <c r="E430" s="2992"/>
    </row>
    <row r="431" spans="1:5">
      <c r="A431" s="2992"/>
      <c r="B431" s="2992"/>
      <c r="C431" s="2992"/>
      <c r="D431" s="2992"/>
      <c r="E431" s="2992"/>
    </row>
    <row r="432" spans="1:5">
      <c r="A432" s="2992"/>
      <c r="B432" s="2992"/>
      <c r="C432" s="2992"/>
      <c r="D432" s="2992"/>
      <c r="E432" s="2992"/>
    </row>
    <row r="433" spans="1:5">
      <c r="A433" s="2992"/>
      <c r="B433" s="2992"/>
      <c r="C433" s="2992"/>
      <c r="D433" s="2992"/>
      <c r="E433" s="2992"/>
    </row>
    <row r="434" spans="1:5">
      <c r="A434" s="2992"/>
      <c r="B434" s="2992"/>
      <c r="C434" s="2992"/>
      <c r="D434" s="2992"/>
      <c r="E434" s="2992"/>
    </row>
    <row r="435" spans="1:5">
      <c r="A435" s="2992"/>
      <c r="B435" s="2992"/>
      <c r="C435" s="2992"/>
      <c r="D435" s="2992"/>
      <c r="E435" s="2992"/>
    </row>
    <row r="436" spans="1:5">
      <c r="A436" s="2992"/>
      <c r="B436" s="2992"/>
      <c r="C436" s="2992"/>
      <c r="D436" s="2992"/>
      <c r="E436" s="2992"/>
    </row>
    <row r="437" spans="1:5">
      <c r="A437" s="2992"/>
      <c r="B437" s="2992"/>
      <c r="C437" s="2992"/>
      <c r="D437" s="2992"/>
      <c r="E437" s="2992"/>
    </row>
    <row r="438" spans="1:5">
      <c r="A438" s="2992"/>
      <c r="B438" s="2992"/>
      <c r="C438" s="2992"/>
      <c r="D438" s="2992"/>
      <c r="E438" s="2992"/>
    </row>
    <row r="439" spans="1:5">
      <c r="A439" s="2992"/>
      <c r="B439" s="2992"/>
      <c r="C439" s="2992"/>
      <c r="D439" s="2992"/>
      <c r="E439" s="2992"/>
    </row>
    <row r="440" spans="1:5">
      <c r="A440" s="2992"/>
      <c r="B440" s="2992"/>
      <c r="C440" s="2992"/>
      <c r="D440" s="2992"/>
      <c r="E440" s="2992"/>
    </row>
    <row r="441" spans="1:5">
      <c r="A441" s="2992"/>
      <c r="B441" s="2992"/>
      <c r="C441" s="2992"/>
      <c r="D441" s="2992"/>
      <c r="E441" s="2992"/>
    </row>
    <row r="442" spans="1:5">
      <c r="A442" s="2992"/>
      <c r="B442" s="2992"/>
      <c r="C442" s="2992"/>
      <c r="D442" s="2992"/>
      <c r="E442" s="2992"/>
    </row>
    <row r="443" spans="1:5">
      <c r="A443" s="2992"/>
      <c r="B443" s="2992"/>
      <c r="C443" s="2992"/>
      <c r="D443" s="2992"/>
      <c r="E443" s="2992"/>
    </row>
    <row r="444" spans="1:5">
      <c r="A444" s="2992"/>
      <c r="B444" s="2992"/>
      <c r="C444" s="2992"/>
      <c r="D444" s="2992"/>
      <c r="E444" s="2992"/>
    </row>
    <row r="445" spans="1:5">
      <c r="A445" s="2992"/>
      <c r="B445" s="2992"/>
      <c r="C445" s="2992"/>
      <c r="D445" s="2992"/>
      <c r="E445" s="2992"/>
    </row>
    <row r="446" spans="1:5">
      <c r="A446" s="2992"/>
      <c r="B446" s="2992"/>
      <c r="C446" s="2992"/>
      <c r="D446" s="2992"/>
      <c r="E446" s="2992"/>
    </row>
    <row r="447" spans="1:5">
      <c r="A447" s="2992"/>
      <c r="B447" s="2992"/>
      <c r="C447" s="2992"/>
      <c r="D447" s="2992"/>
      <c r="E447" s="2992"/>
    </row>
    <row r="448" spans="1:5">
      <c r="A448" s="2992"/>
      <c r="B448" s="2992"/>
      <c r="C448" s="2992"/>
      <c r="D448" s="2992"/>
      <c r="E448" s="2992"/>
    </row>
    <row r="449" spans="1:5">
      <c r="A449" s="2992"/>
      <c r="B449" s="2992"/>
      <c r="C449" s="2992"/>
      <c r="D449" s="2992"/>
      <c r="E449" s="2992"/>
    </row>
    <row r="450" spans="1:5">
      <c r="A450" s="2992"/>
      <c r="B450" s="2992"/>
      <c r="C450" s="2992"/>
      <c r="D450" s="2992"/>
      <c r="E450" s="2992"/>
    </row>
    <row r="451" spans="1:5">
      <c r="A451" s="2992"/>
      <c r="B451" s="2992"/>
      <c r="C451" s="2992"/>
      <c r="D451" s="2992"/>
      <c r="E451" s="2992"/>
    </row>
    <row r="452" spans="1:5">
      <c r="A452" s="2992"/>
      <c r="B452" s="2992"/>
      <c r="C452" s="2992"/>
      <c r="D452" s="2992"/>
      <c r="E452" s="2992"/>
    </row>
  </sheetData>
  <mergeCells count="21">
    <mergeCell ref="A57:C57"/>
    <mergeCell ref="F1:F2"/>
    <mergeCell ref="A1:A2"/>
    <mergeCell ref="B1:B2"/>
    <mergeCell ref="C1:C2"/>
    <mergeCell ref="E1:E2"/>
    <mergeCell ref="A3:A40"/>
    <mergeCell ref="B3:B6"/>
    <mergeCell ref="B7:B11"/>
    <mergeCell ref="B12:B29"/>
    <mergeCell ref="B30:B40"/>
    <mergeCell ref="G37:G40"/>
    <mergeCell ref="A41:A56"/>
    <mergeCell ref="B41:B52"/>
    <mergeCell ref="B53:B56"/>
    <mergeCell ref="F53:F56"/>
    <mergeCell ref="G1:G2"/>
    <mergeCell ref="G3:G10"/>
    <mergeCell ref="G12:G18"/>
    <mergeCell ref="G19:G29"/>
    <mergeCell ref="G30:G36"/>
  </mergeCells>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A25" workbookViewId="0">
      <selection activeCell="A37" sqref="A37"/>
    </sheetView>
  </sheetViews>
  <sheetFormatPr defaultRowHeight="13.5"/>
  <sheetData>
    <row r="1" spans="1:1">
      <c r="A1" s="2952" t="s">
        <v>3353</v>
      </c>
    </row>
    <row r="37" spans="1:1">
      <c r="A37" s="2952" t="s">
        <v>3354</v>
      </c>
    </row>
  </sheetData>
  <phoneticPr fontId="1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35" t="s">
        <v>1662</v>
      </c>
      <c r="B1" s="3035"/>
      <c r="C1" s="3035"/>
      <c r="D1" s="3035"/>
    </row>
    <row r="2" spans="1:4" ht="18">
      <c r="A2" s="3036" t="s">
        <v>1646</v>
      </c>
      <c r="B2" s="3036"/>
      <c r="C2" s="3036"/>
      <c r="D2" s="3036"/>
    </row>
    <row r="3" spans="1:4" ht="18.75">
      <c r="A3" s="1973" t="s">
        <v>1647</v>
      </c>
      <c r="B3" s="1973" t="s">
        <v>1648</v>
      </c>
      <c r="C3" s="1973" t="s">
        <v>1649</v>
      </c>
      <c r="D3" s="1973" t="s">
        <v>1650</v>
      </c>
    </row>
    <row r="4" spans="1:4" ht="56.25" customHeight="1">
      <c r="A4" s="1974" t="str">
        <f>项目基本情况!B4</f>
        <v>吴薇</v>
      </c>
      <c r="B4" s="1975">
        <f ca="1">项目基本情况!C4</f>
        <v>1419970001</v>
      </c>
      <c r="C4" s="1976"/>
      <c r="D4" s="1977" t="s">
        <v>1651</v>
      </c>
    </row>
    <row r="5" spans="1:4" ht="56.25" customHeight="1">
      <c r="A5" s="1974" t="str">
        <f>项目基本情况!D4</f>
        <v>刘梅</v>
      </c>
      <c r="B5" s="1975">
        <f ca="1">项目基本情况!E4</f>
        <v>1120140022</v>
      </c>
      <c r="C5" s="1978"/>
      <c r="D5" s="1977" t="s">
        <v>1651</v>
      </c>
    </row>
    <row r="6" spans="1:4" ht="18">
      <c r="A6" s="3036" t="s">
        <v>1652</v>
      </c>
      <c r="B6" s="3036"/>
      <c r="C6" s="3036"/>
      <c r="D6" s="3036"/>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37" t="s">
        <v>1655</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29" t="str">
        <f>IF(项目基本情况!B8="抵押","4.本次评估估价师所知悉的法定优先受偿款情况说明如下：","——")</f>
        <v>4.本次评估估价师所知悉的法定优先受偿款情况说明如下：</v>
      </c>
      <c r="B14" s="3034"/>
      <c r="C14" s="3034"/>
      <c r="D14" s="3034"/>
    </row>
    <row r="15" spans="1:4" ht="42" customHeight="1">
      <c r="A15" s="3029" t="str">
        <f>IF(项目基本情况!B8="抵押","（1）"&amp;CONCATENATE(项目基本情况!L20,项目基本情况!L21,项目基本情况!L22),"——")</f>
        <v>（1）根据估价对象《国有土地使用证》复印件、，截至价值时点，估价对象抵押权未见登记。</v>
      </c>
      <c r="B15" s="3029"/>
      <c r="C15" s="3029"/>
      <c r="D15" s="3029"/>
    </row>
    <row r="16" spans="1:4" ht="30" customHeight="1">
      <c r="A16" s="3031" t="s">
        <v>1656</v>
      </c>
      <c r="B16" s="3031"/>
      <c r="C16" s="3031"/>
      <c r="D16" s="3031"/>
    </row>
    <row r="17" spans="1:4" ht="144" customHeight="1">
      <c r="A17" s="3031" t="s">
        <v>1657</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1658</v>
      </c>
      <c r="B22" s="3033"/>
      <c r="C22" s="3033"/>
      <c r="D22" s="3033"/>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30">
        <v>42551</v>
      </c>
      <c r="D31" s="30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43" t="s">
        <v>1669</v>
      </c>
      <c r="B15" s="3038" t="s">
        <v>136</v>
      </c>
      <c r="C15" s="3039"/>
    </row>
    <row r="16" spans="1:7" ht="13.5">
      <c r="A16" s="3044"/>
      <c r="B16" s="3038" t="s">
        <v>69</v>
      </c>
      <c r="C16" s="3039"/>
    </row>
    <row r="17" spans="1:3" ht="13.5">
      <c r="A17" s="3044"/>
      <c r="B17" s="3041" t="s">
        <v>1670</v>
      </c>
      <c r="C17" s="1996" t="s">
        <v>1669</v>
      </c>
    </row>
    <row r="18" spans="1:3" ht="13.5">
      <c r="A18" s="3044"/>
      <c r="B18" s="3041"/>
      <c r="C18" s="1996" t="s">
        <v>1671</v>
      </c>
    </row>
    <row r="19" spans="1:3" ht="13.5">
      <c r="A19" s="3044"/>
      <c r="B19" s="3041"/>
      <c r="C19" s="1996" t="s">
        <v>1672</v>
      </c>
    </row>
    <row r="20" spans="1:3" ht="13.5">
      <c r="A20" s="3045"/>
      <c r="B20" s="3040" t="s">
        <v>1673</v>
      </c>
      <c r="C20" s="3039"/>
    </row>
    <row r="21" spans="1:3" ht="13.5">
      <c r="A21" s="1997" t="s">
        <v>1674</v>
      </c>
      <c r="B21" s="1998"/>
      <c r="C21" s="1999"/>
    </row>
    <row r="22" spans="1:3" ht="13.5">
      <c r="A22" s="3042" t="s">
        <v>1675</v>
      </c>
      <c r="B22" s="3040" t="s">
        <v>1676</v>
      </c>
      <c r="C22" s="3039"/>
    </row>
    <row r="23" spans="1:3" ht="13.5">
      <c r="A23" s="3042"/>
      <c r="B23" s="3040" t="s">
        <v>1677</v>
      </c>
      <c r="C23" s="3039"/>
    </row>
    <row r="24" spans="1:3" ht="13.5">
      <c r="A24" s="3042"/>
      <c r="B24" s="3040" t="s">
        <v>1678</v>
      </c>
      <c r="C24" s="3039"/>
    </row>
    <row r="25" spans="1:3" ht="13.5">
      <c r="A25" s="3042"/>
      <c r="B25" s="3041" t="s">
        <v>1679</v>
      </c>
      <c r="C25" s="1996" t="s">
        <v>1680</v>
      </c>
    </row>
    <row r="26" spans="1:3" ht="13.5">
      <c r="A26" s="3042"/>
      <c r="B26" s="3041"/>
      <c r="C26" s="1996" t="s">
        <v>1681</v>
      </c>
    </row>
    <row r="27" spans="1:3" ht="13.5">
      <c r="A27" s="3042"/>
      <c r="B27" s="3041"/>
      <c r="C27" s="1996" t="s">
        <v>1682</v>
      </c>
    </row>
    <row r="28" spans="1:3" ht="13.5">
      <c r="A28" s="3042"/>
      <c r="B28" s="3041"/>
      <c r="C28" s="1996" t="s">
        <v>1683</v>
      </c>
    </row>
    <row r="29" spans="1:3" ht="13.5">
      <c r="A29" s="3042"/>
      <c r="B29" s="3041"/>
      <c r="C29" s="1996" t="s">
        <v>1684</v>
      </c>
    </row>
    <row r="30" spans="1:3" ht="13.5">
      <c r="A30" s="3042"/>
      <c r="B30" s="3041"/>
      <c r="C30" s="1996" t="s">
        <v>1685</v>
      </c>
    </row>
    <row r="31" spans="1:3" ht="13.5">
      <c r="A31" s="3042"/>
      <c r="B31" s="3041"/>
      <c r="C31" s="1996" t="s">
        <v>1686</v>
      </c>
    </row>
    <row r="32" spans="1:3" ht="13.5">
      <c r="A32" s="3042"/>
      <c r="B32" s="3041"/>
      <c r="C32" s="1996" t="s">
        <v>1687</v>
      </c>
    </row>
    <row r="33" spans="1:3" ht="13.5">
      <c r="A33" s="3042"/>
      <c r="B33" s="3041"/>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43277</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t="s">
        <v>3037</v>
      </c>
      <c r="B12" s="1018">
        <v>1120110054</v>
      </c>
      <c r="C12" s="2934">
        <v>43937</v>
      </c>
      <c r="D12" s="1698" t="s">
        <v>3037</v>
      </c>
      <c r="E12" s="1018">
        <v>2008110060</v>
      </c>
      <c r="F12" s="1026">
        <v>47177</v>
      </c>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1149</v>
      </c>
      <c r="B15" s="1018">
        <v>1120070085</v>
      </c>
      <c r="C15" s="2340">
        <v>43814</v>
      </c>
      <c r="D15" s="2344" t="s">
        <v>1149</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1333</v>
      </c>
      <c r="B24" s="1699" t="s">
        <v>1333</v>
      </c>
      <c r="C24" s="2341" t="s">
        <v>1333</v>
      </c>
      <c r="D24" s="2344" t="s">
        <v>1333</v>
      </c>
      <c r="E24" s="1699" t="s">
        <v>1333</v>
      </c>
      <c r="F24" s="1699" t="s">
        <v>1333</v>
      </c>
    </row>
    <row r="25" spans="1:7" ht="24" customHeight="1">
      <c r="A25" s="3046" t="s">
        <v>846</v>
      </c>
      <c r="B25" s="3046"/>
      <c r="C25" s="3046"/>
      <c r="D25" s="3046"/>
      <c r="E25" s="3046"/>
      <c r="F25" s="3046"/>
      <c r="G25" s="3046"/>
    </row>
    <row r="26" spans="1:7" s="1021" customFormat="1" ht="24" customHeight="1">
      <c r="A26" s="3047" t="s">
        <v>847</v>
      </c>
      <c r="B26" s="3047"/>
      <c r="C26" s="3048"/>
      <c r="D26" s="3049" t="s">
        <v>848</v>
      </c>
      <c r="E26" s="3047"/>
      <c r="F26" s="3047"/>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21" priority="62">
      <formula>AND($C28-TODAY()&lt;30,TODAY()&lt;$C28)</formula>
    </cfRule>
  </conditionalFormatting>
  <conditionalFormatting sqref="C28 F4">
    <cfRule type="cellIs" dxfId="220" priority="64" stopIfTrue="1" operator="lessThan">
      <formula>$B$2</formula>
    </cfRule>
  </conditionalFormatting>
  <conditionalFormatting sqref="C5">
    <cfRule type="expression" dxfId="219" priority="59">
      <formula>AND($C5-TODAY()&lt;30,TODAY()&lt;$C5)</formula>
    </cfRule>
  </conditionalFormatting>
  <conditionalFormatting sqref="C5 F5">
    <cfRule type="cellIs" dxfId="218" priority="60" stopIfTrue="1" operator="lessThan">
      <formula>$B$2</formula>
    </cfRule>
  </conditionalFormatting>
  <conditionalFormatting sqref="F6 F8 F10">
    <cfRule type="cellIs" dxfId="217" priority="58" stopIfTrue="1" operator="lessThan">
      <formula>$B$2</formula>
    </cfRule>
  </conditionalFormatting>
  <conditionalFormatting sqref="C4:C11 C13:C23">
    <cfRule type="expression" dxfId="216" priority="56">
      <formula>AND($C4-TODAY()&lt;30,TODAY()&lt;$C4)</formula>
    </cfRule>
  </conditionalFormatting>
  <conditionalFormatting sqref="F7 F9 F11 C4:C11 C13:C23">
    <cfRule type="cellIs" dxfId="215" priority="57" stopIfTrue="1" operator="lessThan">
      <formula>$B$2</formula>
    </cfRule>
  </conditionalFormatting>
  <conditionalFormatting sqref="C14">
    <cfRule type="expression" dxfId="214" priority="50">
      <formula>AND($C14-TODAY()&lt;30,TODAY()&lt;$C14)</formula>
    </cfRule>
  </conditionalFormatting>
  <conditionalFormatting sqref="C14">
    <cfRule type="cellIs" dxfId="213" priority="51" stopIfTrue="1" operator="lessThan">
      <formula>$B$2</formula>
    </cfRule>
  </conditionalFormatting>
  <conditionalFormatting sqref="C16">
    <cfRule type="expression" dxfId="212" priority="48">
      <formula>AND($C16-TODAY()&lt;30,TODAY()&lt;$C16)</formula>
    </cfRule>
  </conditionalFormatting>
  <conditionalFormatting sqref="C16">
    <cfRule type="cellIs" dxfId="211" priority="49" stopIfTrue="1" operator="lessThan">
      <formula>$B$2</formula>
    </cfRule>
  </conditionalFormatting>
  <conditionalFormatting sqref="C18">
    <cfRule type="expression" dxfId="210" priority="46">
      <formula>AND($C18-TODAY()&lt;30,TODAY()&lt;$C18)</formula>
    </cfRule>
  </conditionalFormatting>
  <conditionalFormatting sqref="C18">
    <cfRule type="cellIs" dxfId="209" priority="47" stopIfTrue="1" operator="lessThan">
      <formula>$B$2</formula>
    </cfRule>
  </conditionalFormatting>
  <conditionalFormatting sqref="C20">
    <cfRule type="expression" dxfId="208" priority="44">
      <formula>AND($C20-TODAY()&lt;30,TODAY()&lt;$C20)</formula>
    </cfRule>
  </conditionalFormatting>
  <conditionalFormatting sqref="C20">
    <cfRule type="cellIs" dxfId="207" priority="45" stopIfTrue="1" operator="lessThan">
      <formula>$B$2</formula>
    </cfRule>
  </conditionalFormatting>
  <conditionalFormatting sqref="C22">
    <cfRule type="expression" dxfId="206" priority="42">
      <formula>AND($C22-TODAY()&lt;30,TODAY()&lt;$C22)</formula>
    </cfRule>
  </conditionalFormatting>
  <conditionalFormatting sqref="C22">
    <cfRule type="cellIs" dxfId="205" priority="43" stopIfTrue="1" operator="lessThan">
      <formula>$B$2</formula>
    </cfRule>
  </conditionalFormatting>
  <conditionalFormatting sqref="C15">
    <cfRule type="expression" dxfId="204" priority="40">
      <formula>AND($C15-TODAY()&lt;30,TODAY()&lt;$C15)</formula>
    </cfRule>
  </conditionalFormatting>
  <conditionalFormatting sqref="C15">
    <cfRule type="cellIs" dxfId="203" priority="41" stopIfTrue="1" operator="lessThan">
      <formula>$B$2</formula>
    </cfRule>
  </conditionalFormatting>
  <conditionalFormatting sqref="C17">
    <cfRule type="expression" dxfId="202" priority="38">
      <formula>AND($C17-TODAY()&lt;30,TODAY()&lt;$C17)</formula>
    </cfRule>
  </conditionalFormatting>
  <conditionalFormatting sqref="C17">
    <cfRule type="cellIs" dxfId="201" priority="39" stopIfTrue="1" operator="lessThan">
      <formula>$B$2</formula>
    </cfRule>
  </conditionalFormatting>
  <conditionalFormatting sqref="C19">
    <cfRule type="expression" dxfId="200" priority="36">
      <formula>AND($C19-TODAY()&lt;30,TODAY()&lt;$C19)</formula>
    </cfRule>
  </conditionalFormatting>
  <conditionalFormatting sqref="C19">
    <cfRule type="cellIs" dxfId="199" priority="37" stopIfTrue="1" operator="lessThan">
      <formula>$B$2</formula>
    </cfRule>
  </conditionalFormatting>
  <conditionalFormatting sqref="C21">
    <cfRule type="expression" dxfId="198" priority="34">
      <formula>AND($C21-TODAY()&lt;30,TODAY()&lt;$C21)</formula>
    </cfRule>
  </conditionalFormatting>
  <conditionalFormatting sqref="C21">
    <cfRule type="cellIs" dxfId="197" priority="35" stopIfTrue="1" operator="lessThan">
      <formula>$B$2</formula>
    </cfRule>
  </conditionalFormatting>
  <conditionalFormatting sqref="C23">
    <cfRule type="expression" dxfId="196" priority="32">
      <formula>AND($C23-TODAY()&lt;30,TODAY()&lt;$C23)</formula>
    </cfRule>
  </conditionalFormatting>
  <conditionalFormatting sqref="C23">
    <cfRule type="cellIs" dxfId="195" priority="33" stopIfTrue="1" operator="lessThan">
      <formula>$B$2</formula>
    </cfRule>
  </conditionalFormatting>
  <conditionalFormatting sqref="F16">
    <cfRule type="cellIs" dxfId="194" priority="30" stopIfTrue="1" operator="lessThan">
      <formula>$B$2</formula>
    </cfRule>
  </conditionalFormatting>
  <conditionalFormatting sqref="F18">
    <cfRule type="cellIs" dxfId="193" priority="29" stopIfTrue="1" operator="lessThan">
      <formula>$B$2</formula>
    </cfRule>
  </conditionalFormatting>
  <conditionalFormatting sqref="F22">
    <cfRule type="cellIs" dxfId="192" priority="28" stopIfTrue="1" operator="lessThan">
      <formula>$B$2</formula>
    </cfRule>
  </conditionalFormatting>
  <conditionalFormatting sqref="F21">
    <cfRule type="cellIs" dxfId="191" priority="27" stopIfTrue="1" operator="lessThan">
      <formula>$B$2</formula>
    </cfRule>
  </conditionalFormatting>
  <conditionalFormatting sqref="F17">
    <cfRule type="cellIs" dxfId="190" priority="26" stopIfTrue="1" operator="lessThan">
      <formula>$B$2</formula>
    </cfRule>
  </conditionalFormatting>
  <conditionalFormatting sqref="B4:B11 E4:E11 B16:B23 E16:E23 B13:B14 E13:E14">
    <cfRule type="cellIs" dxfId="189" priority="25" stopIfTrue="1" operator="equal">
      <formula>"已过期"</formula>
    </cfRule>
  </conditionalFormatting>
  <conditionalFormatting sqref="A24:F24">
    <cfRule type="cellIs" dxfId="188" priority="21" stopIfTrue="1" operator="equal">
      <formula>"已过期"</formula>
    </cfRule>
  </conditionalFormatting>
  <conditionalFormatting sqref="F28">
    <cfRule type="expression" dxfId="187" priority="19">
      <formula>AND($E28-TODAY()&lt;30,TODAY()&lt;$E28)</formula>
    </cfRule>
  </conditionalFormatting>
  <conditionalFormatting sqref="F28">
    <cfRule type="cellIs" dxfId="186" priority="20" stopIfTrue="1" operator="lessThan">
      <formula>$B$2</formula>
    </cfRule>
  </conditionalFormatting>
  <conditionalFormatting sqref="F29">
    <cfRule type="expression" dxfId="185" priority="15" stopIfTrue="1">
      <formula>AND($E29-TODAY()&lt;30,TODAY()&lt;$E29)</formula>
    </cfRule>
  </conditionalFormatting>
  <conditionalFormatting sqref="F29">
    <cfRule type="cellIs" dxfId="184" priority="16" stopIfTrue="1" operator="lessThan">
      <formula>$B$2</formula>
    </cfRule>
  </conditionalFormatting>
  <conditionalFormatting sqref="B15">
    <cfRule type="cellIs" dxfId="183" priority="13" stopIfTrue="1" operator="equal">
      <formula>"已过期"</formula>
    </cfRule>
  </conditionalFormatting>
  <conditionalFormatting sqref="A15">
    <cfRule type="cellIs" dxfId="182" priority="12" stopIfTrue="1" operator="equal">
      <formula>"已过期"</formula>
    </cfRule>
  </conditionalFormatting>
  <conditionalFormatting sqref="C15">
    <cfRule type="expression" dxfId="181" priority="11">
      <formula>AND($C15-TODAY()&lt;30,TODAY()&lt;$C15)</formula>
    </cfRule>
  </conditionalFormatting>
  <conditionalFormatting sqref="E15">
    <cfRule type="cellIs" dxfId="180" priority="10" stopIfTrue="1" operator="equal">
      <formula>"已过期"</formula>
    </cfRule>
  </conditionalFormatting>
  <conditionalFormatting sqref="D15">
    <cfRule type="cellIs" dxfId="179" priority="9" stopIfTrue="1" operator="equal">
      <formula>"已过期"</formula>
    </cfRule>
  </conditionalFormatting>
  <conditionalFormatting sqref="F13">
    <cfRule type="cellIs" dxfId="178" priority="8" stopIfTrue="1" operator="lessThan">
      <formula>$B$2</formula>
    </cfRule>
  </conditionalFormatting>
  <conditionalFormatting sqref="C12">
    <cfRule type="expression" dxfId="177" priority="6">
      <formula>AND($C12-TODAY()&lt;30,TODAY()&lt;$C12)</formula>
    </cfRule>
  </conditionalFormatting>
  <conditionalFormatting sqref="C12">
    <cfRule type="cellIs" dxfId="176" priority="7" stopIfTrue="1" operator="lessThan">
      <formula>$B$2</formula>
    </cfRule>
  </conditionalFormatting>
  <conditionalFormatting sqref="C12">
    <cfRule type="expression" dxfId="175" priority="4">
      <formula>AND($C12-TODAY()&lt;30,TODAY()&lt;$C12)</formula>
    </cfRule>
  </conditionalFormatting>
  <conditionalFormatting sqref="C12">
    <cfRule type="cellIs" dxfId="174" priority="5" stopIfTrue="1" operator="lessThan">
      <formula>$B$2</formula>
    </cfRule>
  </conditionalFormatting>
  <conditionalFormatting sqref="B12">
    <cfRule type="cellIs" dxfId="173" priority="3" stopIfTrue="1" operator="equal">
      <formula>"已过期"</formula>
    </cfRule>
  </conditionalFormatting>
  <conditionalFormatting sqref="E12">
    <cfRule type="cellIs" dxfId="172" priority="2" stopIfTrue="1" operator="equal">
      <formula>"已过期"</formula>
    </cfRule>
  </conditionalFormatting>
  <conditionalFormatting sqref="F12">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139</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收益法（商业街）</vt:lpstr>
      <vt:lpstr>收益法 (元)</vt:lpstr>
      <vt:lpstr>酒店收入计算</vt:lpstr>
      <vt:lpstr>比较法-住宅</vt:lpstr>
      <vt:lpstr>收益法（商场）</vt:lpstr>
      <vt:lpstr>收益法 (loft办公)</vt:lpstr>
      <vt:lpstr>收益法（公寓）</vt:lpstr>
      <vt:lpstr>收益法（地下车库）</vt:lpstr>
      <vt:lpstr>收益法（地下商业）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vt:lpstr>
      <vt:lpstr>实测整理</vt:lpstr>
      <vt:lpstr>土地检索数据</vt:lpstr>
      <vt:lpstr>已售清单</vt:lpstr>
      <vt:lpstr>租金情况</vt:lpstr>
      <vt:lpstr>估价师及机构信息!Print_Area</vt:lpstr>
      <vt:lpstr>'收益法 (loft办公)'!Print_Area</vt:lpstr>
      <vt:lpstr>'收益法 (元)'!Print_Area</vt:lpstr>
      <vt:lpstr>'收益法（地下车库）'!Print_Area</vt:lpstr>
      <vt:lpstr>'收益法（地下商业）'!Print_Area</vt:lpstr>
      <vt:lpstr>'收益法（公寓）'!Print_Area</vt:lpstr>
      <vt:lpstr>'收益法（商场）'!Print_Area</vt:lpstr>
      <vt:lpstr>'收益法（商业街）'!Print_Area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2018-06-25T08:45:03Z</cp:lastPrinted>
  <dcterms:created xsi:type="dcterms:W3CDTF">2015-07-13T07:17:23Z</dcterms:created>
  <dcterms:modified xsi:type="dcterms:W3CDTF">2018-06-26T06:04:21Z</dcterms:modified>
</cp:coreProperties>
</file>